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showInkAnnotation="0" codeName="ThisWorkbook" defaultThemeVersion="124226"/>
  <mc:AlternateContent xmlns:mc="http://schemas.openxmlformats.org/markup-compatibility/2006">
    <mc:Choice Requires="x15">
      <x15ac:absPath xmlns:x15ac="http://schemas.microsoft.com/office/spreadsheetml/2010/11/ac" url="https://massgov.sharepoint.com/sites/DEP-BAW-Shared/Air/GHG/7.75 Retail Sellers/2022/2022 RSEF/"/>
    </mc:Choice>
  </mc:AlternateContent>
  <xr:revisionPtr revIDLastSave="215" documentId="8_{155B7DE8-9776-454E-957B-C59C5920563D}" xr6:coauthVersionLast="47" xr6:coauthVersionMax="47" xr10:uidLastSave="{30D42A5F-74BE-4546-B629-3F02F1C60263}"/>
  <bookViews>
    <workbookView xWindow="-28920" yWindow="-120" windowWidth="29040" windowHeight="15840" tabRatio="727" xr2:uid="{00000000-000D-0000-FFFF-FFFF00000000}"/>
  </bookViews>
  <sheets>
    <sheet name="Emission Factors" sheetId="8" r:id="rId1"/>
    <sheet name="State &amp; Province Summary" sheetId="16" r:id="rId2"/>
    <sheet name="Generation Load Imports" sheetId="9" r:id="rId3"/>
    <sheet name="Generation CO2e" sheetId="11" r:id="rId4"/>
    <sheet name="EIA Form 923" sheetId="1" r:id="rId5"/>
    <sheet name="EPA Part 75" sheetId="7" r:id="rId6"/>
    <sheet name="GIS CO2e" sheetId="6" r:id="rId7"/>
    <sheet name="GIS Heat Input" sheetId="13" r:id="rId8"/>
    <sheet name="GIS" sheetId="10" r:id="rId9"/>
    <sheet name="GWPs &amp; Fuel EFs" sheetId="12" r:id="rId10"/>
  </sheets>
  <externalReferences>
    <externalReference r:id="rId11"/>
  </externalReferences>
  <definedNames>
    <definedName name="_xlnm._FilterDatabase" localSheetId="4" hidden="1">'EIA Form 923'!$A$6:$Z$2662</definedName>
    <definedName name="_xlnm._FilterDatabase" localSheetId="5" hidden="1">'EPA Part 75'!$A$1:$J$401</definedName>
    <definedName name="IPCC_Report">[1]GWPs!$B$11:$B$13</definedName>
    <definedName name="MSBprcnt">'EIA Form 923'!$E$2675</definedName>
    <definedName name="MSNprcnt">'EIA Form 923'!$E$2674</definedName>
    <definedName name="_xlnm.Print_Titles" localSheetId="4">'EIA Form 923'!$7:$8</definedName>
    <definedName name="_xlnm.Print_Titles" localSheetId="5">'EPA Part 75'!$1:$1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208" i="11" l="1"/>
  <c r="F205" i="11"/>
  <c r="Q2675" i="1" l="1"/>
  <c r="X8" i="1"/>
  <c r="Y8" i="1"/>
  <c r="Z8" i="1"/>
  <c r="X9" i="1"/>
  <c r="Y9" i="1"/>
  <c r="Z9" i="1"/>
  <c r="X10" i="1"/>
  <c r="Y10" i="1"/>
  <c r="Z10" i="1"/>
  <c r="X11" i="1"/>
  <c r="Y11" i="1"/>
  <c r="Z11" i="1"/>
  <c r="X12" i="1"/>
  <c r="Y12" i="1"/>
  <c r="Z12" i="1"/>
  <c r="X13" i="1"/>
  <c r="Y13" i="1"/>
  <c r="Z13" i="1"/>
  <c r="X14" i="1"/>
  <c r="Y14" i="1"/>
  <c r="Z14" i="1"/>
  <c r="X15" i="1"/>
  <c r="Y15" i="1"/>
  <c r="Z15" i="1"/>
  <c r="X16" i="1"/>
  <c r="Y16" i="1"/>
  <c r="Z16" i="1"/>
  <c r="X17" i="1"/>
  <c r="Y17" i="1"/>
  <c r="Z17" i="1"/>
  <c r="X18" i="1"/>
  <c r="Y18" i="1"/>
  <c r="Z18" i="1"/>
  <c r="X19" i="1"/>
  <c r="Y19" i="1"/>
  <c r="Z19" i="1"/>
  <c r="X20" i="1"/>
  <c r="Y20" i="1"/>
  <c r="Z20" i="1"/>
  <c r="X21" i="1"/>
  <c r="Y21" i="1"/>
  <c r="Z21" i="1"/>
  <c r="X22" i="1"/>
  <c r="Y22" i="1"/>
  <c r="Z22" i="1"/>
  <c r="X23" i="1"/>
  <c r="Y23" i="1"/>
  <c r="Z23" i="1"/>
  <c r="X24" i="1"/>
  <c r="Y24" i="1"/>
  <c r="Z24" i="1"/>
  <c r="X25" i="1"/>
  <c r="Y25" i="1"/>
  <c r="Z25" i="1"/>
  <c r="X26" i="1"/>
  <c r="Y26" i="1"/>
  <c r="Z26" i="1"/>
  <c r="X27" i="1"/>
  <c r="Y27" i="1"/>
  <c r="Z27" i="1"/>
  <c r="X28" i="1"/>
  <c r="Y28" i="1"/>
  <c r="Z28" i="1"/>
  <c r="X29" i="1"/>
  <c r="Y29" i="1"/>
  <c r="Z29" i="1"/>
  <c r="X30" i="1"/>
  <c r="Y30" i="1"/>
  <c r="Z30" i="1"/>
  <c r="X31" i="1"/>
  <c r="Y31" i="1"/>
  <c r="Z31" i="1"/>
  <c r="X32" i="1"/>
  <c r="Y32" i="1"/>
  <c r="Z32" i="1"/>
  <c r="X33" i="1"/>
  <c r="Y33" i="1"/>
  <c r="Z33" i="1"/>
  <c r="X34" i="1"/>
  <c r="Y34" i="1"/>
  <c r="Z34" i="1"/>
  <c r="X35" i="1"/>
  <c r="Y35" i="1"/>
  <c r="Z35" i="1"/>
  <c r="X36" i="1"/>
  <c r="Y36" i="1"/>
  <c r="Z36" i="1"/>
  <c r="X37" i="1"/>
  <c r="Y37" i="1"/>
  <c r="Z37" i="1"/>
  <c r="X38" i="1"/>
  <c r="Y38" i="1"/>
  <c r="Z38" i="1"/>
  <c r="X39" i="1"/>
  <c r="Y39" i="1"/>
  <c r="Z39" i="1"/>
  <c r="X40" i="1"/>
  <c r="Y40" i="1"/>
  <c r="Z40" i="1"/>
  <c r="X41" i="1"/>
  <c r="Y41" i="1"/>
  <c r="Z41" i="1"/>
  <c r="X42" i="1"/>
  <c r="Y42" i="1"/>
  <c r="Z42" i="1"/>
  <c r="X43" i="1"/>
  <c r="Y43" i="1"/>
  <c r="Z43" i="1"/>
  <c r="X44" i="1"/>
  <c r="Y44" i="1"/>
  <c r="Z44" i="1"/>
  <c r="X45" i="1"/>
  <c r="Y45" i="1"/>
  <c r="Z45" i="1"/>
  <c r="X46" i="1"/>
  <c r="Y46" i="1"/>
  <c r="Z46" i="1"/>
  <c r="X47" i="1"/>
  <c r="Y47" i="1"/>
  <c r="Z47" i="1"/>
  <c r="X48" i="1"/>
  <c r="Y48" i="1"/>
  <c r="Z48" i="1"/>
  <c r="X49" i="1"/>
  <c r="Y49" i="1"/>
  <c r="Z49" i="1"/>
  <c r="X50" i="1"/>
  <c r="Y50" i="1"/>
  <c r="Z50" i="1"/>
  <c r="X51" i="1"/>
  <c r="Y51" i="1"/>
  <c r="Z51" i="1"/>
  <c r="X52" i="1"/>
  <c r="Y52" i="1"/>
  <c r="Z52" i="1"/>
  <c r="X53" i="1"/>
  <c r="Y53" i="1"/>
  <c r="Z53" i="1"/>
  <c r="X54" i="1"/>
  <c r="Y54" i="1"/>
  <c r="Z54" i="1"/>
  <c r="X55" i="1"/>
  <c r="Y55" i="1"/>
  <c r="Z55" i="1"/>
  <c r="X56" i="1"/>
  <c r="Y56" i="1"/>
  <c r="Z56" i="1"/>
  <c r="X57" i="1"/>
  <c r="Y57" i="1"/>
  <c r="Z57" i="1"/>
  <c r="X58" i="1"/>
  <c r="Y58" i="1"/>
  <c r="Z58" i="1"/>
  <c r="X59" i="1"/>
  <c r="Y59" i="1"/>
  <c r="Z59" i="1"/>
  <c r="X60" i="1"/>
  <c r="Y60" i="1"/>
  <c r="Z60" i="1"/>
  <c r="X61" i="1"/>
  <c r="Y61" i="1"/>
  <c r="Z61" i="1"/>
  <c r="X62" i="1"/>
  <c r="Y62" i="1"/>
  <c r="Z62" i="1"/>
  <c r="X63" i="1"/>
  <c r="Y63" i="1"/>
  <c r="Z63" i="1"/>
  <c r="X64" i="1"/>
  <c r="Y64" i="1"/>
  <c r="Z64" i="1"/>
  <c r="X65" i="1"/>
  <c r="Y65" i="1"/>
  <c r="Z65" i="1"/>
  <c r="X66" i="1"/>
  <c r="Y66" i="1"/>
  <c r="Z66" i="1"/>
  <c r="X67" i="1"/>
  <c r="Y67" i="1"/>
  <c r="Z67" i="1"/>
  <c r="X68" i="1"/>
  <c r="Y68" i="1"/>
  <c r="Z68" i="1"/>
  <c r="X69" i="1"/>
  <c r="Y69" i="1"/>
  <c r="Z69" i="1"/>
  <c r="X70" i="1"/>
  <c r="Y70" i="1"/>
  <c r="Z70" i="1"/>
  <c r="X71" i="1"/>
  <c r="Y71" i="1"/>
  <c r="Z71" i="1"/>
  <c r="X72" i="1"/>
  <c r="Y72" i="1"/>
  <c r="Z72" i="1"/>
  <c r="X73" i="1"/>
  <c r="Y73" i="1"/>
  <c r="Z73" i="1"/>
  <c r="X74" i="1"/>
  <c r="Y74" i="1"/>
  <c r="Z74" i="1"/>
  <c r="X75" i="1"/>
  <c r="Y75" i="1"/>
  <c r="Z75" i="1"/>
  <c r="X76" i="1"/>
  <c r="Y76" i="1"/>
  <c r="Z76" i="1"/>
  <c r="X77" i="1"/>
  <c r="Y77" i="1"/>
  <c r="Z77" i="1"/>
  <c r="X78" i="1"/>
  <c r="Y78" i="1"/>
  <c r="Z78" i="1"/>
  <c r="X79" i="1"/>
  <c r="Y79" i="1"/>
  <c r="Z79" i="1"/>
  <c r="X80" i="1"/>
  <c r="Y80" i="1"/>
  <c r="Z80" i="1"/>
  <c r="X81" i="1"/>
  <c r="Y81" i="1"/>
  <c r="Z81" i="1"/>
  <c r="X82" i="1"/>
  <c r="Y82" i="1"/>
  <c r="Z82" i="1"/>
  <c r="X83" i="1"/>
  <c r="Y83" i="1"/>
  <c r="Z83" i="1"/>
  <c r="X84" i="1"/>
  <c r="Y84" i="1"/>
  <c r="Z84" i="1"/>
  <c r="X85" i="1"/>
  <c r="Y85" i="1"/>
  <c r="Z85" i="1"/>
  <c r="X86" i="1"/>
  <c r="Y86" i="1"/>
  <c r="Z86" i="1"/>
  <c r="X87" i="1"/>
  <c r="Y87" i="1"/>
  <c r="Z87" i="1"/>
  <c r="X88" i="1"/>
  <c r="Y88" i="1"/>
  <c r="Z88" i="1"/>
  <c r="X89" i="1"/>
  <c r="Y89" i="1"/>
  <c r="Z89" i="1"/>
  <c r="X90" i="1"/>
  <c r="Y90" i="1"/>
  <c r="Z90" i="1"/>
  <c r="X91" i="1"/>
  <c r="Y91" i="1"/>
  <c r="Z91" i="1"/>
  <c r="X92" i="1"/>
  <c r="Y92" i="1"/>
  <c r="Z92" i="1"/>
  <c r="X93" i="1"/>
  <c r="Y93" i="1"/>
  <c r="Z93" i="1"/>
  <c r="X94" i="1"/>
  <c r="Y94" i="1"/>
  <c r="Z94" i="1"/>
  <c r="X95" i="1"/>
  <c r="Y95" i="1"/>
  <c r="Z95" i="1"/>
  <c r="X96" i="1"/>
  <c r="Y96" i="1"/>
  <c r="Z96" i="1"/>
  <c r="X97" i="1"/>
  <c r="Y97" i="1"/>
  <c r="Z97" i="1"/>
  <c r="X98" i="1"/>
  <c r="Y98" i="1"/>
  <c r="Z98" i="1"/>
  <c r="X99" i="1"/>
  <c r="Y99" i="1"/>
  <c r="Z99" i="1"/>
  <c r="X100" i="1"/>
  <c r="Y100" i="1"/>
  <c r="Z100" i="1"/>
  <c r="X101" i="1"/>
  <c r="Y101" i="1"/>
  <c r="Z101" i="1"/>
  <c r="X102" i="1"/>
  <c r="Y102" i="1"/>
  <c r="Z102" i="1"/>
  <c r="X103" i="1"/>
  <c r="Y103" i="1"/>
  <c r="Z103" i="1"/>
  <c r="X104" i="1"/>
  <c r="Y104" i="1"/>
  <c r="Z104" i="1"/>
  <c r="X105" i="1"/>
  <c r="Y105" i="1"/>
  <c r="Z105" i="1"/>
  <c r="X106" i="1"/>
  <c r="Y106" i="1"/>
  <c r="Z106" i="1"/>
  <c r="X107" i="1"/>
  <c r="Y107" i="1"/>
  <c r="Z107" i="1"/>
  <c r="X108" i="1"/>
  <c r="Y108" i="1"/>
  <c r="Z108" i="1"/>
  <c r="X109" i="1"/>
  <c r="Y109" i="1"/>
  <c r="Z109" i="1"/>
  <c r="X110" i="1"/>
  <c r="Y110" i="1"/>
  <c r="Z110" i="1"/>
  <c r="X111" i="1"/>
  <c r="Y111" i="1"/>
  <c r="Z111" i="1"/>
  <c r="X112" i="1"/>
  <c r="Y112" i="1"/>
  <c r="Z112" i="1"/>
  <c r="X113" i="1"/>
  <c r="Y113" i="1"/>
  <c r="Z113" i="1"/>
  <c r="X114" i="1"/>
  <c r="Y114" i="1"/>
  <c r="Z114" i="1"/>
  <c r="X115" i="1"/>
  <c r="Y115" i="1"/>
  <c r="Z115" i="1"/>
  <c r="X116" i="1"/>
  <c r="Y116" i="1"/>
  <c r="Z116" i="1"/>
  <c r="X117" i="1"/>
  <c r="Y117" i="1"/>
  <c r="Z117" i="1"/>
  <c r="X118" i="1"/>
  <c r="Y118" i="1"/>
  <c r="Z118" i="1"/>
  <c r="X119" i="1"/>
  <c r="Y119" i="1"/>
  <c r="Z119" i="1"/>
  <c r="X120" i="1"/>
  <c r="Y120" i="1"/>
  <c r="Z120" i="1"/>
  <c r="X121" i="1"/>
  <c r="Y121" i="1"/>
  <c r="Z121" i="1"/>
  <c r="X122" i="1"/>
  <c r="Y122" i="1"/>
  <c r="Z122" i="1"/>
  <c r="X123" i="1"/>
  <c r="Y123" i="1"/>
  <c r="Z123" i="1"/>
  <c r="X124" i="1"/>
  <c r="Y124" i="1"/>
  <c r="Z124" i="1"/>
  <c r="X125" i="1"/>
  <c r="Y125" i="1"/>
  <c r="Z125" i="1"/>
  <c r="X126" i="1"/>
  <c r="Y126" i="1"/>
  <c r="Z126" i="1"/>
  <c r="X127" i="1"/>
  <c r="Y127" i="1"/>
  <c r="Z127" i="1"/>
  <c r="X128" i="1"/>
  <c r="Y128" i="1"/>
  <c r="Z128" i="1"/>
  <c r="X129" i="1"/>
  <c r="Y129" i="1"/>
  <c r="Z129" i="1"/>
  <c r="X130" i="1"/>
  <c r="Y130" i="1"/>
  <c r="Z130" i="1"/>
  <c r="X131" i="1"/>
  <c r="Y131" i="1"/>
  <c r="Z131" i="1"/>
  <c r="X132" i="1"/>
  <c r="Y132" i="1"/>
  <c r="Z132" i="1"/>
  <c r="X133" i="1"/>
  <c r="Y133" i="1"/>
  <c r="Z133" i="1"/>
  <c r="X134" i="1"/>
  <c r="Y134" i="1"/>
  <c r="Z134" i="1"/>
  <c r="X135" i="1"/>
  <c r="Y135" i="1"/>
  <c r="Z135" i="1"/>
  <c r="X136" i="1"/>
  <c r="Y136" i="1"/>
  <c r="Z136" i="1"/>
  <c r="X137" i="1"/>
  <c r="Y137" i="1"/>
  <c r="Z137" i="1"/>
  <c r="X138" i="1"/>
  <c r="Y138" i="1"/>
  <c r="Z138" i="1"/>
  <c r="X139" i="1"/>
  <c r="Y139" i="1"/>
  <c r="Z139" i="1"/>
  <c r="X140" i="1"/>
  <c r="Y140" i="1"/>
  <c r="Z140" i="1"/>
  <c r="X141" i="1"/>
  <c r="Y141" i="1"/>
  <c r="Z141" i="1"/>
  <c r="X142" i="1"/>
  <c r="Y142" i="1"/>
  <c r="Z142" i="1"/>
  <c r="X143" i="1"/>
  <c r="Y143" i="1"/>
  <c r="Z143" i="1"/>
  <c r="X144" i="1"/>
  <c r="Y144" i="1"/>
  <c r="Z144" i="1"/>
  <c r="X145" i="1"/>
  <c r="Y145" i="1"/>
  <c r="Z145" i="1"/>
  <c r="X146" i="1"/>
  <c r="Y146" i="1"/>
  <c r="Z146" i="1"/>
  <c r="X147" i="1"/>
  <c r="Y147" i="1"/>
  <c r="Z147" i="1"/>
  <c r="X148" i="1"/>
  <c r="Y148" i="1"/>
  <c r="Z148" i="1"/>
  <c r="X149" i="1"/>
  <c r="Y149" i="1"/>
  <c r="Z149" i="1"/>
  <c r="X150" i="1"/>
  <c r="Y150" i="1"/>
  <c r="Z150" i="1"/>
  <c r="X151" i="1"/>
  <c r="Y151" i="1"/>
  <c r="Z151" i="1"/>
  <c r="X152" i="1"/>
  <c r="Y152" i="1"/>
  <c r="Z152" i="1"/>
  <c r="X153" i="1"/>
  <c r="Y153" i="1"/>
  <c r="Z153" i="1"/>
  <c r="X154" i="1"/>
  <c r="Y154" i="1"/>
  <c r="Z154" i="1"/>
  <c r="X155" i="1"/>
  <c r="Y155" i="1"/>
  <c r="Z155" i="1"/>
  <c r="X156" i="1"/>
  <c r="Y156" i="1"/>
  <c r="Z156" i="1"/>
  <c r="X157" i="1"/>
  <c r="Y157" i="1"/>
  <c r="Z157" i="1"/>
  <c r="X158" i="1"/>
  <c r="Y158" i="1"/>
  <c r="Z158" i="1"/>
  <c r="X159" i="1"/>
  <c r="Y159" i="1"/>
  <c r="Z159" i="1"/>
  <c r="X160" i="1"/>
  <c r="Y160" i="1"/>
  <c r="Z160" i="1"/>
  <c r="X161" i="1"/>
  <c r="Y161" i="1"/>
  <c r="Z161" i="1"/>
  <c r="X162" i="1"/>
  <c r="Y162" i="1"/>
  <c r="Z162" i="1"/>
  <c r="X163" i="1"/>
  <c r="Y163" i="1"/>
  <c r="Z163" i="1"/>
  <c r="X164" i="1"/>
  <c r="Y164" i="1"/>
  <c r="Z164" i="1"/>
  <c r="X165" i="1"/>
  <c r="Y165" i="1"/>
  <c r="Z165" i="1"/>
  <c r="X166" i="1"/>
  <c r="Y166" i="1"/>
  <c r="Z166" i="1"/>
  <c r="X167" i="1"/>
  <c r="Y167" i="1"/>
  <c r="Z167" i="1"/>
  <c r="X168" i="1"/>
  <c r="Y168" i="1"/>
  <c r="Z168" i="1"/>
  <c r="X169" i="1"/>
  <c r="Y169" i="1"/>
  <c r="Z169" i="1"/>
  <c r="X170" i="1"/>
  <c r="Y170" i="1"/>
  <c r="Z170" i="1"/>
  <c r="X171" i="1"/>
  <c r="Y171" i="1"/>
  <c r="Z171" i="1"/>
  <c r="X172" i="1"/>
  <c r="Y172" i="1"/>
  <c r="Z172" i="1"/>
  <c r="X173" i="1"/>
  <c r="Y173" i="1"/>
  <c r="Z173" i="1"/>
  <c r="X174" i="1"/>
  <c r="Y174" i="1"/>
  <c r="Z174" i="1"/>
  <c r="X175" i="1"/>
  <c r="Y175" i="1"/>
  <c r="Z175" i="1"/>
  <c r="X176" i="1"/>
  <c r="Y176" i="1"/>
  <c r="Z176" i="1"/>
  <c r="X177" i="1"/>
  <c r="Y177" i="1"/>
  <c r="Z177" i="1"/>
  <c r="X178" i="1"/>
  <c r="Y178" i="1"/>
  <c r="Z178" i="1"/>
  <c r="X179" i="1"/>
  <c r="Y179" i="1"/>
  <c r="Z179" i="1"/>
  <c r="X180" i="1"/>
  <c r="Y180" i="1"/>
  <c r="Z180" i="1"/>
  <c r="X181" i="1"/>
  <c r="Y181" i="1"/>
  <c r="Z181" i="1"/>
  <c r="X182" i="1"/>
  <c r="Y182" i="1"/>
  <c r="Z182" i="1"/>
  <c r="X183" i="1"/>
  <c r="Y183" i="1"/>
  <c r="Z183" i="1"/>
  <c r="X184" i="1"/>
  <c r="Y184" i="1"/>
  <c r="Z184" i="1"/>
  <c r="X185" i="1"/>
  <c r="Y185" i="1"/>
  <c r="Z185" i="1"/>
  <c r="X186" i="1"/>
  <c r="Y186" i="1"/>
  <c r="Z186" i="1"/>
  <c r="X187" i="1"/>
  <c r="Y187" i="1"/>
  <c r="Z187" i="1"/>
  <c r="X188" i="1"/>
  <c r="Y188" i="1"/>
  <c r="Z188" i="1"/>
  <c r="X189" i="1"/>
  <c r="Y189" i="1"/>
  <c r="Z189" i="1"/>
  <c r="X190" i="1"/>
  <c r="Y190" i="1"/>
  <c r="Z190" i="1"/>
  <c r="X191" i="1"/>
  <c r="Y191" i="1"/>
  <c r="Z191" i="1"/>
  <c r="X192" i="1"/>
  <c r="Y192" i="1"/>
  <c r="Z192" i="1"/>
  <c r="X193" i="1"/>
  <c r="Y193" i="1"/>
  <c r="Z193" i="1"/>
  <c r="X194" i="1"/>
  <c r="Y194" i="1"/>
  <c r="Z194" i="1"/>
  <c r="X195" i="1"/>
  <c r="Y195" i="1"/>
  <c r="Z195" i="1"/>
  <c r="X196" i="1"/>
  <c r="Y196" i="1"/>
  <c r="Z196" i="1"/>
  <c r="X197" i="1"/>
  <c r="Y197" i="1"/>
  <c r="Z197" i="1"/>
  <c r="X198" i="1"/>
  <c r="Y198" i="1"/>
  <c r="Z198" i="1"/>
  <c r="X199" i="1"/>
  <c r="Y199" i="1"/>
  <c r="Z199" i="1"/>
  <c r="X200" i="1"/>
  <c r="Y200" i="1"/>
  <c r="Z200" i="1"/>
  <c r="X201" i="1"/>
  <c r="Y201" i="1"/>
  <c r="Z201" i="1"/>
  <c r="X202" i="1"/>
  <c r="Y202" i="1"/>
  <c r="Z202" i="1"/>
  <c r="X203" i="1"/>
  <c r="Y203" i="1"/>
  <c r="Z203" i="1"/>
  <c r="X204" i="1"/>
  <c r="Y204" i="1"/>
  <c r="Z204" i="1"/>
  <c r="X205" i="1"/>
  <c r="Y205" i="1"/>
  <c r="Z205" i="1"/>
  <c r="X206" i="1"/>
  <c r="Y206" i="1"/>
  <c r="Z206" i="1"/>
  <c r="X207" i="1"/>
  <c r="Y207" i="1"/>
  <c r="Z207" i="1"/>
  <c r="X208" i="1"/>
  <c r="Y208" i="1"/>
  <c r="Z208" i="1"/>
  <c r="X209" i="1"/>
  <c r="Y209" i="1"/>
  <c r="Z209" i="1"/>
  <c r="X210" i="1"/>
  <c r="Y210" i="1"/>
  <c r="Z210" i="1"/>
  <c r="X211" i="1"/>
  <c r="Y211" i="1"/>
  <c r="Z211" i="1"/>
  <c r="X212" i="1"/>
  <c r="Y212" i="1"/>
  <c r="Z212" i="1"/>
  <c r="X213" i="1"/>
  <c r="Y213" i="1"/>
  <c r="Z213" i="1"/>
  <c r="X214" i="1"/>
  <c r="Y214" i="1"/>
  <c r="Z214" i="1"/>
  <c r="X215" i="1"/>
  <c r="Y215" i="1"/>
  <c r="Z215" i="1"/>
  <c r="X216" i="1"/>
  <c r="Y216" i="1"/>
  <c r="Z216" i="1"/>
  <c r="X217" i="1"/>
  <c r="Y217" i="1"/>
  <c r="Z217" i="1"/>
  <c r="X218" i="1"/>
  <c r="Y218" i="1"/>
  <c r="Z218" i="1"/>
  <c r="X219" i="1"/>
  <c r="Y219" i="1"/>
  <c r="Z219" i="1"/>
  <c r="X220" i="1"/>
  <c r="Y220" i="1"/>
  <c r="Z220" i="1"/>
  <c r="X221" i="1"/>
  <c r="Y221" i="1"/>
  <c r="Z221" i="1"/>
  <c r="X222" i="1"/>
  <c r="Y222" i="1"/>
  <c r="Z222" i="1"/>
  <c r="X223" i="1"/>
  <c r="Y223" i="1"/>
  <c r="Z223" i="1"/>
  <c r="X224" i="1"/>
  <c r="Y224" i="1"/>
  <c r="Z224" i="1"/>
  <c r="X225" i="1"/>
  <c r="Y225" i="1"/>
  <c r="Z225" i="1"/>
  <c r="X226" i="1"/>
  <c r="Y226" i="1"/>
  <c r="Z226" i="1"/>
  <c r="X227" i="1"/>
  <c r="Y227" i="1"/>
  <c r="Z227" i="1"/>
  <c r="X228" i="1"/>
  <c r="Y228" i="1"/>
  <c r="Z228" i="1"/>
  <c r="X229" i="1"/>
  <c r="Y229" i="1"/>
  <c r="Z229" i="1"/>
  <c r="X230" i="1"/>
  <c r="Y230" i="1"/>
  <c r="Z230" i="1"/>
  <c r="X231" i="1"/>
  <c r="Y231" i="1"/>
  <c r="Z231" i="1"/>
  <c r="X232" i="1"/>
  <c r="Y232" i="1"/>
  <c r="Z232" i="1"/>
  <c r="X233" i="1"/>
  <c r="Y233" i="1"/>
  <c r="Z233" i="1"/>
  <c r="X234" i="1"/>
  <c r="Y234" i="1"/>
  <c r="Z234" i="1"/>
  <c r="X235" i="1"/>
  <c r="Y235" i="1"/>
  <c r="Z235" i="1"/>
  <c r="X236" i="1"/>
  <c r="Y236" i="1"/>
  <c r="Z236" i="1"/>
  <c r="X237" i="1"/>
  <c r="Y237" i="1"/>
  <c r="Z237" i="1"/>
  <c r="X238" i="1"/>
  <c r="Y238" i="1"/>
  <c r="Z238" i="1"/>
  <c r="X239" i="1"/>
  <c r="Y239" i="1"/>
  <c r="Z239" i="1"/>
  <c r="X240" i="1"/>
  <c r="Y240" i="1"/>
  <c r="Z240" i="1"/>
  <c r="X241" i="1"/>
  <c r="Y241" i="1"/>
  <c r="Z241" i="1"/>
  <c r="X242" i="1"/>
  <c r="Y242" i="1"/>
  <c r="Z242" i="1"/>
  <c r="X243" i="1"/>
  <c r="Y243" i="1"/>
  <c r="Z243" i="1"/>
  <c r="X244" i="1"/>
  <c r="Y244" i="1"/>
  <c r="Z244" i="1"/>
  <c r="X245" i="1"/>
  <c r="Y245" i="1"/>
  <c r="Z245" i="1"/>
  <c r="X246" i="1"/>
  <c r="Y246" i="1"/>
  <c r="Z246" i="1"/>
  <c r="X247" i="1"/>
  <c r="Y247" i="1"/>
  <c r="Z247" i="1"/>
  <c r="X248" i="1"/>
  <c r="Y248" i="1"/>
  <c r="Z248" i="1"/>
  <c r="X249" i="1"/>
  <c r="Y249" i="1"/>
  <c r="Z249" i="1"/>
  <c r="X250" i="1"/>
  <c r="Y250" i="1"/>
  <c r="Z250" i="1"/>
  <c r="X251" i="1"/>
  <c r="Y251" i="1"/>
  <c r="Z251" i="1"/>
  <c r="X252" i="1"/>
  <c r="Y252" i="1"/>
  <c r="Z252" i="1"/>
  <c r="X253" i="1"/>
  <c r="Y253" i="1"/>
  <c r="Z253" i="1"/>
  <c r="X254" i="1"/>
  <c r="Y254" i="1"/>
  <c r="Z254" i="1"/>
  <c r="X255" i="1"/>
  <c r="Y255" i="1"/>
  <c r="Z255" i="1"/>
  <c r="X256" i="1"/>
  <c r="Y256" i="1"/>
  <c r="Z256" i="1"/>
  <c r="X257" i="1"/>
  <c r="Y257" i="1"/>
  <c r="Z257" i="1"/>
  <c r="X258" i="1"/>
  <c r="Y258" i="1"/>
  <c r="Z258" i="1"/>
  <c r="X259" i="1"/>
  <c r="Y259" i="1"/>
  <c r="Z259" i="1"/>
  <c r="X260" i="1"/>
  <c r="Y260" i="1"/>
  <c r="Z260" i="1"/>
  <c r="X261" i="1"/>
  <c r="Y261" i="1"/>
  <c r="Z261" i="1"/>
  <c r="X262" i="1"/>
  <c r="Y262" i="1"/>
  <c r="Z262" i="1"/>
  <c r="X263" i="1"/>
  <c r="Y263" i="1"/>
  <c r="Z263" i="1"/>
  <c r="X264" i="1"/>
  <c r="Y264" i="1"/>
  <c r="Z264" i="1"/>
  <c r="X265" i="1"/>
  <c r="Y265" i="1"/>
  <c r="Z265" i="1"/>
  <c r="X266" i="1"/>
  <c r="Y266" i="1"/>
  <c r="Z266" i="1"/>
  <c r="X267" i="1"/>
  <c r="Y267" i="1"/>
  <c r="Z267" i="1"/>
  <c r="X268" i="1"/>
  <c r="Y268" i="1"/>
  <c r="Z268" i="1"/>
  <c r="X269" i="1"/>
  <c r="Y269" i="1"/>
  <c r="Z269" i="1"/>
  <c r="X270" i="1"/>
  <c r="Y270" i="1"/>
  <c r="Z270" i="1"/>
  <c r="X271" i="1"/>
  <c r="Y271" i="1"/>
  <c r="Z271" i="1"/>
  <c r="X272" i="1"/>
  <c r="Y272" i="1"/>
  <c r="Z272" i="1"/>
  <c r="X273" i="1"/>
  <c r="Y273" i="1"/>
  <c r="Z273" i="1"/>
  <c r="X274" i="1"/>
  <c r="Y274" i="1"/>
  <c r="Z274" i="1"/>
  <c r="X275" i="1"/>
  <c r="Y275" i="1"/>
  <c r="Z275" i="1"/>
  <c r="X276" i="1"/>
  <c r="Y276" i="1"/>
  <c r="Z276" i="1"/>
  <c r="X277" i="1"/>
  <c r="Y277" i="1"/>
  <c r="Z277" i="1"/>
  <c r="X278" i="1"/>
  <c r="Y278" i="1"/>
  <c r="Z278" i="1"/>
  <c r="X279" i="1"/>
  <c r="Y279" i="1"/>
  <c r="Z279" i="1"/>
  <c r="X280" i="1"/>
  <c r="Y280" i="1"/>
  <c r="Z280" i="1"/>
  <c r="X281" i="1"/>
  <c r="Y281" i="1"/>
  <c r="Z281" i="1"/>
  <c r="X282" i="1"/>
  <c r="Y282" i="1"/>
  <c r="Z282" i="1"/>
  <c r="X283" i="1"/>
  <c r="Y283" i="1"/>
  <c r="Z283" i="1"/>
  <c r="X284" i="1"/>
  <c r="Y284" i="1"/>
  <c r="Z284" i="1"/>
  <c r="X285" i="1"/>
  <c r="Y285" i="1"/>
  <c r="Z285" i="1"/>
  <c r="X286" i="1"/>
  <c r="Y286" i="1"/>
  <c r="Z286" i="1"/>
  <c r="X287" i="1"/>
  <c r="Y287" i="1"/>
  <c r="Z287" i="1"/>
  <c r="X288" i="1"/>
  <c r="Y288" i="1"/>
  <c r="Z288" i="1"/>
  <c r="X289" i="1"/>
  <c r="Y289" i="1"/>
  <c r="Z289" i="1"/>
  <c r="X290" i="1"/>
  <c r="Y290" i="1"/>
  <c r="Z290" i="1"/>
  <c r="X291" i="1"/>
  <c r="Y291" i="1"/>
  <c r="Z291" i="1"/>
  <c r="X292" i="1"/>
  <c r="Y292" i="1"/>
  <c r="Z292" i="1"/>
  <c r="X293" i="1"/>
  <c r="Y293" i="1"/>
  <c r="Z293" i="1"/>
  <c r="X294" i="1"/>
  <c r="Y294" i="1"/>
  <c r="Z294" i="1"/>
  <c r="X295" i="1"/>
  <c r="Y295" i="1"/>
  <c r="Z295" i="1"/>
  <c r="X296" i="1"/>
  <c r="Y296" i="1"/>
  <c r="Z296" i="1"/>
  <c r="X297" i="1"/>
  <c r="Y297" i="1"/>
  <c r="Z297" i="1"/>
  <c r="X298" i="1"/>
  <c r="Y298" i="1"/>
  <c r="Z298" i="1"/>
  <c r="X299" i="1"/>
  <c r="Y299" i="1"/>
  <c r="Z299" i="1"/>
  <c r="X300" i="1"/>
  <c r="Y300" i="1"/>
  <c r="Z300" i="1"/>
  <c r="X301" i="1"/>
  <c r="Y301" i="1"/>
  <c r="Z301" i="1"/>
  <c r="X302" i="1"/>
  <c r="Y302" i="1"/>
  <c r="Z302" i="1"/>
  <c r="X303" i="1"/>
  <c r="Y303" i="1"/>
  <c r="Z303" i="1"/>
  <c r="X304" i="1"/>
  <c r="Y304" i="1"/>
  <c r="Z304" i="1"/>
  <c r="X305" i="1"/>
  <c r="Y305" i="1"/>
  <c r="Z305" i="1"/>
  <c r="X306" i="1"/>
  <c r="Y306" i="1"/>
  <c r="Z306" i="1"/>
  <c r="X307" i="1"/>
  <c r="Y307" i="1"/>
  <c r="Z307" i="1"/>
  <c r="X308" i="1"/>
  <c r="Y308" i="1"/>
  <c r="Z308" i="1"/>
  <c r="X309" i="1"/>
  <c r="Y309" i="1"/>
  <c r="Z309" i="1"/>
  <c r="X310" i="1"/>
  <c r="Y310" i="1"/>
  <c r="Z310" i="1"/>
  <c r="X311" i="1"/>
  <c r="Y311" i="1"/>
  <c r="Z311" i="1"/>
  <c r="X312" i="1"/>
  <c r="Y312" i="1"/>
  <c r="Z312" i="1"/>
  <c r="X313" i="1"/>
  <c r="Y313" i="1"/>
  <c r="Z313" i="1"/>
  <c r="X314" i="1"/>
  <c r="Y314" i="1"/>
  <c r="Z314" i="1"/>
  <c r="X315" i="1"/>
  <c r="Y315" i="1"/>
  <c r="Z315" i="1"/>
  <c r="X316" i="1"/>
  <c r="Y316" i="1"/>
  <c r="Z316" i="1"/>
  <c r="X317" i="1"/>
  <c r="Y317" i="1"/>
  <c r="Z317" i="1"/>
  <c r="X318" i="1"/>
  <c r="Y318" i="1"/>
  <c r="Z318" i="1"/>
  <c r="X319" i="1"/>
  <c r="Y319" i="1"/>
  <c r="Z319" i="1"/>
  <c r="X320" i="1"/>
  <c r="Y320" i="1"/>
  <c r="Z320" i="1"/>
  <c r="X321" i="1"/>
  <c r="Y321" i="1"/>
  <c r="Z321" i="1"/>
  <c r="X322" i="1"/>
  <c r="Y322" i="1"/>
  <c r="Z322" i="1"/>
  <c r="X323" i="1"/>
  <c r="Y323" i="1"/>
  <c r="Z323" i="1"/>
  <c r="X324" i="1"/>
  <c r="Y324" i="1"/>
  <c r="Z324" i="1"/>
  <c r="X325" i="1"/>
  <c r="Y325" i="1"/>
  <c r="Z325" i="1"/>
  <c r="X326" i="1"/>
  <c r="Y326" i="1"/>
  <c r="Z326" i="1"/>
  <c r="X327" i="1"/>
  <c r="Y327" i="1"/>
  <c r="Z327" i="1"/>
  <c r="X328" i="1"/>
  <c r="Y328" i="1"/>
  <c r="Z328" i="1"/>
  <c r="X329" i="1"/>
  <c r="Y329" i="1"/>
  <c r="Z329" i="1"/>
  <c r="X330" i="1"/>
  <c r="Y330" i="1"/>
  <c r="Z330" i="1"/>
  <c r="X331" i="1"/>
  <c r="Y331" i="1"/>
  <c r="Z331" i="1"/>
  <c r="X332" i="1"/>
  <c r="Y332" i="1"/>
  <c r="Z332" i="1"/>
  <c r="X333" i="1"/>
  <c r="Y333" i="1"/>
  <c r="Z333" i="1"/>
  <c r="X334" i="1"/>
  <c r="Y334" i="1"/>
  <c r="Z334" i="1"/>
  <c r="X335" i="1"/>
  <c r="Y335" i="1"/>
  <c r="Z335" i="1"/>
  <c r="X336" i="1"/>
  <c r="Y336" i="1"/>
  <c r="Z336" i="1"/>
  <c r="X337" i="1"/>
  <c r="Y337" i="1"/>
  <c r="Z337" i="1"/>
  <c r="X338" i="1"/>
  <c r="Y338" i="1"/>
  <c r="Z338" i="1"/>
  <c r="X339" i="1"/>
  <c r="Y339" i="1"/>
  <c r="Z339" i="1"/>
  <c r="X340" i="1"/>
  <c r="Y340" i="1"/>
  <c r="Z340" i="1"/>
  <c r="X341" i="1"/>
  <c r="Y341" i="1"/>
  <c r="Z341" i="1"/>
  <c r="X342" i="1"/>
  <c r="Y342" i="1"/>
  <c r="Z342" i="1"/>
  <c r="X343" i="1"/>
  <c r="Y343" i="1"/>
  <c r="Z343" i="1"/>
  <c r="X344" i="1"/>
  <c r="Y344" i="1"/>
  <c r="Z344" i="1"/>
  <c r="X345" i="1"/>
  <c r="Y345" i="1"/>
  <c r="Z345" i="1"/>
  <c r="X346" i="1"/>
  <c r="Y346" i="1"/>
  <c r="Z346" i="1"/>
  <c r="X347" i="1"/>
  <c r="Y347" i="1"/>
  <c r="Z347" i="1"/>
  <c r="X348" i="1"/>
  <c r="Y348" i="1"/>
  <c r="Z348" i="1"/>
  <c r="X349" i="1"/>
  <c r="Y349" i="1"/>
  <c r="Z349" i="1"/>
  <c r="X350" i="1"/>
  <c r="Y350" i="1"/>
  <c r="Z350" i="1"/>
  <c r="X351" i="1"/>
  <c r="Y351" i="1"/>
  <c r="Z351" i="1"/>
  <c r="X352" i="1"/>
  <c r="Y352" i="1"/>
  <c r="Z352" i="1"/>
  <c r="X353" i="1"/>
  <c r="Y353" i="1"/>
  <c r="Z353" i="1"/>
  <c r="X354" i="1"/>
  <c r="Y354" i="1"/>
  <c r="Z354" i="1"/>
  <c r="X355" i="1"/>
  <c r="Y355" i="1"/>
  <c r="Z355" i="1"/>
  <c r="X356" i="1"/>
  <c r="Y356" i="1"/>
  <c r="Z356" i="1"/>
  <c r="X357" i="1"/>
  <c r="Y357" i="1"/>
  <c r="Z357" i="1"/>
  <c r="X358" i="1"/>
  <c r="Y358" i="1"/>
  <c r="Z358" i="1"/>
  <c r="X359" i="1"/>
  <c r="Y359" i="1"/>
  <c r="Z359" i="1"/>
  <c r="X360" i="1"/>
  <c r="Y360" i="1"/>
  <c r="Z360" i="1"/>
  <c r="X361" i="1"/>
  <c r="Y361" i="1"/>
  <c r="Z361" i="1"/>
  <c r="X362" i="1"/>
  <c r="Y362" i="1"/>
  <c r="Z362" i="1"/>
  <c r="X363" i="1"/>
  <c r="Y363" i="1"/>
  <c r="Z363" i="1"/>
  <c r="X364" i="1"/>
  <c r="Y364" i="1"/>
  <c r="Z364" i="1"/>
  <c r="X365" i="1"/>
  <c r="Y365" i="1"/>
  <c r="Z365" i="1"/>
  <c r="X366" i="1"/>
  <c r="Y366" i="1"/>
  <c r="Z366" i="1"/>
  <c r="X367" i="1"/>
  <c r="Y367" i="1"/>
  <c r="Z367" i="1"/>
  <c r="X368" i="1"/>
  <c r="Y368" i="1"/>
  <c r="Z368" i="1"/>
  <c r="X369" i="1"/>
  <c r="Y369" i="1"/>
  <c r="Z369" i="1"/>
  <c r="X370" i="1"/>
  <c r="Y370" i="1"/>
  <c r="Z370" i="1"/>
  <c r="X371" i="1"/>
  <c r="Y371" i="1"/>
  <c r="Z371" i="1"/>
  <c r="X372" i="1"/>
  <c r="Y372" i="1"/>
  <c r="Z372" i="1"/>
  <c r="X373" i="1"/>
  <c r="Y373" i="1"/>
  <c r="Z373" i="1"/>
  <c r="X374" i="1"/>
  <c r="Y374" i="1"/>
  <c r="Z374" i="1"/>
  <c r="X375" i="1"/>
  <c r="Y375" i="1"/>
  <c r="Z375" i="1"/>
  <c r="X376" i="1"/>
  <c r="Y376" i="1"/>
  <c r="Z376" i="1"/>
  <c r="X377" i="1"/>
  <c r="Y377" i="1"/>
  <c r="Z377" i="1"/>
  <c r="X378" i="1"/>
  <c r="Y378" i="1"/>
  <c r="Z378" i="1"/>
  <c r="X379" i="1"/>
  <c r="Y379" i="1"/>
  <c r="Z379" i="1"/>
  <c r="X380" i="1"/>
  <c r="Y380" i="1"/>
  <c r="Z380" i="1"/>
  <c r="X381" i="1"/>
  <c r="Y381" i="1"/>
  <c r="Z381" i="1"/>
  <c r="X382" i="1"/>
  <c r="Y382" i="1"/>
  <c r="Z382" i="1"/>
  <c r="X383" i="1"/>
  <c r="Y383" i="1"/>
  <c r="Z383" i="1"/>
  <c r="X384" i="1"/>
  <c r="Y384" i="1"/>
  <c r="Z384" i="1"/>
  <c r="X385" i="1"/>
  <c r="Y385" i="1"/>
  <c r="Z385" i="1"/>
  <c r="X386" i="1"/>
  <c r="Y386" i="1"/>
  <c r="Z386" i="1"/>
  <c r="X387" i="1"/>
  <c r="Y387" i="1"/>
  <c r="Z387" i="1"/>
  <c r="X388" i="1"/>
  <c r="Y388" i="1"/>
  <c r="Z388" i="1"/>
  <c r="X389" i="1"/>
  <c r="Y389" i="1"/>
  <c r="Z389" i="1"/>
  <c r="X390" i="1"/>
  <c r="Y390" i="1"/>
  <c r="Z390" i="1"/>
  <c r="X391" i="1"/>
  <c r="Y391" i="1"/>
  <c r="Z391" i="1"/>
  <c r="X392" i="1"/>
  <c r="Y392" i="1"/>
  <c r="Z392" i="1"/>
  <c r="X393" i="1"/>
  <c r="Y393" i="1"/>
  <c r="Z393" i="1"/>
  <c r="X394" i="1"/>
  <c r="Y394" i="1"/>
  <c r="Z394" i="1"/>
  <c r="X395" i="1"/>
  <c r="Y395" i="1"/>
  <c r="Z395" i="1"/>
  <c r="X396" i="1"/>
  <c r="Y396" i="1"/>
  <c r="Z396" i="1"/>
  <c r="X397" i="1"/>
  <c r="Y397" i="1"/>
  <c r="Z397" i="1"/>
  <c r="X398" i="1"/>
  <c r="Y398" i="1"/>
  <c r="Z398" i="1"/>
  <c r="X399" i="1"/>
  <c r="Y399" i="1"/>
  <c r="Z399" i="1"/>
  <c r="X400" i="1"/>
  <c r="Y400" i="1"/>
  <c r="Z400" i="1"/>
  <c r="X401" i="1"/>
  <c r="Y401" i="1"/>
  <c r="Z401" i="1"/>
  <c r="X402" i="1"/>
  <c r="Y402" i="1"/>
  <c r="Z402" i="1"/>
  <c r="X403" i="1"/>
  <c r="Y403" i="1"/>
  <c r="Z403" i="1"/>
  <c r="X404" i="1"/>
  <c r="Y404" i="1"/>
  <c r="Z404" i="1"/>
  <c r="X405" i="1"/>
  <c r="Y405" i="1"/>
  <c r="Z405" i="1"/>
  <c r="X406" i="1"/>
  <c r="Y406" i="1"/>
  <c r="Z406" i="1"/>
  <c r="X407" i="1"/>
  <c r="Y407" i="1"/>
  <c r="Z407" i="1"/>
  <c r="X408" i="1"/>
  <c r="Y408" i="1"/>
  <c r="Z408" i="1"/>
  <c r="X409" i="1"/>
  <c r="Y409" i="1"/>
  <c r="Z409" i="1"/>
  <c r="X410" i="1"/>
  <c r="Y410" i="1"/>
  <c r="Z410" i="1"/>
  <c r="X411" i="1"/>
  <c r="Y411" i="1"/>
  <c r="Z411" i="1"/>
  <c r="X412" i="1"/>
  <c r="Y412" i="1"/>
  <c r="Z412" i="1"/>
  <c r="X413" i="1"/>
  <c r="Y413" i="1"/>
  <c r="Z413" i="1"/>
  <c r="X414" i="1"/>
  <c r="Y414" i="1"/>
  <c r="Z414" i="1"/>
  <c r="X415" i="1"/>
  <c r="Y415" i="1"/>
  <c r="Z415" i="1"/>
  <c r="X416" i="1"/>
  <c r="Y416" i="1"/>
  <c r="Z416" i="1"/>
  <c r="X417" i="1"/>
  <c r="Y417" i="1"/>
  <c r="Z417" i="1"/>
  <c r="X418" i="1"/>
  <c r="Y418" i="1"/>
  <c r="Z418" i="1"/>
  <c r="X419" i="1"/>
  <c r="Y419" i="1"/>
  <c r="Z419" i="1"/>
  <c r="X420" i="1"/>
  <c r="Y420" i="1"/>
  <c r="Z420" i="1"/>
  <c r="X421" i="1"/>
  <c r="Y421" i="1"/>
  <c r="Z421" i="1"/>
  <c r="X422" i="1"/>
  <c r="Y422" i="1"/>
  <c r="Z422" i="1"/>
  <c r="X423" i="1"/>
  <c r="Y423" i="1"/>
  <c r="Z423" i="1"/>
  <c r="X424" i="1"/>
  <c r="Y424" i="1"/>
  <c r="Z424" i="1"/>
  <c r="X425" i="1"/>
  <c r="Y425" i="1"/>
  <c r="Z425" i="1"/>
  <c r="X426" i="1"/>
  <c r="Y426" i="1"/>
  <c r="Z426" i="1"/>
  <c r="X427" i="1"/>
  <c r="Y427" i="1"/>
  <c r="Z427" i="1"/>
  <c r="X428" i="1"/>
  <c r="Y428" i="1"/>
  <c r="Z428" i="1"/>
  <c r="X429" i="1"/>
  <c r="Y429" i="1"/>
  <c r="Z429" i="1"/>
  <c r="X430" i="1"/>
  <c r="Y430" i="1"/>
  <c r="Z430" i="1"/>
  <c r="X431" i="1"/>
  <c r="Y431" i="1"/>
  <c r="Z431" i="1"/>
  <c r="X432" i="1"/>
  <c r="Y432" i="1"/>
  <c r="Z432" i="1"/>
  <c r="X433" i="1"/>
  <c r="Y433" i="1"/>
  <c r="Z433" i="1"/>
  <c r="X434" i="1"/>
  <c r="Y434" i="1"/>
  <c r="Z434" i="1"/>
  <c r="X435" i="1"/>
  <c r="Y435" i="1"/>
  <c r="Z435" i="1"/>
  <c r="X436" i="1"/>
  <c r="Y436" i="1"/>
  <c r="Z436" i="1"/>
  <c r="X437" i="1"/>
  <c r="Y437" i="1"/>
  <c r="Z437" i="1"/>
  <c r="X438" i="1"/>
  <c r="Y438" i="1"/>
  <c r="Z438" i="1"/>
  <c r="X439" i="1"/>
  <c r="Y439" i="1"/>
  <c r="Z439" i="1"/>
  <c r="X440" i="1"/>
  <c r="Y440" i="1"/>
  <c r="Z440" i="1"/>
  <c r="X441" i="1"/>
  <c r="Y441" i="1"/>
  <c r="Z441" i="1"/>
  <c r="X442" i="1"/>
  <c r="Y442" i="1"/>
  <c r="Z442" i="1"/>
  <c r="X443" i="1"/>
  <c r="Y443" i="1"/>
  <c r="Z443" i="1"/>
  <c r="X444" i="1"/>
  <c r="Y444" i="1"/>
  <c r="Z444" i="1"/>
  <c r="X445" i="1"/>
  <c r="Y445" i="1"/>
  <c r="Z445" i="1"/>
  <c r="X446" i="1"/>
  <c r="Y446" i="1"/>
  <c r="Z446" i="1"/>
  <c r="X447" i="1"/>
  <c r="Y447" i="1"/>
  <c r="Z447" i="1"/>
  <c r="X448" i="1"/>
  <c r="Y448" i="1"/>
  <c r="Z448" i="1"/>
  <c r="X449" i="1"/>
  <c r="Y449" i="1"/>
  <c r="Z449" i="1"/>
  <c r="X450" i="1"/>
  <c r="Y450" i="1"/>
  <c r="Z450" i="1"/>
  <c r="X451" i="1"/>
  <c r="Y451" i="1"/>
  <c r="Z451" i="1"/>
  <c r="X452" i="1"/>
  <c r="Y452" i="1"/>
  <c r="Z452" i="1"/>
  <c r="X453" i="1"/>
  <c r="Y453" i="1"/>
  <c r="Z453" i="1"/>
  <c r="X454" i="1"/>
  <c r="Y454" i="1"/>
  <c r="Z454" i="1"/>
  <c r="X455" i="1"/>
  <c r="Y455" i="1"/>
  <c r="Z455" i="1"/>
  <c r="X456" i="1"/>
  <c r="Y456" i="1"/>
  <c r="Z456" i="1"/>
  <c r="X457" i="1"/>
  <c r="Y457" i="1"/>
  <c r="Z457" i="1"/>
  <c r="X458" i="1"/>
  <c r="Y458" i="1"/>
  <c r="Z458" i="1"/>
  <c r="X459" i="1"/>
  <c r="Y459" i="1"/>
  <c r="Z459" i="1"/>
  <c r="X460" i="1"/>
  <c r="Y460" i="1"/>
  <c r="Z460" i="1"/>
  <c r="X461" i="1"/>
  <c r="Y461" i="1"/>
  <c r="Z461" i="1"/>
  <c r="X462" i="1"/>
  <c r="Y462" i="1"/>
  <c r="Z462" i="1"/>
  <c r="X463" i="1"/>
  <c r="Y463" i="1"/>
  <c r="Z463" i="1"/>
  <c r="X464" i="1"/>
  <c r="Y464" i="1"/>
  <c r="Z464" i="1"/>
  <c r="X465" i="1"/>
  <c r="Y465" i="1"/>
  <c r="Z465" i="1"/>
  <c r="X466" i="1"/>
  <c r="Y466" i="1"/>
  <c r="Z466" i="1"/>
  <c r="X467" i="1"/>
  <c r="Y467" i="1"/>
  <c r="Z467" i="1"/>
  <c r="X468" i="1"/>
  <c r="Y468" i="1"/>
  <c r="Z468" i="1"/>
  <c r="X469" i="1"/>
  <c r="Y469" i="1"/>
  <c r="Z469" i="1"/>
  <c r="X470" i="1"/>
  <c r="Y470" i="1"/>
  <c r="Z470" i="1"/>
  <c r="X471" i="1"/>
  <c r="Y471" i="1"/>
  <c r="Z471" i="1"/>
  <c r="X472" i="1"/>
  <c r="Y472" i="1"/>
  <c r="Z472" i="1"/>
  <c r="X473" i="1"/>
  <c r="Y473" i="1"/>
  <c r="Z473" i="1"/>
  <c r="X474" i="1"/>
  <c r="Y474" i="1"/>
  <c r="Z474" i="1"/>
  <c r="X475" i="1"/>
  <c r="Y475" i="1"/>
  <c r="Z475" i="1"/>
  <c r="X476" i="1"/>
  <c r="Y476" i="1"/>
  <c r="Z476" i="1"/>
  <c r="X477" i="1"/>
  <c r="Y477" i="1"/>
  <c r="Z477" i="1"/>
  <c r="X478" i="1"/>
  <c r="Y478" i="1"/>
  <c r="Z478" i="1"/>
  <c r="X479" i="1"/>
  <c r="Y479" i="1"/>
  <c r="Z479" i="1"/>
  <c r="X480" i="1"/>
  <c r="Y480" i="1"/>
  <c r="Z480" i="1"/>
  <c r="X481" i="1"/>
  <c r="Y481" i="1"/>
  <c r="Z481" i="1"/>
  <c r="X482" i="1"/>
  <c r="Y482" i="1"/>
  <c r="Z482" i="1"/>
  <c r="X483" i="1"/>
  <c r="Y483" i="1"/>
  <c r="Z483" i="1"/>
  <c r="X484" i="1"/>
  <c r="Y484" i="1"/>
  <c r="Z484" i="1"/>
  <c r="X485" i="1"/>
  <c r="Y485" i="1"/>
  <c r="Z485" i="1"/>
  <c r="X486" i="1"/>
  <c r="Y486" i="1"/>
  <c r="Z486" i="1"/>
  <c r="X487" i="1"/>
  <c r="Y487" i="1"/>
  <c r="Z487" i="1"/>
  <c r="X488" i="1"/>
  <c r="Y488" i="1"/>
  <c r="Z488" i="1"/>
  <c r="X489" i="1"/>
  <c r="Y489" i="1"/>
  <c r="Z489" i="1"/>
  <c r="X490" i="1"/>
  <c r="Y490" i="1"/>
  <c r="Z490" i="1"/>
  <c r="X491" i="1"/>
  <c r="Y491" i="1"/>
  <c r="Z491" i="1"/>
  <c r="X492" i="1"/>
  <c r="Y492" i="1"/>
  <c r="Z492" i="1"/>
  <c r="X493" i="1"/>
  <c r="Y493" i="1"/>
  <c r="Z493" i="1"/>
  <c r="X494" i="1"/>
  <c r="Y494" i="1"/>
  <c r="Z494" i="1"/>
  <c r="X495" i="1"/>
  <c r="Y495" i="1"/>
  <c r="Z495" i="1"/>
  <c r="X496" i="1"/>
  <c r="Y496" i="1"/>
  <c r="Z496" i="1"/>
  <c r="X497" i="1"/>
  <c r="Y497" i="1"/>
  <c r="Z497" i="1"/>
  <c r="X498" i="1"/>
  <c r="Y498" i="1"/>
  <c r="Z498" i="1"/>
  <c r="X499" i="1"/>
  <c r="Y499" i="1"/>
  <c r="Z499" i="1"/>
  <c r="X500" i="1"/>
  <c r="Y500" i="1"/>
  <c r="Z500" i="1"/>
  <c r="X501" i="1"/>
  <c r="Y501" i="1"/>
  <c r="Z501" i="1"/>
  <c r="X502" i="1"/>
  <c r="Y502" i="1"/>
  <c r="Z502" i="1"/>
  <c r="X503" i="1"/>
  <c r="Y503" i="1"/>
  <c r="Z503" i="1"/>
  <c r="X504" i="1"/>
  <c r="Y504" i="1"/>
  <c r="Z504" i="1"/>
  <c r="X505" i="1"/>
  <c r="Y505" i="1"/>
  <c r="Z505" i="1"/>
  <c r="X506" i="1"/>
  <c r="Y506" i="1"/>
  <c r="Z506" i="1"/>
  <c r="X507" i="1"/>
  <c r="Y507" i="1"/>
  <c r="Z507" i="1"/>
  <c r="X508" i="1"/>
  <c r="Y508" i="1"/>
  <c r="Z508" i="1"/>
  <c r="X509" i="1"/>
  <c r="Y509" i="1"/>
  <c r="Z509" i="1"/>
  <c r="X510" i="1"/>
  <c r="Y510" i="1"/>
  <c r="Z510" i="1"/>
  <c r="X511" i="1"/>
  <c r="Y511" i="1"/>
  <c r="Z511" i="1"/>
  <c r="X512" i="1"/>
  <c r="Y512" i="1"/>
  <c r="Z512" i="1"/>
  <c r="X513" i="1"/>
  <c r="Y513" i="1"/>
  <c r="Z513" i="1"/>
  <c r="X514" i="1"/>
  <c r="Y514" i="1"/>
  <c r="Z514" i="1"/>
  <c r="X515" i="1"/>
  <c r="Y515" i="1"/>
  <c r="Z515" i="1"/>
  <c r="X516" i="1"/>
  <c r="Y516" i="1"/>
  <c r="Z516" i="1"/>
  <c r="X517" i="1"/>
  <c r="Y517" i="1"/>
  <c r="Z517" i="1"/>
  <c r="X518" i="1"/>
  <c r="Y518" i="1"/>
  <c r="Z518" i="1"/>
  <c r="X519" i="1"/>
  <c r="Y519" i="1"/>
  <c r="Z519" i="1"/>
  <c r="X520" i="1"/>
  <c r="Y520" i="1"/>
  <c r="Z520" i="1"/>
  <c r="X521" i="1"/>
  <c r="Y521" i="1"/>
  <c r="Z521" i="1"/>
  <c r="X522" i="1"/>
  <c r="Y522" i="1"/>
  <c r="Z522" i="1"/>
  <c r="X523" i="1"/>
  <c r="Y523" i="1"/>
  <c r="Z523" i="1"/>
  <c r="X524" i="1"/>
  <c r="Y524" i="1"/>
  <c r="Z524" i="1"/>
  <c r="X525" i="1"/>
  <c r="Y525" i="1"/>
  <c r="Z525" i="1"/>
  <c r="X526" i="1"/>
  <c r="Y526" i="1"/>
  <c r="Z526" i="1"/>
  <c r="X527" i="1"/>
  <c r="Y527" i="1"/>
  <c r="Z527" i="1"/>
  <c r="X528" i="1"/>
  <c r="Y528" i="1"/>
  <c r="Z528" i="1"/>
  <c r="X529" i="1"/>
  <c r="Y529" i="1"/>
  <c r="Z529" i="1"/>
  <c r="X530" i="1"/>
  <c r="Y530" i="1"/>
  <c r="Z530" i="1"/>
  <c r="X531" i="1"/>
  <c r="Y531" i="1"/>
  <c r="Z531" i="1"/>
  <c r="X532" i="1"/>
  <c r="Y532" i="1"/>
  <c r="Z532" i="1"/>
  <c r="X533" i="1"/>
  <c r="Y533" i="1"/>
  <c r="Z533" i="1"/>
  <c r="X534" i="1"/>
  <c r="Y534" i="1"/>
  <c r="Z534" i="1"/>
  <c r="X535" i="1"/>
  <c r="Y535" i="1"/>
  <c r="Z535" i="1"/>
  <c r="X536" i="1"/>
  <c r="Y536" i="1"/>
  <c r="Z536" i="1"/>
  <c r="X537" i="1"/>
  <c r="Y537" i="1"/>
  <c r="Z537" i="1"/>
  <c r="X538" i="1"/>
  <c r="Y538" i="1"/>
  <c r="Z538" i="1"/>
  <c r="X539" i="1"/>
  <c r="Y539" i="1"/>
  <c r="Z539" i="1"/>
  <c r="X540" i="1"/>
  <c r="Y540" i="1"/>
  <c r="Z540" i="1"/>
  <c r="X541" i="1"/>
  <c r="Y541" i="1"/>
  <c r="Z541" i="1"/>
  <c r="X542" i="1"/>
  <c r="Y542" i="1"/>
  <c r="Z542" i="1"/>
  <c r="X543" i="1"/>
  <c r="Y543" i="1"/>
  <c r="Z543" i="1"/>
  <c r="X544" i="1"/>
  <c r="Y544" i="1"/>
  <c r="Z544" i="1"/>
  <c r="X545" i="1"/>
  <c r="Y545" i="1"/>
  <c r="Z545" i="1"/>
  <c r="X546" i="1"/>
  <c r="Y546" i="1"/>
  <c r="Z546" i="1"/>
  <c r="X547" i="1"/>
  <c r="Y547" i="1"/>
  <c r="Z547" i="1"/>
  <c r="X548" i="1"/>
  <c r="Y548" i="1"/>
  <c r="Z548" i="1"/>
  <c r="X549" i="1"/>
  <c r="Y549" i="1"/>
  <c r="Z549" i="1"/>
  <c r="X550" i="1"/>
  <c r="Y550" i="1"/>
  <c r="Z550" i="1"/>
  <c r="X551" i="1"/>
  <c r="Y551" i="1"/>
  <c r="Z551" i="1"/>
  <c r="X552" i="1"/>
  <c r="Y552" i="1"/>
  <c r="Z552" i="1"/>
  <c r="X553" i="1"/>
  <c r="Y553" i="1"/>
  <c r="Z553" i="1"/>
  <c r="X554" i="1"/>
  <c r="Y554" i="1"/>
  <c r="Z554" i="1"/>
  <c r="X555" i="1"/>
  <c r="Y555" i="1"/>
  <c r="Z555" i="1"/>
  <c r="X556" i="1"/>
  <c r="Y556" i="1"/>
  <c r="Z556" i="1"/>
  <c r="X557" i="1"/>
  <c r="Y557" i="1"/>
  <c r="Z557" i="1"/>
  <c r="X558" i="1"/>
  <c r="Y558" i="1"/>
  <c r="Z558" i="1"/>
  <c r="X559" i="1"/>
  <c r="Y559" i="1"/>
  <c r="Z559" i="1"/>
  <c r="X560" i="1"/>
  <c r="Y560" i="1"/>
  <c r="Z560" i="1"/>
  <c r="X561" i="1"/>
  <c r="Y561" i="1"/>
  <c r="Z561" i="1"/>
  <c r="X562" i="1"/>
  <c r="Y562" i="1"/>
  <c r="Z562" i="1"/>
  <c r="X563" i="1"/>
  <c r="Y563" i="1"/>
  <c r="Z563" i="1"/>
  <c r="X564" i="1"/>
  <c r="Y564" i="1"/>
  <c r="Z564" i="1"/>
  <c r="X565" i="1"/>
  <c r="Y565" i="1"/>
  <c r="Z565" i="1"/>
  <c r="X566" i="1"/>
  <c r="Y566" i="1"/>
  <c r="Z566" i="1"/>
  <c r="X567" i="1"/>
  <c r="Y567" i="1"/>
  <c r="Z567" i="1"/>
  <c r="X568" i="1"/>
  <c r="Y568" i="1"/>
  <c r="Z568" i="1"/>
  <c r="X569" i="1"/>
  <c r="Y569" i="1"/>
  <c r="Z569" i="1"/>
  <c r="X570" i="1"/>
  <c r="Y570" i="1"/>
  <c r="Z570" i="1"/>
  <c r="X571" i="1"/>
  <c r="Y571" i="1"/>
  <c r="Z571" i="1"/>
  <c r="X572" i="1"/>
  <c r="Y572" i="1"/>
  <c r="Z572" i="1"/>
  <c r="X573" i="1"/>
  <c r="Y573" i="1"/>
  <c r="Z573" i="1"/>
  <c r="X574" i="1"/>
  <c r="Y574" i="1"/>
  <c r="Z574" i="1"/>
  <c r="X575" i="1"/>
  <c r="Y575" i="1"/>
  <c r="Z575" i="1"/>
  <c r="X576" i="1"/>
  <c r="Y576" i="1"/>
  <c r="Z576" i="1"/>
  <c r="X577" i="1"/>
  <c r="Y577" i="1"/>
  <c r="Z577" i="1"/>
  <c r="X578" i="1"/>
  <c r="Y578" i="1"/>
  <c r="Z578" i="1"/>
  <c r="X579" i="1"/>
  <c r="Y579" i="1"/>
  <c r="Z579" i="1"/>
  <c r="X580" i="1"/>
  <c r="Y580" i="1"/>
  <c r="Z580" i="1"/>
  <c r="X581" i="1"/>
  <c r="Y581" i="1"/>
  <c r="Z581" i="1"/>
  <c r="X582" i="1"/>
  <c r="Y582" i="1"/>
  <c r="Z582" i="1"/>
  <c r="X583" i="1"/>
  <c r="Y583" i="1"/>
  <c r="Z583" i="1"/>
  <c r="X584" i="1"/>
  <c r="Y584" i="1"/>
  <c r="Z584" i="1"/>
  <c r="X585" i="1"/>
  <c r="Y585" i="1"/>
  <c r="Z585" i="1"/>
  <c r="X586" i="1"/>
  <c r="Y586" i="1"/>
  <c r="Z586" i="1"/>
  <c r="X587" i="1"/>
  <c r="Y587" i="1"/>
  <c r="Z587" i="1"/>
  <c r="X588" i="1"/>
  <c r="Y588" i="1"/>
  <c r="Z588" i="1"/>
  <c r="X589" i="1"/>
  <c r="Y589" i="1"/>
  <c r="Z589" i="1"/>
  <c r="X590" i="1"/>
  <c r="Y590" i="1"/>
  <c r="Z590" i="1"/>
  <c r="X591" i="1"/>
  <c r="Y591" i="1"/>
  <c r="Z591" i="1"/>
  <c r="X592" i="1"/>
  <c r="Y592" i="1"/>
  <c r="Z592" i="1"/>
  <c r="X593" i="1"/>
  <c r="Y593" i="1"/>
  <c r="Z593" i="1"/>
  <c r="X594" i="1"/>
  <c r="Y594" i="1"/>
  <c r="Z594" i="1"/>
  <c r="X595" i="1"/>
  <c r="Y595" i="1"/>
  <c r="Z595" i="1"/>
  <c r="X596" i="1"/>
  <c r="Y596" i="1"/>
  <c r="Z596" i="1"/>
  <c r="X597" i="1"/>
  <c r="Y597" i="1"/>
  <c r="Z597" i="1"/>
  <c r="X598" i="1"/>
  <c r="Y598" i="1"/>
  <c r="Z598" i="1"/>
  <c r="X599" i="1"/>
  <c r="Y599" i="1"/>
  <c r="Z599" i="1"/>
  <c r="X600" i="1"/>
  <c r="Y600" i="1"/>
  <c r="Z600" i="1"/>
  <c r="X601" i="1"/>
  <c r="Y601" i="1"/>
  <c r="Z601" i="1"/>
  <c r="X602" i="1"/>
  <c r="Y602" i="1"/>
  <c r="Z602" i="1"/>
  <c r="X603" i="1"/>
  <c r="Y603" i="1"/>
  <c r="Z603" i="1"/>
  <c r="X604" i="1"/>
  <c r="Y604" i="1"/>
  <c r="Z604" i="1"/>
  <c r="X605" i="1"/>
  <c r="Y605" i="1"/>
  <c r="Z605" i="1"/>
  <c r="X606" i="1"/>
  <c r="Y606" i="1"/>
  <c r="Z606" i="1"/>
  <c r="X607" i="1"/>
  <c r="Y607" i="1"/>
  <c r="Z607" i="1"/>
  <c r="X608" i="1"/>
  <c r="Y608" i="1"/>
  <c r="Z608" i="1"/>
  <c r="X609" i="1"/>
  <c r="Y609" i="1"/>
  <c r="Z609" i="1"/>
  <c r="X610" i="1"/>
  <c r="Y610" i="1"/>
  <c r="Z610" i="1"/>
  <c r="X611" i="1"/>
  <c r="Y611" i="1"/>
  <c r="Z611" i="1"/>
  <c r="X612" i="1"/>
  <c r="Y612" i="1"/>
  <c r="Z612" i="1"/>
  <c r="X613" i="1"/>
  <c r="Y613" i="1"/>
  <c r="Z613" i="1"/>
  <c r="X614" i="1"/>
  <c r="Y614" i="1"/>
  <c r="Z614" i="1"/>
  <c r="X615" i="1"/>
  <c r="Y615" i="1"/>
  <c r="Z615" i="1"/>
  <c r="X616" i="1"/>
  <c r="Y616" i="1"/>
  <c r="Z616" i="1"/>
  <c r="X617" i="1"/>
  <c r="Y617" i="1"/>
  <c r="Z617" i="1"/>
  <c r="X618" i="1"/>
  <c r="Y618" i="1"/>
  <c r="Z618" i="1"/>
  <c r="X619" i="1"/>
  <c r="Y619" i="1"/>
  <c r="Z619" i="1"/>
  <c r="X620" i="1"/>
  <c r="Y620" i="1"/>
  <c r="Z620" i="1"/>
  <c r="X621" i="1"/>
  <c r="Y621" i="1"/>
  <c r="Z621" i="1"/>
  <c r="X622" i="1"/>
  <c r="Y622" i="1"/>
  <c r="Z622" i="1"/>
  <c r="X623" i="1"/>
  <c r="Y623" i="1"/>
  <c r="Z623" i="1"/>
  <c r="X624" i="1"/>
  <c r="Y624" i="1"/>
  <c r="Z624" i="1"/>
  <c r="X625" i="1"/>
  <c r="Y625" i="1"/>
  <c r="Z625" i="1"/>
  <c r="X626" i="1"/>
  <c r="Y626" i="1"/>
  <c r="Z626" i="1"/>
  <c r="X627" i="1"/>
  <c r="Y627" i="1"/>
  <c r="Z627" i="1"/>
  <c r="X628" i="1"/>
  <c r="Y628" i="1"/>
  <c r="Z628" i="1"/>
  <c r="X629" i="1"/>
  <c r="Y629" i="1"/>
  <c r="Z629" i="1"/>
  <c r="X630" i="1"/>
  <c r="Y630" i="1"/>
  <c r="Z630" i="1"/>
  <c r="X631" i="1"/>
  <c r="Y631" i="1"/>
  <c r="Z631" i="1"/>
  <c r="X632" i="1"/>
  <c r="Y632" i="1"/>
  <c r="Z632" i="1"/>
  <c r="X633" i="1"/>
  <c r="Y633" i="1"/>
  <c r="Z633" i="1"/>
  <c r="X634" i="1"/>
  <c r="Y634" i="1"/>
  <c r="Z634" i="1"/>
  <c r="X635" i="1"/>
  <c r="Y635" i="1"/>
  <c r="Z635" i="1"/>
  <c r="X636" i="1"/>
  <c r="Y636" i="1"/>
  <c r="Z636" i="1"/>
  <c r="X637" i="1"/>
  <c r="Y637" i="1"/>
  <c r="Z637" i="1"/>
  <c r="X638" i="1"/>
  <c r="Y638" i="1"/>
  <c r="Z638" i="1"/>
  <c r="X639" i="1"/>
  <c r="Y639" i="1"/>
  <c r="Z639" i="1"/>
  <c r="X640" i="1"/>
  <c r="Y640" i="1"/>
  <c r="Z640" i="1"/>
  <c r="X641" i="1"/>
  <c r="Y641" i="1"/>
  <c r="Z641" i="1"/>
  <c r="X642" i="1"/>
  <c r="Y642" i="1"/>
  <c r="Z642" i="1"/>
  <c r="X643" i="1"/>
  <c r="Y643" i="1"/>
  <c r="Z643" i="1"/>
  <c r="X644" i="1"/>
  <c r="Y644" i="1"/>
  <c r="Z644" i="1"/>
  <c r="X645" i="1"/>
  <c r="Y645" i="1"/>
  <c r="Z645" i="1"/>
  <c r="X646" i="1"/>
  <c r="Y646" i="1"/>
  <c r="Z646" i="1"/>
  <c r="X647" i="1"/>
  <c r="Y647" i="1"/>
  <c r="Z647" i="1"/>
  <c r="X648" i="1"/>
  <c r="Y648" i="1"/>
  <c r="Z648" i="1"/>
  <c r="X649" i="1"/>
  <c r="Y649" i="1"/>
  <c r="Z649" i="1"/>
  <c r="X650" i="1"/>
  <c r="Y650" i="1"/>
  <c r="Z650" i="1"/>
  <c r="X651" i="1"/>
  <c r="Y651" i="1"/>
  <c r="Z651" i="1"/>
  <c r="X652" i="1"/>
  <c r="Y652" i="1"/>
  <c r="Z652" i="1"/>
  <c r="X653" i="1"/>
  <c r="Y653" i="1"/>
  <c r="Z653" i="1"/>
  <c r="X654" i="1"/>
  <c r="Y654" i="1"/>
  <c r="Z654" i="1"/>
  <c r="X655" i="1"/>
  <c r="Y655" i="1"/>
  <c r="Z655" i="1"/>
  <c r="X656" i="1"/>
  <c r="Y656" i="1"/>
  <c r="Z656" i="1"/>
  <c r="X657" i="1"/>
  <c r="Y657" i="1"/>
  <c r="Z657" i="1"/>
  <c r="X658" i="1"/>
  <c r="Y658" i="1"/>
  <c r="Z658" i="1"/>
  <c r="X659" i="1"/>
  <c r="Y659" i="1"/>
  <c r="Z659" i="1"/>
  <c r="X660" i="1"/>
  <c r="Y660" i="1"/>
  <c r="Z660" i="1"/>
  <c r="X661" i="1"/>
  <c r="Y661" i="1"/>
  <c r="Z661" i="1"/>
  <c r="X662" i="1"/>
  <c r="Y662" i="1"/>
  <c r="Z662" i="1"/>
  <c r="X663" i="1"/>
  <c r="Y663" i="1"/>
  <c r="Z663" i="1"/>
  <c r="X664" i="1"/>
  <c r="Y664" i="1"/>
  <c r="Z664" i="1"/>
  <c r="X665" i="1"/>
  <c r="Y665" i="1"/>
  <c r="Z665" i="1"/>
  <c r="X666" i="1"/>
  <c r="Y666" i="1"/>
  <c r="Z666" i="1"/>
  <c r="X667" i="1"/>
  <c r="Y667" i="1"/>
  <c r="Z667" i="1"/>
  <c r="X668" i="1"/>
  <c r="Y668" i="1"/>
  <c r="Z668" i="1"/>
  <c r="X669" i="1"/>
  <c r="Y669" i="1"/>
  <c r="Z669" i="1"/>
  <c r="X670" i="1"/>
  <c r="Y670" i="1"/>
  <c r="Z670" i="1"/>
  <c r="X671" i="1"/>
  <c r="Y671" i="1"/>
  <c r="Z671" i="1"/>
  <c r="X672" i="1"/>
  <c r="Y672" i="1"/>
  <c r="Z672" i="1"/>
  <c r="X673" i="1"/>
  <c r="Y673" i="1"/>
  <c r="Z673" i="1"/>
  <c r="X674" i="1"/>
  <c r="Y674" i="1"/>
  <c r="Z674" i="1"/>
  <c r="X675" i="1"/>
  <c r="Y675" i="1"/>
  <c r="Z675" i="1"/>
  <c r="X676" i="1"/>
  <c r="Y676" i="1"/>
  <c r="Z676" i="1"/>
  <c r="X677" i="1"/>
  <c r="Y677" i="1"/>
  <c r="Z677" i="1"/>
  <c r="X678" i="1"/>
  <c r="Y678" i="1"/>
  <c r="Z678" i="1"/>
  <c r="X679" i="1"/>
  <c r="Y679" i="1"/>
  <c r="Z679" i="1"/>
  <c r="X680" i="1"/>
  <c r="Y680" i="1"/>
  <c r="Z680" i="1"/>
  <c r="X681" i="1"/>
  <c r="Y681" i="1"/>
  <c r="Z681" i="1"/>
  <c r="X682" i="1"/>
  <c r="Y682" i="1"/>
  <c r="Z682" i="1"/>
  <c r="X683" i="1"/>
  <c r="Y683" i="1"/>
  <c r="Z683" i="1"/>
  <c r="X684" i="1"/>
  <c r="Y684" i="1"/>
  <c r="Z684" i="1"/>
  <c r="X685" i="1"/>
  <c r="Y685" i="1"/>
  <c r="Z685" i="1"/>
  <c r="X686" i="1"/>
  <c r="Y686" i="1"/>
  <c r="Z686" i="1"/>
  <c r="X687" i="1"/>
  <c r="Y687" i="1"/>
  <c r="Z687" i="1"/>
  <c r="X688" i="1"/>
  <c r="Y688" i="1"/>
  <c r="Z688" i="1"/>
  <c r="X689" i="1"/>
  <c r="Y689" i="1"/>
  <c r="Z689" i="1"/>
  <c r="X690" i="1"/>
  <c r="Y690" i="1"/>
  <c r="Z690" i="1"/>
  <c r="X691" i="1"/>
  <c r="Y691" i="1"/>
  <c r="Z691" i="1"/>
  <c r="X692" i="1"/>
  <c r="Y692" i="1"/>
  <c r="Z692" i="1"/>
  <c r="X693" i="1"/>
  <c r="Y693" i="1"/>
  <c r="Z693" i="1"/>
  <c r="X694" i="1"/>
  <c r="Y694" i="1"/>
  <c r="Z694" i="1"/>
  <c r="X695" i="1"/>
  <c r="Y695" i="1"/>
  <c r="Z695" i="1"/>
  <c r="X696" i="1"/>
  <c r="Y696" i="1"/>
  <c r="Z696" i="1"/>
  <c r="X697" i="1"/>
  <c r="Y697" i="1"/>
  <c r="Z697" i="1"/>
  <c r="X698" i="1"/>
  <c r="Y698" i="1"/>
  <c r="Z698" i="1"/>
  <c r="X699" i="1"/>
  <c r="Y699" i="1"/>
  <c r="Z699" i="1"/>
  <c r="X700" i="1"/>
  <c r="Y700" i="1"/>
  <c r="Z700" i="1"/>
  <c r="X701" i="1"/>
  <c r="Y701" i="1"/>
  <c r="Z701" i="1"/>
  <c r="X702" i="1"/>
  <c r="Y702" i="1"/>
  <c r="Z702" i="1"/>
  <c r="X703" i="1"/>
  <c r="Y703" i="1"/>
  <c r="Z703" i="1"/>
  <c r="X704" i="1"/>
  <c r="Y704" i="1"/>
  <c r="Z704" i="1"/>
  <c r="X705" i="1"/>
  <c r="Y705" i="1"/>
  <c r="Z705" i="1"/>
  <c r="X706" i="1"/>
  <c r="Y706" i="1"/>
  <c r="Z706" i="1"/>
  <c r="X707" i="1"/>
  <c r="Y707" i="1"/>
  <c r="Z707" i="1"/>
  <c r="X708" i="1"/>
  <c r="Y708" i="1"/>
  <c r="Z708" i="1"/>
  <c r="X709" i="1"/>
  <c r="Y709" i="1"/>
  <c r="Z709" i="1"/>
  <c r="X710" i="1"/>
  <c r="Y710" i="1"/>
  <c r="Z710" i="1"/>
  <c r="X711" i="1"/>
  <c r="Y711" i="1"/>
  <c r="Z711" i="1"/>
  <c r="X712" i="1"/>
  <c r="Y712" i="1"/>
  <c r="Z712" i="1"/>
  <c r="X713" i="1"/>
  <c r="Y713" i="1"/>
  <c r="Z713" i="1"/>
  <c r="X714" i="1"/>
  <c r="Y714" i="1"/>
  <c r="Z714" i="1"/>
  <c r="X715" i="1"/>
  <c r="Y715" i="1"/>
  <c r="Z715" i="1"/>
  <c r="X716" i="1"/>
  <c r="Y716" i="1"/>
  <c r="Z716" i="1"/>
  <c r="X717" i="1"/>
  <c r="Y717" i="1"/>
  <c r="Z717" i="1"/>
  <c r="X718" i="1"/>
  <c r="Y718" i="1"/>
  <c r="Z718" i="1"/>
  <c r="X719" i="1"/>
  <c r="Y719" i="1"/>
  <c r="Z719" i="1"/>
  <c r="X720" i="1"/>
  <c r="Y720" i="1"/>
  <c r="Z720" i="1"/>
  <c r="X721" i="1"/>
  <c r="Y721" i="1"/>
  <c r="Z721" i="1"/>
  <c r="X722" i="1"/>
  <c r="Y722" i="1"/>
  <c r="Z722" i="1"/>
  <c r="X723" i="1"/>
  <c r="Y723" i="1"/>
  <c r="Z723" i="1"/>
  <c r="X724" i="1"/>
  <c r="Y724" i="1"/>
  <c r="Z724" i="1"/>
  <c r="X725" i="1"/>
  <c r="Y725" i="1"/>
  <c r="Z725" i="1"/>
  <c r="X726" i="1"/>
  <c r="Y726" i="1"/>
  <c r="Z726" i="1"/>
  <c r="X727" i="1"/>
  <c r="Y727" i="1"/>
  <c r="Z727" i="1"/>
  <c r="X728" i="1"/>
  <c r="Y728" i="1"/>
  <c r="Z728" i="1"/>
  <c r="X729" i="1"/>
  <c r="Y729" i="1"/>
  <c r="Z729" i="1"/>
  <c r="X730" i="1"/>
  <c r="Y730" i="1"/>
  <c r="Z730" i="1"/>
  <c r="X731" i="1"/>
  <c r="Y731" i="1"/>
  <c r="Z731" i="1"/>
  <c r="X732" i="1"/>
  <c r="Y732" i="1"/>
  <c r="Z732" i="1"/>
  <c r="X733" i="1"/>
  <c r="Y733" i="1"/>
  <c r="Z733" i="1"/>
  <c r="X734" i="1"/>
  <c r="Y734" i="1"/>
  <c r="Z734" i="1"/>
  <c r="X735" i="1"/>
  <c r="Y735" i="1"/>
  <c r="Z735" i="1"/>
  <c r="X736" i="1"/>
  <c r="Y736" i="1"/>
  <c r="Z736" i="1"/>
  <c r="X737" i="1"/>
  <c r="Y737" i="1"/>
  <c r="Z737" i="1"/>
  <c r="X738" i="1"/>
  <c r="Y738" i="1"/>
  <c r="Z738" i="1"/>
  <c r="X739" i="1"/>
  <c r="Y739" i="1"/>
  <c r="Z739" i="1"/>
  <c r="X740" i="1"/>
  <c r="Y740" i="1"/>
  <c r="Z740" i="1"/>
  <c r="X741" i="1"/>
  <c r="Y741" i="1"/>
  <c r="Z741" i="1"/>
  <c r="X742" i="1"/>
  <c r="Y742" i="1"/>
  <c r="Z742" i="1"/>
  <c r="X743" i="1"/>
  <c r="Y743" i="1"/>
  <c r="Z743" i="1"/>
  <c r="X744" i="1"/>
  <c r="Y744" i="1"/>
  <c r="Z744" i="1"/>
  <c r="X745" i="1"/>
  <c r="Y745" i="1"/>
  <c r="Z745" i="1"/>
  <c r="X746" i="1"/>
  <c r="Y746" i="1"/>
  <c r="Z746" i="1"/>
  <c r="X747" i="1"/>
  <c r="Y747" i="1"/>
  <c r="Z747" i="1"/>
  <c r="X748" i="1"/>
  <c r="Y748" i="1"/>
  <c r="Z748" i="1"/>
  <c r="X749" i="1"/>
  <c r="Y749" i="1"/>
  <c r="Z749" i="1"/>
  <c r="X750" i="1"/>
  <c r="Y750" i="1"/>
  <c r="Z750" i="1"/>
  <c r="X751" i="1"/>
  <c r="Y751" i="1"/>
  <c r="Z751" i="1"/>
  <c r="X752" i="1"/>
  <c r="Y752" i="1"/>
  <c r="Z752" i="1"/>
  <c r="X753" i="1"/>
  <c r="Y753" i="1"/>
  <c r="Z753" i="1"/>
  <c r="X754" i="1"/>
  <c r="Y754" i="1"/>
  <c r="Z754" i="1"/>
  <c r="X755" i="1"/>
  <c r="Y755" i="1"/>
  <c r="Z755" i="1"/>
  <c r="X756" i="1"/>
  <c r="Y756" i="1"/>
  <c r="Z756" i="1"/>
  <c r="X757" i="1"/>
  <c r="Y757" i="1"/>
  <c r="Z757" i="1"/>
  <c r="X758" i="1"/>
  <c r="Y758" i="1"/>
  <c r="Z758" i="1"/>
  <c r="X759" i="1"/>
  <c r="Y759" i="1"/>
  <c r="Z759" i="1"/>
  <c r="X760" i="1"/>
  <c r="Y760" i="1"/>
  <c r="Z760" i="1"/>
  <c r="X761" i="1"/>
  <c r="Y761" i="1"/>
  <c r="Z761" i="1"/>
  <c r="X762" i="1"/>
  <c r="Y762" i="1"/>
  <c r="Z762" i="1"/>
  <c r="X763" i="1"/>
  <c r="Y763" i="1"/>
  <c r="Z763" i="1"/>
  <c r="X764" i="1"/>
  <c r="Y764" i="1"/>
  <c r="Z764" i="1"/>
  <c r="X765" i="1"/>
  <c r="Y765" i="1"/>
  <c r="Z765" i="1"/>
  <c r="X766" i="1"/>
  <c r="Y766" i="1"/>
  <c r="Z766" i="1"/>
  <c r="X767" i="1"/>
  <c r="Y767" i="1"/>
  <c r="Z767" i="1"/>
  <c r="X768" i="1"/>
  <c r="Y768" i="1"/>
  <c r="Z768" i="1"/>
  <c r="X769" i="1"/>
  <c r="Y769" i="1"/>
  <c r="Z769" i="1"/>
  <c r="X770" i="1"/>
  <c r="Y770" i="1"/>
  <c r="Z770" i="1"/>
  <c r="X771" i="1"/>
  <c r="Y771" i="1"/>
  <c r="Z771" i="1"/>
  <c r="X772" i="1"/>
  <c r="Y772" i="1"/>
  <c r="Z772" i="1"/>
  <c r="X773" i="1"/>
  <c r="Y773" i="1"/>
  <c r="Z773" i="1"/>
  <c r="X774" i="1"/>
  <c r="Y774" i="1"/>
  <c r="Z774" i="1"/>
  <c r="X775" i="1"/>
  <c r="Y775" i="1"/>
  <c r="Z775" i="1"/>
  <c r="X776" i="1"/>
  <c r="Y776" i="1"/>
  <c r="Z776" i="1"/>
  <c r="X777" i="1"/>
  <c r="Y777" i="1"/>
  <c r="Z777" i="1"/>
  <c r="X778" i="1"/>
  <c r="Y778" i="1"/>
  <c r="Z778" i="1"/>
  <c r="X779" i="1"/>
  <c r="Y779" i="1"/>
  <c r="Z779" i="1"/>
  <c r="X780" i="1"/>
  <c r="Y780" i="1"/>
  <c r="Z780" i="1"/>
  <c r="X781" i="1"/>
  <c r="Y781" i="1"/>
  <c r="Z781" i="1"/>
  <c r="X782" i="1"/>
  <c r="Y782" i="1"/>
  <c r="Z782" i="1"/>
  <c r="X783" i="1"/>
  <c r="Y783" i="1"/>
  <c r="Z783" i="1"/>
  <c r="X784" i="1"/>
  <c r="Y784" i="1"/>
  <c r="Z784" i="1"/>
  <c r="X785" i="1"/>
  <c r="Y785" i="1"/>
  <c r="Z785" i="1"/>
  <c r="X786" i="1"/>
  <c r="Y786" i="1"/>
  <c r="Z786" i="1"/>
  <c r="X787" i="1"/>
  <c r="Y787" i="1"/>
  <c r="Z787" i="1"/>
  <c r="X788" i="1"/>
  <c r="Y788" i="1"/>
  <c r="Z788" i="1"/>
  <c r="X789" i="1"/>
  <c r="Y789" i="1"/>
  <c r="Z789" i="1"/>
  <c r="X790" i="1"/>
  <c r="Y790" i="1"/>
  <c r="Z790" i="1"/>
  <c r="X791" i="1"/>
  <c r="Y791" i="1"/>
  <c r="Z791" i="1"/>
  <c r="X792" i="1"/>
  <c r="Y792" i="1"/>
  <c r="Z792" i="1"/>
  <c r="X793" i="1"/>
  <c r="Y793" i="1"/>
  <c r="Z793" i="1"/>
  <c r="X794" i="1"/>
  <c r="Y794" i="1"/>
  <c r="Z794" i="1"/>
  <c r="X795" i="1"/>
  <c r="Y795" i="1"/>
  <c r="Z795" i="1"/>
  <c r="X796" i="1"/>
  <c r="Y796" i="1"/>
  <c r="Z796" i="1"/>
  <c r="X797" i="1"/>
  <c r="Y797" i="1"/>
  <c r="Z797" i="1"/>
  <c r="X798" i="1"/>
  <c r="Y798" i="1"/>
  <c r="Z798" i="1"/>
  <c r="X799" i="1"/>
  <c r="Y799" i="1"/>
  <c r="Z799" i="1"/>
  <c r="X800" i="1"/>
  <c r="Y800" i="1"/>
  <c r="Z800" i="1"/>
  <c r="X801" i="1"/>
  <c r="Y801" i="1"/>
  <c r="Z801" i="1"/>
  <c r="X802" i="1"/>
  <c r="Y802" i="1"/>
  <c r="Z802" i="1"/>
  <c r="X803" i="1"/>
  <c r="Y803" i="1"/>
  <c r="Z803" i="1"/>
  <c r="X804" i="1"/>
  <c r="Y804" i="1"/>
  <c r="Z804" i="1"/>
  <c r="X805" i="1"/>
  <c r="Y805" i="1"/>
  <c r="Z805" i="1"/>
  <c r="X806" i="1"/>
  <c r="Y806" i="1"/>
  <c r="Z806" i="1"/>
  <c r="X807" i="1"/>
  <c r="Y807" i="1"/>
  <c r="Z807" i="1"/>
  <c r="X808" i="1"/>
  <c r="Y808" i="1"/>
  <c r="Z808" i="1"/>
  <c r="X809" i="1"/>
  <c r="Y809" i="1"/>
  <c r="Z809" i="1"/>
  <c r="X810" i="1"/>
  <c r="Y810" i="1"/>
  <c r="Z810" i="1"/>
  <c r="X811" i="1"/>
  <c r="Y811" i="1"/>
  <c r="Z811" i="1"/>
  <c r="X812" i="1"/>
  <c r="Y812" i="1"/>
  <c r="Z812" i="1"/>
  <c r="X813" i="1"/>
  <c r="Y813" i="1"/>
  <c r="Z813" i="1"/>
  <c r="X814" i="1"/>
  <c r="Y814" i="1"/>
  <c r="Z814" i="1"/>
  <c r="X815" i="1"/>
  <c r="Y815" i="1"/>
  <c r="Z815" i="1"/>
  <c r="X816" i="1"/>
  <c r="Y816" i="1"/>
  <c r="Z816" i="1"/>
  <c r="X817" i="1"/>
  <c r="Y817" i="1"/>
  <c r="Z817" i="1"/>
  <c r="X818" i="1"/>
  <c r="Y818" i="1"/>
  <c r="Z818" i="1"/>
  <c r="X819" i="1"/>
  <c r="Y819" i="1"/>
  <c r="Z819" i="1"/>
  <c r="X820" i="1"/>
  <c r="Y820" i="1"/>
  <c r="Z820" i="1"/>
  <c r="X821" i="1"/>
  <c r="Y821" i="1"/>
  <c r="Z821" i="1"/>
  <c r="X822" i="1"/>
  <c r="Y822" i="1"/>
  <c r="Z822" i="1"/>
  <c r="X823" i="1"/>
  <c r="Y823" i="1"/>
  <c r="Z823" i="1"/>
  <c r="X824" i="1"/>
  <c r="Y824" i="1"/>
  <c r="Z824" i="1"/>
  <c r="X825" i="1"/>
  <c r="Y825" i="1"/>
  <c r="Z825" i="1"/>
  <c r="X826" i="1"/>
  <c r="Y826" i="1"/>
  <c r="Z826" i="1"/>
  <c r="X827" i="1"/>
  <c r="Y827" i="1"/>
  <c r="Z827" i="1"/>
  <c r="X828" i="1"/>
  <c r="Y828" i="1"/>
  <c r="Z828" i="1"/>
  <c r="X829" i="1"/>
  <c r="Y829" i="1"/>
  <c r="Z829" i="1"/>
  <c r="X830" i="1"/>
  <c r="Y830" i="1"/>
  <c r="Z830" i="1"/>
  <c r="X831" i="1"/>
  <c r="Y831" i="1"/>
  <c r="Z831" i="1"/>
  <c r="X832" i="1"/>
  <c r="Y832" i="1"/>
  <c r="Z832" i="1"/>
  <c r="X833" i="1"/>
  <c r="Y833" i="1"/>
  <c r="Z833" i="1"/>
  <c r="X834" i="1"/>
  <c r="Y834" i="1"/>
  <c r="Z834" i="1"/>
  <c r="X835" i="1"/>
  <c r="Y835" i="1"/>
  <c r="Z835" i="1"/>
  <c r="X836" i="1"/>
  <c r="Y836" i="1"/>
  <c r="Z836" i="1"/>
  <c r="X837" i="1"/>
  <c r="Y837" i="1"/>
  <c r="Z837" i="1"/>
  <c r="X838" i="1"/>
  <c r="Y838" i="1"/>
  <c r="Z838" i="1"/>
  <c r="X839" i="1"/>
  <c r="Y839" i="1"/>
  <c r="Z839" i="1"/>
  <c r="X840" i="1"/>
  <c r="Y840" i="1"/>
  <c r="Z840" i="1"/>
  <c r="X841" i="1"/>
  <c r="Y841" i="1"/>
  <c r="Z841" i="1"/>
  <c r="X842" i="1"/>
  <c r="Y842" i="1"/>
  <c r="Z842" i="1"/>
  <c r="X843" i="1"/>
  <c r="Y843" i="1"/>
  <c r="Z843" i="1"/>
  <c r="X844" i="1"/>
  <c r="Y844" i="1"/>
  <c r="Z844" i="1"/>
  <c r="X845" i="1"/>
  <c r="Y845" i="1"/>
  <c r="Z845" i="1"/>
  <c r="X846" i="1"/>
  <c r="Y846" i="1"/>
  <c r="Z846" i="1"/>
  <c r="X847" i="1"/>
  <c r="Y847" i="1"/>
  <c r="Z847" i="1"/>
  <c r="X848" i="1"/>
  <c r="Y848" i="1"/>
  <c r="Z848" i="1"/>
  <c r="X849" i="1"/>
  <c r="Y849" i="1"/>
  <c r="Z849" i="1"/>
  <c r="X850" i="1"/>
  <c r="Y850" i="1"/>
  <c r="Z850" i="1"/>
  <c r="X851" i="1"/>
  <c r="Y851" i="1"/>
  <c r="Z851" i="1"/>
  <c r="X852" i="1"/>
  <c r="Y852" i="1"/>
  <c r="Z852" i="1"/>
  <c r="X853" i="1"/>
  <c r="Y853" i="1"/>
  <c r="Z853" i="1"/>
  <c r="X854" i="1"/>
  <c r="Y854" i="1"/>
  <c r="Z854" i="1"/>
  <c r="X855" i="1"/>
  <c r="Y855" i="1"/>
  <c r="Z855" i="1"/>
  <c r="X856" i="1"/>
  <c r="Y856" i="1"/>
  <c r="Z856" i="1"/>
  <c r="X857" i="1"/>
  <c r="Y857" i="1"/>
  <c r="Z857" i="1"/>
  <c r="X858" i="1"/>
  <c r="Y858" i="1"/>
  <c r="Z858" i="1"/>
  <c r="X859" i="1"/>
  <c r="Y859" i="1"/>
  <c r="Z859" i="1"/>
  <c r="X860" i="1"/>
  <c r="Y860" i="1"/>
  <c r="Z860" i="1"/>
  <c r="X861" i="1"/>
  <c r="Y861" i="1"/>
  <c r="Z861" i="1"/>
  <c r="X862" i="1"/>
  <c r="Y862" i="1"/>
  <c r="Z862" i="1"/>
  <c r="X863" i="1"/>
  <c r="Y863" i="1"/>
  <c r="Z863" i="1"/>
  <c r="X864" i="1"/>
  <c r="Y864" i="1"/>
  <c r="Z864" i="1"/>
  <c r="X865" i="1"/>
  <c r="Y865" i="1"/>
  <c r="Z865" i="1"/>
  <c r="X866" i="1"/>
  <c r="Y866" i="1"/>
  <c r="Z866" i="1"/>
  <c r="X867" i="1"/>
  <c r="Y867" i="1"/>
  <c r="Z867" i="1"/>
  <c r="X868" i="1"/>
  <c r="Y868" i="1"/>
  <c r="Z868" i="1"/>
  <c r="X869" i="1"/>
  <c r="Y869" i="1"/>
  <c r="Z869" i="1"/>
  <c r="X870" i="1"/>
  <c r="Y870" i="1"/>
  <c r="Z870" i="1"/>
  <c r="X871" i="1"/>
  <c r="Y871" i="1"/>
  <c r="Z871" i="1"/>
  <c r="X872" i="1"/>
  <c r="Y872" i="1"/>
  <c r="Z872" i="1"/>
  <c r="X873" i="1"/>
  <c r="Y873" i="1"/>
  <c r="Z873" i="1"/>
  <c r="X874" i="1"/>
  <c r="Y874" i="1"/>
  <c r="Z874" i="1"/>
  <c r="X875" i="1"/>
  <c r="Y875" i="1"/>
  <c r="Z875" i="1"/>
  <c r="X876" i="1"/>
  <c r="Y876" i="1"/>
  <c r="Z876" i="1"/>
  <c r="X877" i="1"/>
  <c r="Y877" i="1"/>
  <c r="Z877" i="1"/>
  <c r="X878" i="1"/>
  <c r="Y878" i="1"/>
  <c r="Z878" i="1"/>
  <c r="X879" i="1"/>
  <c r="Y879" i="1"/>
  <c r="Z879" i="1"/>
  <c r="X880" i="1"/>
  <c r="Y880" i="1"/>
  <c r="Z880" i="1"/>
  <c r="X881" i="1"/>
  <c r="Y881" i="1"/>
  <c r="Z881" i="1"/>
  <c r="X882" i="1"/>
  <c r="Y882" i="1"/>
  <c r="Z882" i="1"/>
  <c r="X883" i="1"/>
  <c r="Y883" i="1"/>
  <c r="Z883" i="1"/>
  <c r="X884" i="1"/>
  <c r="Y884" i="1"/>
  <c r="Z884" i="1"/>
  <c r="X885" i="1"/>
  <c r="Y885" i="1"/>
  <c r="Z885" i="1"/>
  <c r="X886" i="1"/>
  <c r="Y886" i="1"/>
  <c r="Z886" i="1"/>
  <c r="X887" i="1"/>
  <c r="Y887" i="1"/>
  <c r="Z887" i="1"/>
  <c r="X888" i="1"/>
  <c r="Y888" i="1"/>
  <c r="Z888" i="1"/>
  <c r="X889" i="1"/>
  <c r="Y889" i="1"/>
  <c r="Z889" i="1"/>
  <c r="X890" i="1"/>
  <c r="Y890" i="1"/>
  <c r="Z890" i="1"/>
  <c r="X891" i="1"/>
  <c r="Y891" i="1"/>
  <c r="Z891" i="1"/>
  <c r="X892" i="1"/>
  <c r="Y892" i="1"/>
  <c r="Z892" i="1"/>
  <c r="X893" i="1"/>
  <c r="Y893" i="1"/>
  <c r="Z893" i="1"/>
  <c r="X894" i="1"/>
  <c r="Y894" i="1"/>
  <c r="Z894" i="1"/>
  <c r="X895" i="1"/>
  <c r="Y895" i="1"/>
  <c r="Z895" i="1"/>
  <c r="X896" i="1"/>
  <c r="Y896" i="1"/>
  <c r="Z896" i="1"/>
  <c r="X897" i="1"/>
  <c r="Y897" i="1"/>
  <c r="Z897" i="1"/>
  <c r="X898" i="1"/>
  <c r="Y898" i="1"/>
  <c r="Z898" i="1"/>
  <c r="X899" i="1"/>
  <c r="Y899" i="1"/>
  <c r="Z899" i="1"/>
  <c r="X900" i="1"/>
  <c r="Y900" i="1"/>
  <c r="Z900" i="1"/>
  <c r="X901" i="1"/>
  <c r="Y901" i="1"/>
  <c r="Z901" i="1"/>
  <c r="X902" i="1"/>
  <c r="Y902" i="1"/>
  <c r="Z902" i="1"/>
  <c r="X903" i="1"/>
  <c r="Y903" i="1"/>
  <c r="Z903" i="1"/>
  <c r="X904" i="1"/>
  <c r="Y904" i="1"/>
  <c r="Z904" i="1"/>
  <c r="X905" i="1"/>
  <c r="Y905" i="1"/>
  <c r="Z905" i="1"/>
  <c r="X906" i="1"/>
  <c r="Y906" i="1"/>
  <c r="Z906" i="1"/>
  <c r="X907" i="1"/>
  <c r="Y907" i="1"/>
  <c r="Z907" i="1"/>
  <c r="X908" i="1"/>
  <c r="Y908" i="1"/>
  <c r="Z908" i="1"/>
  <c r="X909" i="1"/>
  <c r="Y909" i="1"/>
  <c r="Z909" i="1"/>
  <c r="X910" i="1"/>
  <c r="Y910" i="1"/>
  <c r="Z910" i="1"/>
  <c r="X911" i="1"/>
  <c r="Y911" i="1"/>
  <c r="Z911" i="1"/>
  <c r="X912" i="1"/>
  <c r="Y912" i="1"/>
  <c r="Z912" i="1"/>
  <c r="X913" i="1"/>
  <c r="Y913" i="1"/>
  <c r="Z913" i="1"/>
  <c r="X914" i="1"/>
  <c r="Y914" i="1"/>
  <c r="Z914" i="1"/>
  <c r="X915" i="1"/>
  <c r="Y915" i="1"/>
  <c r="Z915" i="1"/>
  <c r="X916" i="1"/>
  <c r="Y916" i="1"/>
  <c r="Z916" i="1"/>
  <c r="X917" i="1"/>
  <c r="Y917" i="1"/>
  <c r="Z917" i="1"/>
  <c r="X918" i="1"/>
  <c r="Y918" i="1"/>
  <c r="Z918" i="1"/>
  <c r="X919" i="1"/>
  <c r="Y919" i="1"/>
  <c r="Z919" i="1"/>
  <c r="X920" i="1"/>
  <c r="Y920" i="1"/>
  <c r="Z920" i="1"/>
  <c r="X921" i="1"/>
  <c r="Y921" i="1"/>
  <c r="Z921" i="1"/>
  <c r="X922" i="1"/>
  <c r="Y922" i="1"/>
  <c r="Z922" i="1"/>
  <c r="X923" i="1"/>
  <c r="Y923" i="1"/>
  <c r="Z923" i="1"/>
  <c r="X924" i="1"/>
  <c r="Y924" i="1"/>
  <c r="Z924" i="1"/>
  <c r="X925" i="1"/>
  <c r="Y925" i="1"/>
  <c r="Z925" i="1"/>
  <c r="X926" i="1"/>
  <c r="Y926" i="1"/>
  <c r="Z926" i="1"/>
  <c r="X927" i="1"/>
  <c r="Y927" i="1"/>
  <c r="Z927" i="1"/>
  <c r="X928" i="1"/>
  <c r="Y928" i="1"/>
  <c r="Z928" i="1"/>
  <c r="X929" i="1"/>
  <c r="Y929" i="1"/>
  <c r="Z929" i="1"/>
  <c r="X930" i="1"/>
  <c r="Y930" i="1"/>
  <c r="Z930" i="1"/>
  <c r="X931" i="1"/>
  <c r="Y931" i="1"/>
  <c r="Z931" i="1"/>
  <c r="X932" i="1"/>
  <c r="Y932" i="1"/>
  <c r="Z932" i="1"/>
  <c r="X933" i="1"/>
  <c r="Y933" i="1"/>
  <c r="Z933" i="1"/>
  <c r="X934" i="1"/>
  <c r="Y934" i="1"/>
  <c r="Z934" i="1"/>
  <c r="X935" i="1"/>
  <c r="Y935" i="1"/>
  <c r="Z935" i="1"/>
  <c r="X936" i="1"/>
  <c r="Y936" i="1"/>
  <c r="Z936" i="1"/>
  <c r="X937" i="1"/>
  <c r="Y937" i="1"/>
  <c r="Z937" i="1"/>
  <c r="X938" i="1"/>
  <c r="Y938" i="1"/>
  <c r="Z938" i="1"/>
  <c r="X939" i="1"/>
  <c r="Y939" i="1"/>
  <c r="Z939" i="1"/>
  <c r="X940" i="1"/>
  <c r="Y940" i="1"/>
  <c r="Z940" i="1"/>
  <c r="X941" i="1"/>
  <c r="Y941" i="1"/>
  <c r="Z941" i="1"/>
  <c r="X942" i="1"/>
  <c r="Y942" i="1"/>
  <c r="Z942" i="1"/>
  <c r="X943" i="1"/>
  <c r="Y943" i="1"/>
  <c r="Z943" i="1"/>
  <c r="X944" i="1"/>
  <c r="Y944" i="1"/>
  <c r="Z944" i="1"/>
  <c r="X945" i="1"/>
  <c r="Y945" i="1"/>
  <c r="Z945" i="1"/>
  <c r="X946" i="1"/>
  <c r="Y946" i="1"/>
  <c r="Z946" i="1"/>
  <c r="X947" i="1"/>
  <c r="Y947" i="1"/>
  <c r="Z947" i="1"/>
  <c r="X948" i="1"/>
  <c r="Y948" i="1"/>
  <c r="Z948" i="1"/>
  <c r="X949" i="1"/>
  <c r="Y949" i="1"/>
  <c r="Z949" i="1"/>
  <c r="X950" i="1"/>
  <c r="Y950" i="1"/>
  <c r="Z950" i="1"/>
  <c r="X951" i="1"/>
  <c r="Y951" i="1"/>
  <c r="Z951" i="1"/>
  <c r="X952" i="1"/>
  <c r="Y952" i="1"/>
  <c r="Z952" i="1"/>
  <c r="X953" i="1"/>
  <c r="Y953" i="1"/>
  <c r="Z953" i="1"/>
  <c r="X954" i="1"/>
  <c r="Y954" i="1"/>
  <c r="Z954" i="1"/>
  <c r="X955" i="1"/>
  <c r="Y955" i="1"/>
  <c r="Z955" i="1"/>
  <c r="X956" i="1"/>
  <c r="Y956" i="1"/>
  <c r="Z956" i="1"/>
  <c r="X957" i="1"/>
  <c r="Y957" i="1"/>
  <c r="Z957" i="1"/>
  <c r="X958" i="1"/>
  <c r="Y958" i="1"/>
  <c r="Z958" i="1"/>
  <c r="X959" i="1"/>
  <c r="Y959" i="1"/>
  <c r="Z959" i="1"/>
  <c r="X960" i="1"/>
  <c r="Y960" i="1"/>
  <c r="Z960" i="1"/>
  <c r="X961" i="1"/>
  <c r="Y961" i="1"/>
  <c r="Z961" i="1"/>
  <c r="X962" i="1"/>
  <c r="Y962" i="1"/>
  <c r="Z962" i="1"/>
  <c r="X963" i="1"/>
  <c r="Y963" i="1"/>
  <c r="Z963" i="1"/>
  <c r="X964" i="1"/>
  <c r="Y964" i="1"/>
  <c r="Z964" i="1"/>
  <c r="X965" i="1"/>
  <c r="Y965" i="1"/>
  <c r="Z965" i="1"/>
  <c r="X966" i="1"/>
  <c r="Y966" i="1"/>
  <c r="Z966" i="1"/>
  <c r="X967" i="1"/>
  <c r="Y967" i="1"/>
  <c r="Z967" i="1"/>
  <c r="X968" i="1"/>
  <c r="Y968" i="1"/>
  <c r="Z968" i="1"/>
  <c r="X969" i="1"/>
  <c r="Y969" i="1"/>
  <c r="Z969" i="1"/>
  <c r="X970" i="1"/>
  <c r="Y970" i="1"/>
  <c r="Z970" i="1"/>
  <c r="X971" i="1"/>
  <c r="Y971" i="1"/>
  <c r="Z971" i="1"/>
  <c r="X972" i="1"/>
  <c r="Y972" i="1"/>
  <c r="Z972" i="1"/>
  <c r="X973" i="1"/>
  <c r="Y973" i="1"/>
  <c r="Z973" i="1"/>
  <c r="X974" i="1"/>
  <c r="Y974" i="1"/>
  <c r="Z974" i="1"/>
  <c r="X975" i="1"/>
  <c r="Y975" i="1"/>
  <c r="Z975" i="1"/>
  <c r="X976" i="1"/>
  <c r="Y976" i="1"/>
  <c r="Z976" i="1"/>
  <c r="X977" i="1"/>
  <c r="Y977" i="1"/>
  <c r="Z977" i="1"/>
  <c r="X978" i="1"/>
  <c r="Y978" i="1"/>
  <c r="Z978" i="1"/>
  <c r="X979" i="1"/>
  <c r="Y979" i="1"/>
  <c r="Z979" i="1"/>
  <c r="X980" i="1"/>
  <c r="Y980" i="1"/>
  <c r="Z980" i="1"/>
  <c r="X981" i="1"/>
  <c r="Y981" i="1"/>
  <c r="Z981" i="1"/>
  <c r="X982" i="1"/>
  <c r="Y982" i="1"/>
  <c r="Z982" i="1"/>
  <c r="X983" i="1"/>
  <c r="Y983" i="1"/>
  <c r="Z983" i="1"/>
  <c r="X984" i="1"/>
  <c r="Y984" i="1"/>
  <c r="Z984" i="1"/>
  <c r="X985" i="1"/>
  <c r="Y985" i="1"/>
  <c r="Z985" i="1"/>
  <c r="X986" i="1"/>
  <c r="Y986" i="1"/>
  <c r="Z986" i="1"/>
  <c r="X987" i="1"/>
  <c r="Y987" i="1"/>
  <c r="Z987" i="1"/>
  <c r="X988" i="1"/>
  <c r="Y988" i="1"/>
  <c r="Z988" i="1"/>
  <c r="X989" i="1"/>
  <c r="Y989" i="1"/>
  <c r="Z989" i="1"/>
  <c r="X990" i="1"/>
  <c r="Y990" i="1"/>
  <c r="Z990" i="1"/>
  <c r="X991" i="1"/>
  <c r="Y991" i="1"/>
  <c r="Z991" i="1"/>
  <c r="X992" i="1"/>
  <c r="Y992" i="1"/>
  <c r="Z992" i="1"/>
  <c r="X993" i="1"/>
  <c r="Y993" i="1"/>
  <c r="Z993" i="1"/>
  <c r="X994" i="1"/>
  <c r="Y994" i="1"/>
  <c r="Z994" i="1"/>
  <c r="X995" i="1"/>
  <c r="Y995" i="1"/>
  <c r="Z995" i="1"/>
  <c r="X996" i="1"/>
  <c r="Y996" i="1"/>
  <c r="Z996" i="1"/>
  <c r="X997" i="1"/>
  <c r="Y997" i="1"/>
  <c r="Z997" i="1"/>
  <c r="X998" i="1"/>
  <c r="Y998" i="1"/>
  <c r="Z998" i="1"/>
  <c r="X999" i="1"/>
  <c r="Y999" i="1"/>
  <c r="Z999" i="1"/>
  <c r="X1000" i="1"/>
  <c r="Y1000" i="1"/>
  <c r="Z1000" i="1"/>
  <c r="X1001" i="1"/>
  <c r="Y1001" i="1"/>
  <c r="Z1001" i="1"/>
  <c r="X1002" i="1"/>
  <c r="Y1002" i="1"/>
  <c r="Z1002" i="1"/>
  <c r="X1003" i="1"/>
  <c r="Y1003" i="1"/>
  <c r="Z1003" i="1"/>
  <c r="X1004" i="1"/>
  <c r="Y1004" i="1"/>
  <c r="Z1004" i="1"/>
  <c r="X1005" i="1"/>
  <c r="Y1005" i="1"/>
  <c r="Z1005" i="1"/>
  <c r="X1006" i="1"/>
  <c r="Y1006" i="1"/>
  <c r="Z1006" i="1"/>
  <c r="X1007" i="1"/>
  <c r="Y1007" i="1"/>
  <c r="Z1007" i="1"/>
  <c r="X1008" i="1"/>
  <c r="Y1008" i="1"/>
  <c r="Z1008" i="1"/>
  <c r="X1009" i="1"/>
  <c r="Y1009" i="1"/>
  <c r="Z1009" i="1"/>
  <c r="X1010" i="1"/>
  <c r="Y1010" i="1"/>
  <c r="Z1010" i="1"/>
  <c r="X1011" i="1"/>
  <c r="Y1011" i="1"/>
  <c r="Z1011" i="1"/>
  <c r="X1012" i="1"/>
  <c r="Y1012" i="1"/>
  <c r="Z1012" i="1"/>
  <c r="X1013" i="1"/>
  <c r="Y1013" i="1"/>
  <c r="Z1013" i="1"/>
  <c r="X1014" i="1"/>
  <c r="Y1014" i="1"/>
  <c r="Z1014" i="1"/>
  <c r="X1015" i="1"/>
  <c r="Y1015" i="1"/>
  <c r="Z1015" i="1"/>
  <c r="X1016" i="1"/>
  <c r="Y1016" i="1"/>
  <c r="Z1016" i="1"/>
  <c r="X1017" i="1"/>
  <c r="Y1017" i="1"/>
  <c r="Z1017" i="1"/>
  <c r="X1018" i="1"/>
  <c r="Y1018" i="1"/>
  <c r="Z1018" i="1"/>
  <c r="X1019" i="1"/>
  <c r="Y1019" i="1"/>
  <c r="Z1019" i="1"/>
  <c r="X1020" i="1"/>
  <c r="Y1020" i="1"/>
  <c r="Z1020" i="1"/>
  <c r="X1021" i="1"/>
  <c r="Y1021" i="1"/>
  <c r="Z1021" i="1"/>
  <c r="X1022" i="1"/>
  <c r="Y1022" i="1"/>
  <c r="Z1022" i="1"/>
  <c r="X1023" i="1"/>
  <c r="Y1023" i="1"/>
  <c r="Z1023" i="1"/>
  <c r="X1024" i="1"/>
  <c r="Y1024" i="1"/>
  <c r="Z1024" i="1"/>
  <c r="X1025" i="1"/>
  <c r="Y1025" i="1"/>
  <c r="Z1025" i="1"/>
  <c r="X1026" i="1"/>
  <c r="Y1026" i="1"/>
  <c r="Z1026" i="1"/>
  <c r="X1027" i="1"/>
  <c r="Y1027" i="1"/>
  <c r="Z1027" i="1"/>
  <c r="X1028" i="1"/>
  <c r="Y1028" i="1"/>
  <c r="Z1028" i="1"/>
  <c r="X1029" i="1"/>
  <c r="Y1029" i="1"/>
  <c r="Z1029" i="1"/>
  <c r="X1030" i="1"/>
  <c r="Y1030" i="1"/>
  <c r="Z1030" i="1"/>
  <c r="X1031" i="1"/>
  <c r="Y1031" i="1"/>
  <c r="Z1031" i="1"/>
  <c r="X1032" i="1"/>
  <c r="Y1032" i="1"/>
  <c r="Z1032" i="1"/>
  <c r="X1033" i="1"/>
  <c r="Y1033" i="1"/>
  <c r="Z1033" i="1"/>
  <c r="X1034" i="1"/>
  <c r="Y1034" i="1"/>
  <c r="Z1034" i="1"/>
  <c r="X1035" i="1"/>
  <c r="Y1035" i="1"/>
  <c r="Z1035" i="1"/>
  <c r="X1036" i="1"/>
  <c r="Y1036" i="1"/>
  <c r="Z1036" i="1"/>
  <c r="X1037" i="1"/>
  <c r="Y1037" i="1"/>
  <c r="Z1037" i="1"/>
  <c r="X1038" i="1"/>
  <c r="Y1038" i="1"/>
  <c r="Z1038" i="1"/>
  <c r="X1039" i="1"/>
  <c r="Y1039" i="1"/>
  <c r="Z1039" i="1"/>
  <c r="X1040" i="1"/>
  <c r="Y1040" i="1"/>
  <c r="Z1040" i="1"/>
  <c r="X1041" i="1"/>
  <c r="Y1041" i="1"/>
  <c r="Z1041" i="1"/>
  <c r="X1042" i="1"/>
  <c r="Y1042" i="1"/>
  <c r="Z1042" i="1"/>
  <c r="X1043" i="1"/>
  <c r="Y1043" i="1"/>
  <c r="Z1043" i="1"/>
  <c r="X1044" i="1"/>
  <c r="Y1044" i="1"/>
  <c r="Z1044" i="1"/>
  <c r="X1045" i="1"/>
  <c r="Y1045" i="1"/>
  <c r="Z1045" i="1"/>
  <c r="X1046" i="1"/>
  <c r="Y1046" i="1"/>
  <c r="Z1046" i="1"/>
  <c r="X1047" i="1"/>
  <c r="Y1047" i="1"/>
  <c r="Z1047" i="1"/>
  <c r="X1048" i="1"/>
  <c r="Y1048" i="1"/>
  <c r="Z1048" i="1"/>
  <c r="X1049" i="1"/>
  <c r="Y1049" i="1"/>
  <c r="Z1049" i="1"/>
  <c r="X1050" i="1"/>
  <c r="Y1050" i="1"/>
  <c r="Z1050" i="1"/>
  <c r="X1051" i="1"/>
  <c r="Y1051" i="1"/>
  <c r="Z1051" i="1"/>
  <c r="X1052" i="1"/>
  <c r="Y1052" i="1"/>
  <c r="Z1052" i="1"/>
  <c r="X1053" i="1"/>
  <c r="Y1053" i="1"/>
  <c r="Z1053" i="1"/>
  <c r="X1054" i="1"/>
  <c r="Y1054" i="1"/>
  <c r="Z1054" i="1"/>
  <c r="X1055" i="1"/>
  <c r="Y1055" i="1"/>
  <c r="Z1055" i="1"/>
  <c r="X1056" i="1"/>
  <c r="Y1056" i="1"/>
  <c r="Z1056" i="1"/>
  <c r="X1057" i="1"/>
  <c r="Y1057" i="1"/>
  <c r="Z1057" i="1"/>
  <c r="X1058" i="1"/>
  <c r="Y1058" i="1"/>
  <c r="Z1058" i="1"/>
  <c r="X1059" i="1"/>
  <c r="Y1059" i="1"/>
  <c r="Z1059" i="1"/>
  <c r="X1060" i="1"/>
  <c r="Y1060" i="1"/>
  <c r="Z1060" i="1"/>
  <c r="X1061" i="1"/>
  <c r="Y1061" i="1"/>
  <c r="Z1061" i="1"/>
  <c r="X1062" i="1"/>
  <c r="Y1062" i="1"/>
  <c r="Z1062" i="1"/>
  <c r="X1063" i="1"/>
  <c r="Y1063" i="1"/>
  <c r="Z1063" i="1"/>
  <c r="X1064" i="1"/>
  <c r="Y1064" i="1"/>
  <c r="Z1064" i="1"/>
  <c r="X1065" i="1"/>
  <c r="Y1065" i="1"/>
  <c r="Z1065" i="1"/>
  <c r="X1066" i="1"/>
  <c r="Y1066" i="1"/>
  <c r="Z1066" i="1"/>
  <c r="X1067" i="1"/>
  <c r="Y1067" i="1"/>
  <c r="Z1067" i="1"/>
  <c r="X1068" i="1"/>
  <c r="Y1068" i="1"/>
  <c r="Z1068" i="1"/>
  <c r="X1069" i="1"/>
  <c r="Y1069" i="1"/>
  <c r="Z1069" i="1"/>
  <c r="X1070" i="1"/>
  <c r="Y1070" i="1"/>
  <c r="Z1070" i="1"/>
  <c r="X1071" i="1"/>
  <c r="Y1071" i="1"/>
  <c r="Z1071" i="1"/>
  <c r="X1072" i="1"/>
  <c r="Y1072" i="1"/>
  <c r="Z1072" i="1"/>
  <c r="X1073" i="1"/>
  <c r="Y1073" i="1"/>
  <c r="Z1073" i="1"/>
  <c r="X1074" i="1"/>
  <c r="Y1074" i="1"/>
  <c r="Z1074" i="1"/>
  <c r="X1075" i="1"/>
  <c r="Y1075" i="1"/>
  <c r="Z1075" i="1"/>
  <c r="X1076" i="1"/>
  <c r="Y1076" i="1"/>
  <c r="Z1076" i="1"/>
  <c r="X1077" i="1"/>
  <c r="Y1077" i="1"/>
  <c r="Z1077" i="1"/>
  <c r="X1078" i="1"/>
  <c r="Y1078" i="1"/>
  <c r="Z1078" i="1"/>
  <c r="X1079" i="1"/>
  <c r="Y1079" i="1"/>
  <c r="Z1079" i="1"/>
  <c r="X1080" i="1"/>
  <c r="Y1080" i="1"/>
  <c r="Z1080" i="1"/>
  <c r="X1081" i="1"/>
  <c r="Y1081" i="1"/>
  <c r="Z1081" i="1"/>
  <c r="X1082" i="1"/>
  <c r="Y1082" i="1"/>
  <c r="Z1082" i="1"/>
  <c r="X1083" i="1"/>
  <c r="Y1083" i="1"/>
  <c r="Z1083" i="1"/>
  <c r="X1084" i="1"/>
  <c r="Y1084" i="1"/>
  <c r="Z1084" i="1"/>
  <c r="X1085" i="1"/>
  <c r="Y1085" i="1"/>
  <c r="Z1085" i="1"/>
  <c r="X1086" i="1"/>
  <c r="Y1086" i="1"/>
  <c r="Z1086" i="1"/>
  <c r="X1087" i="1"/>
  <c r="Y1087" i="1"/>
  <c r="Z1087" i="1"/>
  <c r="X1088" i="1"/>
  <c r="Y1088" i="1"/>
  <c r="Z1088" i="1"/>
  <c r="X1089" i="1"/>
  <c r="Y1089" i="1"/>
  <c r="Z1089" i="1"/>
  <c r="X1090" i="1"/>
  <c r="Y1090" i="1"/>
  <c r="Z1090" i="1"/>
  <c r="X1091" i="1"/>
  <c r="Y1091" i="1"/>
  <c r="Z1091" i="1"/>
  <c r="X1092" i="1"/>
  <c r="Y1092" i="1"/>
  <c r="Z1092" i="1"/>
  <c r="X1093" i="1"/>
  <c r="Y1093" i="1"/>
  <c r="Z1093" i="1"/>
  <c r="X1094" i="1"/>
  <c r="Y1094" i="1"/>
  <c r="Z1094" i="1"/>
  <c r="X1095" i="1"/>
  <c r="Y1095" i="1"/>
  <c r="Z1095" i="1"/>
  <c r="X1096" i="1"/>
  <c r="Y1096" i="1"/>
  <c r="Z1096" i="1"/>
  <c r="X1097" i="1"/>
  <c r="Y1097" i="1"/>
  <c r="Z1097" i="1"/>
  <c r="X1098" i="1"/>
  <c r="Y1098" i="1"/>
  <c r="Z1098" i="1"/>
  <c r="X1099" i="1"/>
  <c r="Y1099" i="1"/>
  <c r="Z1099" i="1"/>
  <c r="X1100" i="1"/>
  <c r="Y1100" i="1"/>
  <c r="Z1100" i="1"/>
  <c r="X1101" i="1"/>
  <c r="Y1101" i="1"/>
  <c r="Z1101" i="1"/>
  <c r="X1102" i="1"/>
  <c r="Y1102" i="1"/>
  <c r="Z1102" i="1"/>
  <c r="X1103" i="1"/>
  <c r="Y1103" i="1"/>
  <c r="Z1103" i="1"/>
  <c r="X1104" i="1"/>
  <c r="Y1104" i="1"/>
  <c r="Z1104" i="1"/>
  <c r="X1105" i="1"/>
  <c r="Y1105" i="1"/>
  <c r="Z1105" i="1"/>
  <c r="X1106" i="1"/>
  <c r="Y1106" i="1"/>
  <c r="Z1106" i="1"/>
  <c r="X1107" i="1"/>
  <c r="Y1107" i="1"/>
  <c r="Z1107" i="1"/>
  <c r="X1108" i="1"/>
  <c r="Y1108" i="1"/>
  <c r="Z1108" i="1"/>
  <c r="X1109" i="1"/>
  <c r="Y1109" i="1"/>
  <c r="Z1109" i="1"/>
  <c r="X1110" i="1"/>
  <c r="Y1110" i="1"/>
  <c r="Z1110" i="1"/>
  <c r="X1111" i="1"/>
  <c r="Y1111" i="1"/>
  <c r="Z1111" i="1"/>
  <c r="X1112" i="1"/>
  <c r="Y1112" i="1"/>
  <c r="Z1112" i="1"/>
  <c r="X1113" i="1"/>
  <c r="Y1113" i="1"/>
  <c r="Z1113" i="1"/>
  <c r="X1114" i="1"/>
  <c r="Y1114" i="1"/>
  <c r="Z1114" i="1"/>
  <c r="X1115" i="1"/>
  <c r="Y1115" i="1"/>
  <c r="Z1115" i="1"/>
  <c r="X1116" i="1"/>
  <c r="Y1116" i="1"/>
  <c r="Z1116" i="1"/>
  <c r="X1117" i="1"/>
  <c r="Y1117" i="1"/>
  <c r="Z1117" i="1"/>
  <c r="X1118" i="1"/>
  <c r="Y1118" i="1"/>
  <c r="Z1118" i="1"/>
  <c r="X1119" i="1"/>
  <c r="Y1119" i="1"/>
  <c r="Z1119" i="1"/>
  <c r="X1120" i="1"/>
  <c r="Y1120" i="1"/>
  <c r="Z1120" i="1"/>
  <c r="X1121" i="1"/>
  <c r="Y1121" i="1"/>
  <c r="Z1121" i="1"/>
  <c r="X1122" i="1"/>
  <c r="Y1122" i="1"/>
  <c r="Z1122" i="1"/>
  <c r="X1123" i="1"/>
  <c r="Y1123" i="1"/>
  <c r="Z1123" i="1"/>
  <c r="X1124" i="1"/>
  <c r="Y1124" i="1"/>
  <c r="Z1124" i="1"/>
  <c r="X1125" i="1"/>
  <c r="Y1125" i="1"/>
  <c r="Z1125" i="1"/>
  <c r="X1126" i="1"/>
  <c r="Y1126" i="1"/>
  <c r="Z1126" i="1"/>
  <c r="X1127" i="1"/>
  <c r="Y1127" i="1"/>
  <c r="Z1127" i="1"/>
  <c r="X1128" i="1"/>
  <c r="Y1128" i="1"/>
  <c r="Z1128" i="1"/>
  <c r="X1129" i="1"/>
  <c r="Y1129" i="1"/>
  <c r="Z1129" i="1"/>
  <c r="X1130" i="1"/>
  <c r="Y1130" i="1"/>
  <c r="Z1130" i="1"/>
  <c r="X1131" i="1"/>
  <c r="Y1131" i="1"/>
  <c r="Z1131" i="1"/>
  <c r="X1132" i="1"/>
  <c r="Y1132" i="1"/>
  <c r="Z1132" i="1"/>
  <c r="X1133" i="1"/>
  <c r="Y1133" i="1"/>
  <c r="Z1133" i="1"/>
  <c r="X1134" i="1"/>
  <c r="Y1134" i="1"/>
  <c r="Z1134" i="1"/>
  <c r="X1135" i="1"/>
  <c r="Y1135" i="1"/>
  <c r="Z1135" i="1"/>
  <c r="X1136" i="1"/>
  <c r="Y1136" i="1"/>
  <c r="Z1136" i="1"/>
  <c r="X1137" i="1"/>
  <c r="Y1137" i="1"/>
  <c r="Z1137" i="1"/>
  <c r="X1138" i="1"/>
  <c r="Y1138" i="1"/>
  <c r="Z1138" i="1"/>
  <c r="X1139" i="1"/>
  <c r="Y1139" i="1"/>
  <c r="Z1139" i="1"/>
  <c r="X1140" i="1"/>
  <c r="Y1140" i="1"/>
  <c r="Z1140" i="1"/>
  <c r="X1141" i="1"/>
  <c r="Y1141" i="1"/>
  <c r="Z1141" i="1"/>
  <c r="X1142" i="1"/>
  <c r="Y1142" i="1"/>
  <c r="Z1142" i="1"/>
  <c r="X1143" i="1"/>
  <c r="Y1143" i="1"/>
  <c r="Z1143" i="1"/>
  <c r="X1144" i="1"/>
  <c r="Y1144" i="1"/>
  <c r="Z1144" i="1"/>
  <c r="X1145" i="1"/>
  <c r="Y1145" i="1"/>
  <c r="Z1145" i="1"/>
  <c r="X1146" i="1"/>
  <c r="Y1146" i="1"/>
  <c r="Z1146" i="1"/>
  <c r="X1147" i="1"/>
  <c r="Y1147" i="1"/>
  <c r="Z1147" i="1"/>
  <c r="X1148" i="1"/>
  <c r="Y1148" i="1"/>
  <c r="Z1148" i="1"/>
  <c r="X1149" i="1"/>
  <c r="Y1149" i="1"/>
  <c r="Z1149" i="1"/>
  <c r="X1150" i="1"/>
  <c r="Y1150" i="1"/>
  <c r="Z1150" i="1"/>
  <c r="X1151" i="1"/>
  <c r="Y1151" i="1"/>
  <c r="Z1151" i="1"/>
  <c r="X1152" i="1"/>
  <c r="Y1152" i="1"/>
  <c r="Z1152" i="1"/>
  <c r="X1153" i="1"/>
  <c r="Y1153" i="1"/>
  <c r="Z1153" i="1"/>
  <c r="X1154" i="1"/>
  <c r="Y1154" i="1"/>
  <c r="Z1154" i="1"/>
  <c r="X1155" i="1"/>
  <c r="Y1155" i="1"/>
  <c r="Z1155" i="1"/>
  <c r="X1156" i="1"/>
  <c r="Y1156" i="1"/>
  <c r="Z1156" i="1"/>
  <c r="X1157" i="1"/>
  <c r="Y1157" i="1"/>
  <c r="Z1157" i="1"/>
  <c r="X1158" i="1"/>
  <c r="Y1158" i="1"/>
  <c r="Z1158" i="1"/>
  <c r="X1159" i="1"/>
  <c r="Y1159" i="1"/>
  <c r="Z1159" i="1"/>
  <c r="X1160" i="1"/>
  <c r="Y1160" i="1"/>
  <c r="Z1160" i="1"/>
  <c r="X1161" i="1"/>
  <c r="Y1161" i="1"/>
  <c r="Z1161" i="1"/>
  <c r="X1162" i="1"/>
  <c r="Y1162" i="1"/>
  <c r="Z1162" i="1"/>
  <c r="X1163" i="1"/>
  <c r="Y1163" i="1"/>
  <c r="Z1163" i="1"/>
  <c r="X1164" i="1"/>
  <c r="Y1164" i="1"/>
  <c r="Z1164" i="1"/>
  <c r="X1165" i="1"/>
  <c r="Y1165" i="1"/>
  <c r="Z1165" i="1"/>
  <c r="X1166" i="1"/>
  <c r="Y1166" i="1"/>
  <c r="Z1166" i="1"/>
  <c r="X1167" i="1"/>
  <c r="Y1167" i="1"/>
  <c r="Z1167" i="1"/>
  <c r="X1168" i="1"/>
  <c r="Y1168" i="1"/>
  <c r="Z1168" i="1"/>
  <c r="X1169" i="1"/>
  <c r="Y1169" i="1"/>
  <c r="Z1169" i="1"/>
  <c r="X1170" i="1"/>
  <c r="Y1170" i="1"/>
  <c r="Z1170" i="1"/>
  <c r="X1171" i="1"/>
  <c r="Y1171" i="1"/>
  <c r="Z1171" i="1"/>
  <c r="X1172" i="1"/>
  <c r="Y1172" i="1"/>
  <c r="Z1172" i="1"/>
  <c r="X1173" i="1"/>
  <c r="Y1173" i="1"/>
  <c r="Z1173" i="1"/>
  <c r="X1174" i="1"/>
  <c r="Y1174" i="1"/>
  <c r="Z1174" i="1"/>
  <c r="X1175" i="1"/>
  <c r="Y1175" i="1"/>
  <c r="Z1175" i="1"/>
  <c r="X1176" i="1"/>
  <c r="Y1176" i="1"/>
  <c r="Z1176" i="1"/>
  <c r="X1177" i="1"/>
  <c r="Y1177" i="1"/>
  <c r="Z1177" i="1"/>
  <c r="X1178" i="1"/>
  <c r="Y1178" i="1"/>
  <c r="Z1178" i="1"/>
  <c r="X1179" i="1"/>
  <c r="Y1179" i="1"/>
  <c r="Z1179" i="1"/>
  <c r="X1180" i="1"/>
  <c r="Y1180" i="1"/>
  <c r="Z1180" i="1"/>
  <c r="X1181" i="1"/>
  <c r="Y1181" i="1"/>
  <c r="Z1181" i="1"/>
  <c r="X1182" i="1"/>
  <c r="Y1182" i="1"/>
  <c r="Z1182" i="1"/>
  <c r="X1183" i="1"/>
  <c r="Y1183" i="1"/>
  <c r="Z1183" i="1"/>
  <c r="X1184" i="1"/>
  <c r="Y1184" i="1"/>
  <c r="Z1184" i="1"/>
  <c r="X1185" i="1"/>
  <c r="Y1185" i="1"/>
  <c r="Z1185" i="1"/>
  <c r="X1186" i="1"/>
  <c r="Y1186" i="1"/>
  <c r="Z1186" i="1"/>
  <c r="X1187" i="1"/>
  <c r="Y1187" i="1"/>
  <c r="Z1187" i="1"/>
  <c r="X1188" i="1"/>
  <c r="Y1188" i="1"/>
  <c r="Z1188" i="1"/>
  <c r="X1189" i="1"/>
  <c r="Y1189" i="1"/>
  <c r="Z1189" i="1"/>
  <c r="X1190" i="1"/>
  <c r="Y1190" i="1"/>
  <c r="Z1190" i="1"/>
  <c r="X1191" i="1"/>
  <c r="Y1191" i="1"/>
  <c r="Z1191" i="1"/>
  <c r="X1192" i="1"/>
  <c r="Y1192" i="1"/>
  <c r="Z1192" i="1"/>
  <c r="X1193" i="1"/>
  <c r="Y1193" i="1"/>
  <c r="Z1193" i="1"/>
  <c r="X1194" i="1"/>
  <c r="Y1194" i="1"/>
  <c r="Z1194" i="1"/>
  <c r="X1195" i="1"/>
  <c r="Y1195" i="1"/>
  <c r="Z1195" i="1"/>
  <c r="X1196" i="1"/>
  <c r="Y1196" i="1"/>
  <c r="Z1196" i="1"/>
  <c r="X1197" i="1"/>
  <c r="Y1197" i="1"/>
  <c r="Z1197" i="1"/>
  <c r="X1198" i="1"/>
  <c r="Y1198" i="1"/>
  <c r="Z1198" i="1"/>
  <c r="X1199" i="1"/>
  <c r="Y1199" i="1"/>
  <c r="Z1199" i="1"/>
  <c r="X1200" i="1"/>
  <c r="Y1200" i="1"/>
  <c r="Z1200" i="1"/>
  <c r="X1201" i="1"/>
  <c r="Y1201" i="1"/>
  <c r="Z1201" i="1"/>
  <c r="X1202" i="1"/>
  <c r="Y1202" i="1"/>
  <c r="Z1202" i="1"/>
  <c r="X1203" i="1"/>
  <c r="Y1203" i="1"/>
  <c r="Z1203" i="1"/>
  <c r="X1204" i="1"/>
  <c r="Y1204" i="1"/>
  <c r="Z1204" i="1"/>
  <c r="X1205" i="1"/>
  <c r="Y1205" i="1"/>
  <c r="Z1205" i="1"/>
  <c r="X1206" i="1"/>
  <c r="Y1206" i="1"/>
  <c r="Z1206" i="1"/>
  <c r="X1207" i="1"/>
  <c r="Y1207" i="1"/>
  <c r="Z1207" i="1"/>
  <c r="X1208" i="1"/>
  <c r="Y1208" i="1"/>
  <c r="Z1208" i="1"/>
  <c r="X1209" i="1"/>
  <c r="Y1209" i="1"/>
  <c r="Z1209" i="1"/>
  <c r="X1210" i="1"/>
  <c r="Y1210" i="1"/>
  <c r="Z1210" i="1"/>
  <c r="X1211" i="1"/>
  <c r="Y1211" i="1"/>
  <c r="Z1211" i="1"/>
  <c r="X1212" i="1"/>
  <c r="Y1212" i="1"/>
  <c r="Z1212" i="1"/>
  <c r="X1213" i="1"/>
  <c r="Y1213" i="1"/>
  <c r="Z1213" i="1"/>
  <c r="X1214" i="1"/>
  <c r="Y1214" i="1"/>
  <c r="Z1214" i="1"/>
  <c r="X1215" i="1"/>
  <c r="Y1215" i="1"/>
  <c r="Z1215" i="1"/>
  <c r="X1216" i="1"/>
  <c r="Y1216" i="1"/>
  <c r="Z1216" i="1"/>
  <c r="X1217" i="1"/>
  <c r="Y1217" i="1"/>
  <c r="Z1217" i="1"/>
  <c r="X1218" i="1"/>
  <c r="Y1218" i="1"/>
  <c r="Z1218" i="1"/>
  <c r="X1219" i="1"/>
  <c r="Y1219" i="1"/>
  <c r="Z1219" i="1"/>
  <c r="X1220" i="1"/>
  <c r="Y1220" i="1"/>
  <c r="Z1220" i="1"/>
  <c r="X1221" i="1"/>
  <c r="Y1221" i="1"/>
  <c r="Z1221" i="1"/>
  <c r="X1222" i="1"/>
  <c r="Y1222" i="1"/>
  <c r="Z1222" i="1"/>
  <c r="X1223" i="1"/>
  <c r="Y1223" i="1"/>
  <c r="Z1223" i="1"/>
  <c r="X1224" i="1"/>
  <c r="Y1224" i="1"/>
  <c r="Z1224" i="1"/>
  <c r="X1225" i="1"/>
  <c r="Y1225" i="1"/>
  <c r="Z1225" i="1"/>
  <c r="X1226" i="1"/>
  <c r="Y1226" i="1"/>
  <c r="Z1226" i="1"/>
  <c r="X1227" i="1"/>
  <c r="Y1227" i="1"/>
  <c r="Z1227" i="1"/>
  <c r="X1228" i="1"/>
  <c r="Y1228" i="1"/>
  <c r="Z1228" i="1"/>
  <c r="X1229" i="1"/>
  <c r="Y1229" i="1"/>
  <c r="Z1229" i="1"/>
  <c r="X1230" i="1"/>
  <c r="Y1230" i="1"/>
  <c r="Z1230" i="1"/>
  <c r="X1231" i="1"/>
  <c r="Y1231" i="1"/>
  <c r="Z1231" i="1"/>
  <c r="X1232" i="1"/>
  <c r="Y1232" i="1"/>
  <c r="Z1232" i="1"/>
  <c r="X1233" i="1"/>
  <c r="Y1233" i="1"/>
  <c r="Z1233" i="1"/>
  <c r="X1234" i="1"/>
  <c r="Y1234" i="1"/>
  <c r="Z1234" i="1"/>
  <c r="X1235" i="1"/>
  <c r="Y1235" i="1"/>
  <c r="Z1235" i="1"/>
  <c r="X1236" i="1"/>
  <c r="Y1236" i="1"/>
  <c r="Z1236" i="1"/>
  <c r="X1237" i="1"/>
  <c r="Y1237" i="1"/>
  <c r="Z1237" i="1"/>
  <c r="X1238" i="1"/>
  <c r="Y1238" i="1"/>
  <c r="Z1238" i="1"/>
  <c r="X1239" i="1"/>
  <c r="Y1239" i="1"/>
  <c r="Z1239" i="1"/>
  <c r="X1240" i="1"/>
  <c r="Y1240" i="1"/>
  <c r="Z1240" i="1"/>
  <c r="X1241" i="1"/>
  <c r="Y1241" i="1"/>
  <c r="Z1241" i="1"/>
  <c r="X1242" i="1"/>
  <c r="Y1242" i="1"/>
  <c r="Z1242" i="1"/>
  <c r="X1243" i="1"/>
  <c r="Y1243" i="1"/>
  <c r="Z1243" i="1"/>
  <c r="X1244" i="1"/>
  <c r="Y1244" i="1"/>
  <c r="Z1244" i="1"/>
  <c r="X1245" i="1"/>
  <c r="Y1245" i="1"/>
  <c r="Z1245" i="1"/>
  <c r="X1246" i="1"/>
  <c r="Y1246" i="1"/>
  <c r="Z1246" i="1"/>
  <c r="X1247" i="1"/>
  <c r="Y1247" i="1"/>
  <c r="Z1247" i="1"/>
  <c r="X1248" i="1"/>
  <c r="Y1248" i="1"/>
  <c r="Z1248" i="1"/>
  <c r="X1249" i="1"/>
  <c r="Y1249" i="1"/>
  <c r="Z1249" i="1"/>
  <c r="X1250" i="1"/>
  <c r="Y1250" i="1"/>
  <c r="Z1250" i="1"/>
  <c r="X1251" i="1"/>
  <c r="Y1251" i="1"/>
  <c r="Z1251" i="1"/>
  <c r="X1252" i="1"/>
  <c r="Y1252" i="1"/>
  <c r="Z1252" i="1"/>
  <c r="X1253" i="1"/>
  <c r="Y1253" i="1"/>
  <c r="Z1253" i="1"/>
  <c r="X1254" i="1"/>
  <c r="Y1254" i="1"/>
  <c r="Z1254" i="1"/>
  <c r="X1255" i="1"/>
  <c r="Y1255" i="1"/>
  <c r="Z1255" i="1"/>
  <c r="X1256" i="1"/>
  <c r="Y1256" i="1"/>
  <c r="Z1256" i="1"/>
  <c r="X1257" i="1"/>
  <c r="Y1257" i="1"/>
  <c r="Z1257" i="1"/>
  <c r="X1258" i="1"/>
  <c r="Y1258" i="1"/>
  <c r="Z1258" i="1"/>
  <c r="X1259" i="1"/>
  <c r="Y1259" i="1"/>
  <c r="Z1259" i="1"/>
  <c r="X1260" i="1"/>
  <c r="Y1260" i="1"/>
  <c r="Z1260" i="1"/>
  <c r="X1261" i="1"/>
  <c r="Y1261" i="1"/>
  <c r="Z1261" i="1"/>
  <c r="X1262" i="1"/>
  <c r="Y1262" i="1"/>
  <c r="Z1262" i="1"/>
  <c r="X1263" i="1"/>
  <c r="Y1263" i="1"/>
  <c r="Z1263" i="1"/>
  <c r="X1264" i="1"/>
  <c r="Y1264" i="1"/>
  <c r="Z1264" i="1"/>
  <c r="X1265" i="1"/>
  <c r="Y1265" i="1"/>
  <c r="Z1265" i="1"/>
  <c r="X1266" i="1"/>
  <c r="Y1266" i="1"/>
  <c r="Z1266" i="1"/>
  <c r="X1267" i="1"/>
  <c r="Y1267" i="1"/>
  <c r="Z1267" i="1"/>
  <c r="X1268" i="1"/>
  <c r="Y1268" i="1"/>
  <c r="Z1268" i="1"/>
  <c r="X1269" i="1"/>
  <c r="Y1269" i="1"/>
  <c r="Z1269" i="1"/>
  <c r="X1270" i="1"/>
  <c r="Y1270" i="1"/>
  <c r="Z1270" i="1"/>
  <c r="X1271" i="1"/>
  <c r="Y1271" i="1"/>
  <c r="Z1271" i="1"/>
  <c r="X1272" i="1"/>
  <c r="Y1272" i="1"/>
  <c r="Z1272" i="1"/>
  <c r="X1273" i="1"/>
  <c r="Y1273" i="1"/>
  <c r="Z1273" i="1"/>
  <c r="X1274" i="1"/>
  <c r="Y1274" i="1"/>
  <c r="Z1274" i="1"/>
  <c r="X1275" i="1"/>
  <c r="Y1275" i="1"/>
  <c r="Z1275" i="1"/>
  <c r="X1276" i="1"/>
  <c r="Y1276" i="1"/>
  <c r="Z1276" i="1"/>
  <c r="X1277" i="1"/>
  <c r="Y1277" i="1"/>
  <c r="Z1277" i="1"/>
  <c r="X1278" i="1"/>
  <c r="Y1278" i="1"/>
  <c r="Z1278" i="1"/>
  <c r="X1279" i="1"/>
  <c r="Y1279" i="1"/>
  <c r="Z1279" i="1"/>
  <c r="X1280" i="1"/>
  <c r="Y1280" i="1"/>
  <c r="Z1280" i="1"/>
  <c r="X1281" i="1"/>
  <c r="Y1281" i="1"/>
  <c r="Z1281" i="1"/>
  <c r="X1282" i="1"/>
  <c r="Y1282" i="1"/>
  <c r="Z1282" i="1"/>
  <c r="X1283" i="1"/>
  <c r="Y1283" i="1"/>
  <c r="Z1283" i="1"/>
  <c r="X1284" i="1"/>
  <c r="Y1284" i="1"/>
  <c r="Z1284" i="1"/>
  <c r="X1285" i="1"/>
  <c r="Y1285" i="1"/>
  <c r="Z1285" i="1"/>
  <c r="X1286" i="1"/>
  <c r="Y1286" i="1"/>
  <c r="Z1286" i="1"/>
  <c r="X1287" i="1"/>
  <c r="Y1287" i="1"/>
  <c r="Z1287" i="1"/>
  <c r="X1288" i="1"/>
  <c r="Y1288" i="1"/>
  <c r="Z1288" i="1"/>
  <c r="X1289" i="1"/>
  <c r="Y1289" i="1"/>
  <c r="Z1289" i="1"/>
  <c r="X1290" i="1"/>
  <c r="Y1290" i="1"/>
  <c r="Z1290" i="1"/>
  <c r="X1291" i="1"/>
  <c r="Y1291" i="1"/>
  <c r="Z1291" i="1"/>
  <c r="X1292" i="1"/>
  <c r="Y1292" i="1"/>
  <c r="Z1292" i="1"/>
  <c r="X1293" i="1"/>
  <c r="Y1293" i="1"/>
  <c r="Z1293" i="1"/>
  <c r="X1294" i="1"/>
  <c r="Y1294" i="1"/>
  <c r="Z1294" i="1"/>
  <c r="X1295" i="1"/>
  <c r="Y1295" i="1"/>
  <c r="Z1295" i="1"/>
  <c r="X1296" i="1"/>
  <c r="Y1296" i="1"/>
  <c r="Z1296" i="1"/>
  <c r="X1297" i="1"/>
  <c r="Y1297" i="1"/>
  <c r="Z1297" i="1"/>
  <c r="X1298" i="1"/>
  <c r="Y1298" i="1"/>
  <c r="Z1298" i="1"/>
  <c r="X1299" i="1"/>
  <c r="Y1299" i="1"/>
  <c r="Z1299" i="1"/>
  <c r="X1300" i="1"/>
  <c r="Y1300" i="1"/>
  <c r="Z1300" i="1"/>
  <c r="X1301" i="1"/>
  <c r="Y1301" i="1"/>
  <c r="Z1301" i="1"/>
  <c r="X1302" i="1"/>
  <c r="Y1302" i="1"/>
  <c r="Z1302" i="1"/>
  <c r="X1303" i="1"/>
  <c r="Y1303" i="1"/>
  <c r="Z1303" i="1"/>
  <c r="X1304" i="1"/>
  <c r="Y1304" i="1"/>
  <c r="Z1304" i="1"/>
  <c r="X1305" i="1"/>
  <c r="Y1305" i="1"/>
  <c r="Z1305" i="1"/>
  <c r="X1306" i="1"/>
  <c r="Y1306" i="1"/>
  <c r="Z1306" i="1"/>
  <c r="X1307" i="1"/>
  <c r="Y1307" i="1"/>
  <c r="Z1307" i="1"/>
  <c r="X1308" i="1"/>
  <c r="Y1308" i="1"/>
  <c r="Z1308" i="1"/>
  <c r="X1309" i="1"/>
  <c r="Y1309" i="1"/>
  <c r="Z1309" i="1"/>
  <c r="X1310" i="1"/>
  <c r="Y1310" i="1"/>
  <c r="Z1310" i="1"/>
  <c r="X1311" i="1"/>
  <c r="Y1311" i="1"/>
  <c r="Z1311" i="1"/>
  <c r="X1312" i="1"/>
  <c r="Y1312" i="1"/>
  <c r="Z1312" i="1"/>
  <c r="X1313" i="1"/>
  <c r="Y1313" i="1"/>
  <c r="Z1313" i="1"/>
  <c r="X1314" i="1"/>
  <c r="Y1314" i="1"/>
  <c r="Z1314" i="1"/>
  <c r="X1315" i="1"/>
  <c r="Y1315" i="1"/>
  <c r="Z1315" i="1"/>
  <c r="X1316" i="1"/>
  <c r="Y1316" i="1"/>
  <c r="Z1316" i="1"/>
  <c r="X1317" i="1"/>
  <c r="Y1317" i="1"/>
  <c r="Z1317" i="1"/>
  <c r="X1318" i="1"/>
  <c r="Y1318" i="1"/>
  <c r="Z1318" i="1"/>
  <c r="X1319" i="1"/>
  <c r="Y1319" i="1"/>
  <c r="Z1319" i="1"/>
  <c r="X1320" i="1"/>
  <c r="Y1320" i="1"/>
  <c r="Z1320" i="1"/>
  <c r="X1321" i="1"/>
  <c r="Y1321" i="1"/>
  <c r="Z1321" i="1"/>
  <c r="X1322" i="1"/>
  <c r="Y1322" i="1"/>
  <c r="Z1322" i="1"/>
  <c r="X1323" i="1"/>
  <c r="Y1323" i="1"/>
  <c r="Z1323" i="1"/>
  <c r="X1324" i="1"/>
  <c r="Y1324" i="1"/>
  <c r="Z1324" i="1"/>
  <c r="X1325" i="1"/>
  <c r="Y1325" i="1"/>
  <c r="Z1325" i="1"/>
  <c r="X1326" i="1"/>
  <c r="Y1326" i="1"/>
  <c r="Z1326" i="1"/>
  <c r="X1327" i="1"/>
  <c r="Y1327" i="1"/>
  <c r="Z1327" i="1"/>
  <c r="X1328" i="1"/>
  <c r="Y1328" i="1"/>
  <c r="Z1328" i="1"/>
  <c r="X1329" i="1"/>
  <c r="Y1329" i="1"/>
  <c r="Z1329" i="1"/>
  <c r="X1330" i="1"/>
  <c r="Y1330" i="1"/>
  <c r="Z1330" i="1"/>
  <c r="X1331" i="1"/>
  <c r="Y1331" i="1"/>
  <c r="Z1331" i="1"/>
  <c r="X1332" i="1"/>
  <c r="Y1332" i="1"/>
  <c r="Z1332" i="1"/>
  <c r="X1333" i="1"/>
  <c r="Y1333" i="1"/>
  <c r="Z1333" i="1"/>
  <c r="X1334" i="1"/>
  <c r="Y1334" i="1"/>
  <c r="Z1334" i="1"/>
  <c r="X1335" i="1"/>
  <c r="Y1335" i="1"/>
  <c r="Z1335" i="1"/>
  <c r="X1336" i="1"/>
  <c r="Y1336" i="1"/>
  <c r="Z1336" i="1"/>
  <c r="X1337" i="1"/>
  <c r="Y1337" i="1"/>
  <c r="Z1337" i="1"/>
  <c r="X1338" i="1"/>
  <c r="Y1338" i="1"/>
  <c r="Z1338" i="1"/>
  <c r="X1339" i="1"/>
  <c r="Y1339" i="1"/>
  <c r="Z1339" i="1"/>
  <c r="X1340" i="1"/>
  <c r="Y1340" i="1"/>
  <c r="Z1340" i="1"/>
  <c r="X1341" i="1"/>
  <c r="Y1341" i="1"/>
  <c r="Z1341" i="1"/>
  <c r="X1342" i="1"/>
  <c r="Y1342" i="1"/>
  <c r="Z1342" i="1"/>
  <c r="X1343" i="1"/>
  <c r="Y1343" i="1"/>
  <c r="Z1343" i="1"/>
  <c r="X1344" i="1"/>
  <c r="Y1344" i="1"/>
  <c r="Z1344" i="1"/>
  <c r="X1345" i="1"/>
  <c r="Y1345" i="1"/>
  <c r="Z1345" i="1"/>
  <c r="X1346" i="1"/>
  <c r="Y1346" i="1"/>
  <c r="Z1346" i="1"/>
  <c r="X1347" i="1"/>
  <c r="Y1347" i="1"/>
  <c r="Z1347" i="1"/>
  <c r="X1348" i="1"/>
  <c r="Y1348" i="1"/>
  <c r="Z1348" i="1"/>
  <c r="X1349" i="1"/>
  <c r="Y1349" i="1"/>
  <c r="Z1349" i="1"/>
  <c r="X1350" i="1"/>
  <c r="Y1350" i="1"/>
  <c r="Z1350" i="1"/>
  <c r="X1351" i="1"/>
  <c r="Y1351" i="1"/>
  <c r="Z1351" i="1"/>
  <c r="X1352" i="1"/>
  <c r="Y1352" i="1"/>
  <c r="Z1352" i="1"/>
  <c r="X1353" i="1"/>
  <c r="Y1353" i="1"/>
  <c r="Z1353" i="1"/>
  <c r="X1354" i="1"/>
  <c r="Y1354" i="1"/>
  <c r="Z1354" i="1"/>
  <c r="X1355" i="1"/>
  <c r="Y1355" i="1"/>
  <c r="Z1355" i="1"/>
  <c r="X1356" i="1"/>
  <c r="Y1356" i="1"/>
  <c r="Z1356" i="1"/>
  <c r="X1357" i="1"/>
  <c r="Y1357" i="1"/>
  <c r="Z1357" i="1"/>
  <c r="X1358" i="1"/>
  <c r="Y1358" i="1"/>
  <c r="Z1358" i="1"/>
  <c r="X1359" i="1"/>
  <c r="Y1359" i="1"/>
  <c r="Z1359" i="1"/>
  <c r="X1360" i="1"/>
  <c r="Y1360" i="1"/>
  <c r="Z1360" i="1"/>
  <c r="X1361" i="1"/>
  <c r="Y1361" i="1"/>
  <c r="Z1361" i="1"/>
  <c r="X1362" i="1"/>
  <c r="Y1362" i="1"/>
  <c r="Z1362" i="1"/>
  <c r="X1363" i="1"/>
  <c r="Y1363" i="1"/>
  <c r="Z1363" i="1"/>
  <c r="X1364" i="1"/>
  <c r="Y1364" i="1"/>
  <c r="Z1364" i="1"/>
  <c r="X1365" i="1"/>
  <c r="Y1365" i="1"/>
  <c r="Z1365" i="1"/>
  <c r="X1366" i="1"/>
  <c r="Y1366" i="1"/>
  <c r="Z1366" i="1"/>
  <c r="X1367" i="1"/>
  <c r="Y1367" i="1"/>
  <c r="Z1367" i="1"/>
  <c r="X1368" i="1"/>
  <c r="Y1368" i="1"/>
  <c r="Z1368" i="1"/>
  <c r="X1369" i="1"/>
  <c r="Y1369" i="1"/>
  <c r="Z1369" i="1"/>
  <c r="X1370" i="1"/>
  <c r="Y1370" i="1"/>
  <c r="Z1370" i="1"/>
  <c r="X1371" i="1"/>
  <c r="Y1371" i="1"/>
  <c r="Z1371" i="1"/>
  <c r="X1372" i="1"/>
  <c r="Y1372" i="1"/>
  <c r="Z1372" i="1"/>
  <c r="X1373" i="1"/>
  <c r="Y1373" i="1"/>
  <c r="Z1373" i="1"/>
  <c r="X1374" i="1"/>
  <c r="Y1374" i="1"/>
  <c r="Z1374" i="1"/>
  <c r="X1375" i="1"/>
  <c r="Y1375" i="1"/>
  <c r="Z1375" i="1"/>
  <c r="X1376" i="1"/>
  <c r="Y1376" i="1"/>
  <c r="Z1376" i="1"/>
  <c r="X1377" i="1"/>
  <c r="Y1377" i="1"/>
  <c r="Z1377" i="1"/>
  <c r="X1378" i="1"/>
  <c r="Y1378" i="1"/>
  <c r="Z1378" i="1"/>
  <c r="X1379" i="1"/>
  <c r="Y1379" i="1"/>
  <c r="Z1379" i="1"/>
  <c r="X1380" i="1"/>
  <c r="Y1380" i="1"/>
  <c r="Z1380" i="1"/>
  <c r="X1381" i="1"/>
  <c r="Y1381" i="1"/>
  <c r="Z1381" i="1"/>
  <c r="X1382" i="1"/>
  <c r="Y1382" i="1"/>
  <c r="Z1382" i="1"/>
  <c r="X1383" i="1"/>
  <c r="Y1383" i="1"/>
  <c r="Z1383" i="1"/>
  <c r="X1384" i="1"/>
  <c r="Y1384" i="1"/>
  <c r="Z1384" i="1"/>
  <c r="X1385" i="1"/>
  <c r="Y1385" i="1"/>
  <c r="Z1385" i="1"/>
  <c r="X1386" i="1"/>
  <c r="Y1386" i="1"/>
  <c r="Z1386" i="1"/>
  <c r="X1387" i="1"/>
  <c r="Y1387" i="1"/>
  <c r="Z1387" i="1"/>
  <c r="X1388" i="1"/>
  <c r="Y1388" i="1"/>
  <c r="Z1388" i="1"/>
  <c r="X1389" i="1"/>
  <c r="Y1389" i="1"/>
  <c r="Z1389" i="1"/>
  <c r="X1390" i="1"/>
  <c r="Y1390" i="1"/>
  <c r="Z1390" i="1"/>
  <c r="X1391" i="1"/>
  <c r="Y1391" i="1"/>
  <c r="Z1391" i="1"/>
  <c r="X1392" i="1"/>
  <c r="Y1392" i="1"/>
  <c r="Z1392" i="1"/>
  <c r="X1393" i="1"/>
  <c r="Y1393" i="1"/>
  <c r="Z1393" i="1"/>
  <c r="X1394" i="1"/>
  <c r="Y1394" i="1"/>
  <c r="Z1394" i="1"/>
  <c r="X1395" i="1"/>
  <c r="Y1395" i="1"/>
  <c r="Z1395" i="1"/>
  <c r="X1396" i="1"/>
  <c r="Y1396" i="1"/>
  <c r="Z1396" i="1"/>
  <c r="X1397" i="1"/>
  <c r="Y1397" i="1"/>
  <c r="Z1397" i="1"/>
  <c r="X1398" i="1"/>
  <c r="Y1398" i="1"/>
  <c r="Z1398" i="1"/>
  <c r="X1399" i="1"/>
  <c r="Y1399" i="1"/>
  <c r="Z1399" i="1"/>
  <c r="X1400" i="1"/>
  <c r="Y1400" i="1"/>
  <c r="Z1400" i="1"/>
  <c r="X1401" i="1"/>
  <c r="Y1401" i="1"/>
  <c r="Z1401" i="1"/>
  <c r="X1402" i="1"/>
  <c r="Y1402" i="1"/>
  <c r="Z1402" i="1"/>
  <c r="X1403" i="1"/>
  <c r="Y1403" i="1"/>
  <c r="Z1403" i="1"/>
  <c r="X1404" i="1"/>
  <c r="Y1404" i="1"/>
  <c r="Z1404" i="1"/>
  <c r="X1405" i="1"/>
  <c r="Y1405" i="1"/>
  <c r="Z1405" i="1"/>
  <c r="X1406" i="1"/>
  <c r="Y1406" i="1"/>
  <c r="Z1406" i="1"/>
  <c r="X1407" i="1"/>
  <c r="Y1407" i="1"/>
  <c r="Z1407" i="1"/>
  <c r="X1408" i="1"/>
  <c r="Y1408" i="1"/>
  <c r="Z1408" i="1"/>
  <c r="X1409" i="1"/>
  <c r="Y1409" i="1"/>
  <c r="Z1409" i="1"/>
  <c r="X1410" i="1"/>
  <c r="Y1410" i="1"/>
  <c r="Z1410" i="1"/>
  <c r="X1411" i="1"/>
  <c r="Y1411" i="1"/>
  <c r="Z1411" i="1"/>
  <c r="X1412" i="1"/>
  <c r="Y1412" i="1"/>
  <c r="Z1412" i="1"/>
  <c r="X1413" i="1"/>
  <c r="Y1413" i="1"/>
  <c r="Z1413" i="1"/>
  <c r="X1414" i="1"/>
  <c r="Y1414" i="1"/>
  <c r="Z1414" i="1"/>
  <c r="X1415" i="1"/>
  <c r="Y1415" i="1"/>
  <c r="Z1415" i="1"/>
  <c r="X1416" i="1"/>
  <c r="Y1416" i="1"/>
  <c r="Z1416" i="1"/>
  <c r="X1417" i="1"/>
  <c r="Y1417" i="1"/>
  <c r="Z1417" i="1"/>
  <c r="X1418" i="1"/>
  <c r="Y1418" i="1"/>
  <c r="Z1418" i="1"/>
  <c r="X1419" i="1"/>
  <c r="Y1419" i="1"/>
  <c r="Z1419" i="1"/>
  <c r="X1420" i="1"/>
  <c r="Y1420" i="1"/>
  <c r="Z1420" i="1"/>
  <c r="X1421" i="1"/>
  <c r="Y1421" i="1"/>
  <c r="Z1421" i="1"/>
  <c r="X1422" i="1"/>
  <c r="Y1422" i="1"/>
  <c r="Z1422" i="1"/>
  <c r="X1423" i="1"/>
  <c r="Y1423" i="1"/>
  <c r="Z1423" i="1"/>
  <c r="X1424" i="1"/>
  <c r="Y1424" i="1"/>
  <c r="Z1424" i="1"/>
  <c r="X1425" i="1"/>
  <c r="Y1425" i="1"/>
  <c r="Z1425" i="1"/>
  <c r="X1426" i="1"/>
  <c r="Y1426" i="1"/>
  <c r="Z1426" i="1"/>
  <c r="X1427" i="1"/>
  <c r="Y1427" i="1"/>
  <c r="Z1427" i="1"/>
  <c r="X1428" i="1"/>
  <c r="Y1428" i="1"/>
  <c r="Z1428" i="1"/>
  <c r="X1429" i="1"/>
  <c r="Y1429" i="1"/>
  <c r="Z1429" i="1"/>
  <c r="X1430" i="1"/>
  <c r="Y1430" i="1"/>
  <c r="Z1430" i="1"/>
  <c r="X1431" i="1"/>
  <c r="Y1431" i="1"/>
  <c r="Z1431" i="1"/>
  <c r="X1432" i="1"/>
  <c r="Y1432" i="1"/>
  <c r="Z1432" i="1"/>
  <c r="X1433" i="1"/>
  <c r="Y1433" i="1"/>
  <c r="Z1433" i="1"/>
  <c r="X1434" i="1"/>
  <c r="Y1434" i="1"/>
  <c r="Z1434" i="1"/>
  <c r="X1435" i="1"/>
  <c r="Y1435" i="1"/>
  <c r="Z1435" i="1"/>
  <c r="X1436" i="1"/>
  <c r="Y1436" i="1"/>
  <c r="Z1436" i="1"/>
  <c r="X1437" i="1"/>
  <c r="Y1437" i="1"/>
  <c r="Z1437" i="1"/>
  <c r="X1438" i="1"/>
  <c r="Y1438" i="1"/>
  <c r="Z1438" i="1"/>
  <c r="X1439" i="1"/>
  <c r="Y1439" i="1"/>
  <c r="Z1439" i="1"/>
  <c r="X1440" i="1"/>
  <c r="Y1440" i="1"/>
  <c r="Z1440" i="1"/>
  <c r="X1441" i="1"/>
  <c r="Y1441" i="1"/>
  <c r="Z1441" i="1"/>
  <c r="X1442" i="1"/>
  <c r="Y1442" i="1"/>
  <c r="Z1442" i="1"/>
  <c r="X1443" i="1"/>
  <c r="Y1443" i="1"/>
  <c r="Z1443" i="1"/>
  <c r="X1444" i="1"/>
  <c r="Y1444" i="1"/>
  <c r="Z1444" i="1"/>
  <c r="X1445" i="1"/>
  <c r="Y1445" i="1"/>
  <c r="Z1445" i="1"/>
  <c r="X1446" i="1"/>
  <c r="Y1446" i="1"/>
  <c r="Z1446" i="1"/>
  <c r="X1447" i="1"/>
  <c r="Y1447" i="1"/>
  <c r="Z1447" i="1"/>
  <c r="X1448" i="1"/>
  <c r="Y1448" i="1"/>
  <c r="Z1448" i="1"/>
  <c r="X1449" i="1"/>
  <c r="Y1449" i="1"/>
  <c r="Z1449" i="1"/>
  <c r="X1450" i="1"/>
  <c r="Y1450" i="1"/>
  <c r="Z1450" i="1"/>
  <c r="X1451" i="1"/>
  <c r="Y1451" i="1"/>
  <c r="Z1451" i="1"/>
  <c r="X1452" i="1"/>
  <c r="Y1452" i="1"/>
  <c r="Z1452" i="1"/>
  <c r="X1453" i="1"/>
  <c r="Y1453" i="1"/>
  <c r="Z1453" i="1"/>
  <c r="X1454" i="1"/>
  <c r="Y1454" i="1"/>
  <c r="Z1454" i="1"/>
  <c r="X1455" i="1"/>
  <c r="Y1455" i="1"/>
  <c r="Z1455" i="1"/>
  <c r="X1456" i="1"/>
  <c r="Y1456" i="1"/>
  <c r="Z1456" i="1"/>
  <c r="X1457" i="1"/>
  <c r="Y1457" i="1"/>
  <c r="Z1457" i="1"/>
  <c r="X1458" i="1"/>
  <c r="Y1458" i="1"/>
  <c r="Z1458" i="1"/>
  <c r="X1459" i="1"/>
  <c r="Y1459" i="1"/>
  <c r="Z1459" i="1"/>
  <c r="X1460" i="1"/>
  <c r="Y1460" i="1"/>
  <c r="Z1460" i="1"/>
  <c r="X1461" i="1"/>
  <c r="Y1461" i="1"/>
  <c r="Z1461" i="1"/>
  <c r="X1462" i="1"/>
  <c r="Y1462" i="1"/>
  <c r="Z1462" i="1"/>
  <c r="X1463" i="1"/>
  <c r="Y1463" i="1"/>
  <c r="Z1463" i="1"/>
  <c r="X1464" i="1"/>
  <c r="Y1464" i="1"/>
  <c r="Z1464" i="1"/>
  <c r="X1465" i="1"/>
  <c r="Y1465" i="1"/>
  <c r="Z1465" i="1"/>
  <c r="X1466" i="1"/>
  <c r="Y1466" i="1"/>
  <c r="Z1466" i="1"/>
  <c r="X1467" i="1"/>
  <c r="Y1467" i="1"/>
  <c r="Z1467" i="1"/>
  <c r="X1468" i="1"/>
  <c r="Y1468" i="1"/>
  <c r="Z1468" i="1"/>
  <c r="X1469" i="1"/>
  <c r="Y1469" i="1"/>
  <c r="Z1469" i="1"/>
  <c r="X1470" i="1"/>
  <c r="Y1470" i="1"/>
  <c r="Z1470" i="1"/>
  <c r="X1471" i="1"/>
  <c r="Y1471" i="1"/>
  <c r="Z1471" i="1"/>
  <c r="X1472" i="1"/>
  <c r="Y1472" i="1"/>
  <c r="Z1472" i="1"/>
  <c r="X1473" i="1"/>
  <c r="Y1473" i="1"/>
  <c r="Z1473" i="1"/>
  <c r="X1474" i="1"/>
  <c r="Y1474" i="1"/>
  <c r="Z1474" i="1"/>
  <c r="X1475" i="1"/>
  <c r="Y1475" i="1"/>
  <c r="Z1475" i="1"/>
  <c r="X1476" i="1"/>
  <c r="Y1476" i="1"/>
  <c r="Z1476" i="1"/>
  <c r="X1477" i="1"/>
  <c r="Y1477" i="1"/>
  <c r="Z1477" i="1"/>
  <c r="X1478" i="1"/>
  <c r="Y1478" i="1"/>
  <c r="Z1478" i="1"/>
  <c r="X1479" i="1"/>
  <c r="Y1479" i="1"/>
  <c r="Z1479" i="1"/>
  <c r="X1480" i="1"/>
  <c r="Y1480" i="1"/>
  <c r="Z1480" i="1"/>
  <c r="X1481" i="1"/>
  <c r="Y1481" i="1"/>
  <c r="Z1481" i="1"/>
  <c r="X1482" i="1"/>
  <c r="Y1482" i="1"/>
  <c r="Z1482" i="1"/>
  <c r="X1483" i="1"/>
  <c r="Y1483" i="1"/>
  <c r="Z1483" i="1"/>
  <c r="X1484" i="1"/>
  <c r="Y1484" i="1"/>
  <c r="Z1484" i="1"/>
  <c r="X1485" i="1"/>
  <c r="Y1485" i="1"/>
  <c r="Z1485" i="1"/>
  <c r="X1486" i="1"/>
  <c r="Y1486" i="1"/>
  <c r="Z1486" i="1"/>
  <c r="X1487" i="1"/>
  <c r="Y1487" i="1"/>
  <c r="Z1487" i="1"/>
  <c r="X1488" i="1"/>
  <c r="Y1488" i="1"/>
  <c r="Z1488" i="1"/>
  <c r="X1489" i="1"/>
  <c r="Y1489" i="1"/>
  <c r="Z1489" i="1"/>
  <c r="X1490" i="1"/>
  <c r="Y1490" i="1"/>
  <c r="Z1490" i="1"/>
  <c r="X1491" i="1"/>
  <c r="Y1491" i="1"/>
  <c r="Z1491" i="1"/>
  <c r="X1492" i="1"/>
  <c r="Y1492" i="1"/>
  <c r="Z1492" i="1"/>
  <c r="X1493" i="1"/>
  <c r="Y1493" i="1"/>
  <c r="Z1493" i="1"/>
  <c r="X1494" i="1"/>
  <c r="Y1494" i="1"/>
  <c r="Z1494" i="1"/>
  <c r="X1495" i="1"/>
  <c r="Y1495" i="1"/>
  <c r="Z1495" i="1"/>
  <c r="X1496" i="1"/>
  <c r="Y1496" i="1"/>
  <c r="Z1496" i="1"/>
  <c r="X1497" i="1"/>
  <c r="Y1497" i="1"/>
  <c r="Z1497" i="1"/>
  <c r="X1498" i="1"/>
  <c r="Y1498" i="1"/>
  <c r="Z1498" i="1"/>
  <c r="X1499" i="1"/>
  <c r="Y1499" i="1"/>
  <c r="Z1499" i="1"/>
  <c r="X1500" i="1"/>
  <c r="Y1500" i="1"/>
  <c r="Z1500" i="1"/>
  <c r="X1501" i="1"/>
  <c r="Y1501" i="1"/>
  <c r="Z1501" i="1"/>
  <c r="X1502" i="1"/>
  <c r="Y1502" i="1"/>
  <c r="Z1502" i="1"/>
  <c r="X1503" i="1"/>
  <c r="Y1503" i="1"/>
  <c r="Z1503" i="1"/>
  <c r="X1504" i="1"/>
  <c r="Y1504" i="1"/>
  <c r="Z1504" i="1"/>
  <c r="X1505" i="1"/>
  <c r="Y1505" i="1"/>
  <c r="Z1505" i="1"/>
  <c r="X1506" i="1"/>
  <c r="Y1506" i="1"/>
  <c r="Z1506" i="1"/>
  <c r="X1507" i="1"/>
  <c r="Y1507" i="1"/>
  <c r="Z1507" i="1"/>
  <c r="X1508" i="1"/>
  <c r="Y1508" i="1"/>
  <c r="Z1508" i="1"/>
  <c r="X1509" i="1"/>
  <c r="Y1509" i="1"/>
  <c r="Z1509" i="1"/>
  <c r="X1510" i="1"/>
  <c r="Y1510" i="1"/>
  <c r="Z1510" i="1"/>
  <c r="X1511" i="1"/>
  <c r="Y1511" i="1"/>
  <c r="Z1511" i="1"/>
  <c r="X1512" i="1"/>
  <c r="Y1512" i="1"/>
  <c r="Z1512" i="1"/>
  <c r="X1513" i="1"/>
  <c r="Y1513" i="1"/>
  <c r="Z1513" i="1"/>
  <c r="X1514" i="1"/>
  <c r="Y1514" i="1"/>
  <c r="Z1514" i="1"/>
  <c r="X1515" i="1"/>
  <c r="Y1515" i="1"/>
  <c r="Z1515" i="1"/>
  <c r="X1516" i="1"/>
  <c r="Y1516" i="1"/>
  <c r="Z1516" i="1"/>
  <c r="X1517" i="1"/>
  <c r="Y1517" i="1"/>
  <c r="Z1517" i="1"/>
  <c r="X1518" i="1"/>
  <c r="Y1518" i="1"/>
  <c r="Z1518" i="1"/>
  <c r="X1519" i="1"/>
  <c r="Y1519" i="1"/>
  <c r="Z1519" i="1"/>
  <c r="X1520" i="1"/>
  <c r="Y1520" i="1"/>
  <c r="Z1520" i="1"/>
  <c r="X1521" i="1"/>
  <c r="Y1521" i="1"/>
  <c r="Z1521" i="1"/>
  <c r="X1522" i="1"/>
  <c r="Y1522" i="1"/>
  <c r="Z1522" i="1"/>
  <c r="X1523" i="1"/>
  <c r="Y1523" i="1"/>
  <c r="Z1523" i="1"/>
  <c r="X1524" i="1"/>
  <c r="Y1524" i="1"/>
  <c r="Z1524" i="1"/>
  <c r="X1525" i="1"/>
  <c r="Y1525" i="1"/>
  <c r="Z1525" i="1"/>
  <c r="X1526" i="1"/>
  <c r="Y1526" i="1"/>
  <c r="Z1526" i="1"/>
  <c r="X1527" i="1"/>
  <c r="Y1527" i="1"/>
  <c r="Z1527" i="1"/>
  <c r="X1528" i="1"/>
  <c r="Y1528" i="1"/>
  <c r="Z1528" i="1"/>
  <c r="X1529" i="1"/>
  <c r="Y1529" i="1"/>
  <c r="Z1529" i="1"/>
  <c r="X1530" i="1"/>
  <c r="Y1530" i="1"/>
  <c r="Z1530" i="1"/>
  <c r="X1531" i="1"/>
  <c r="Y1531" i="1"/>
  <c r="Z1531" i="1"/>
  <c r="X1532" i="1"/>
  <c r="Y1532" i="1"/>
  <c r="Z1532" i="1"/>
  <c r="X1533" i="1"/>
  <c r="Y1533" i="1"/>
  <c r="Z1533" i="1"/>
  <c r="X1534" i="1"/>
  <c r="Y1534" i="1"/>
  <c r="Z1534" i="1"/>
  <c r="X1535" i="1"/>
  <c r="Y1535" i="1"/>
  <c r="Z1535" i="1"/>
  <c r="X1536" i="1"/>
  <c r="Y1536" i="1"/>
  <c r="Z1536" i="1"/>
  <c r="X1537" i="1"/>
  <c r="Y1537" i="1"/>
  <c r="Z1537" i="1"/>
  <c r="X1538" i="1"/>
  <c r="Y1538" i="1"/>
  <c r="Z1538" i="1"/>
  <c r="X1539" i="1"/>
  <c r="Y1539" i="1"/>
  <c r="Z1539" i="1"/>
  <c r="X1540" i="1"/>
  <c r="Y1540" i="1"/>
  <c r="Z1540" i="1"/>
  <c r="X1541" i="1"/>
  <c r="Y1541" i="1"/>
  <c r="Z1541" i="1"/>
  <c r="X1542" i="1"/>
  <c r="Y1542" i="1"/>
  <c r="Z1542" i="1"/>
  <c r="X1543" i="1"/>
  <c r="Y1543" i="1"/>
  <c r="Z1543" i="1"/>
  <c r="X1544" i="1"/>
  <c r="Y1544" i="1"/>
  <c r="Z1544" i="1"/>
  <c r="X1545" i="1"/>
  <c r="Y1545" i="1"/>
  <c r="Z1545" i="1"/>
  <c r="X1546" i="1"/>
  <c r="Y1546" i="1"/>
  <c r="Z1546" i="1"/>
  <c r="X1547" i="1"/>
  <c r="Y1547" i="1"/>
  <c r="Z1547" i="1"/>
  <c r="X1548" i="1"/>
  <c r="Y1548" i="1"/>
  <c r="Z1548" i="1"/>
  <c r="X1549" i="1"/>
  <c r="Y1549" i="1"/>
  <c r="Z1549" i="1"/>
  <c r="X1550" i="1"/>
  <c r="Y1550" i="1"/>
  <c r="Z1550" i="1"/>
  <c r="X1551" i="1"/>
  <c r="Y1551" i="1"/>
  <c r="Z1551" i="1"/>
  <c r="X1552" i="1"/>
  <c r="Y1552" i="1"/>
  <c r="Z1552" i="1"/>
  <c r="X1553" i="1"/>
  <c r="Y1553" i="1"/>
  <c r="Z1553" i="1"/>
  <c r="X1554" i="1"/>
  <c r="Y1554" i="1"/>
  <c r="Z1554" i="1"/>
  <c r="X1555" i="1"/>
  <c r="Y1555" i="1"/>
  <c r="Z1555" i="1"/>
  <c r="X1556" i="1"/>
  <c r="Y1556" i="1"/>
  <c r="Z1556" i="1"/>
  <c r="X1557" i="1"/>
  <c r="Y1557" i="1"/>
  <c r="Z1557" i="1"/>
  <c r="X1558" i="1"/>
  <c r="Y1558" i="1"/>
  <c r="Z1558" i="1"/>
  <c r="X1559" i="1"/>
  <c r="Y1559" i="1"/>
  <c r="Z1559" i="1"/>
  <c r="X1560" i="1"/>
  <c r="Y1560" i="1"/>
  <c r="Z1560" i="1"/>
  <c r="X1561" i="1"/>
  <c r="Y1561" i="1"/>
  <c r="Z1561" i="1"/>
  <c r="X1562" i="1"/>
  <c r="Y1562" i="1"/>
  <c r="Z1562" i="1"/>
  <c r="X1563" i="1"/>
  <c r="Y1563" i="1"/>
  <c r="Z1563" i="1"/>
  <c r="X1564" i="1"/>
  <c r="Y1564" i="1"/>
  <c r="Z1564" i="1"/>
  <c r="X1565" i="1"/>
  <c r="Y1565" i="1"/>
  <c r="Z1565" i="1"/>
  <c r="X1566" i="1"/>
  <c r="Y1566" i="1"/>
  <c r="Z1566" i="1"/>
  <c r="X1567" i="1"/>
  <c r="Y1567" i="1"/>
  <c r="Z1567" i="1"/>
  <c r="X1568" i="1"/>
  <c r="Y1568" i="1"/>
  <c r="Z1568" i="1"/>
  <c r="X1569" i="1"/>
  <c r="Y1569" i="1"/>
  <c r="Z1569" i="1"/>
  <c r="X1570" i="1"/>
  <c r="Y1570" i="1"/>
  <c r="Z1570" i="1"/>
  <c r="X1571" i="1"/>
  <c r="Y1571" i="1"/>
  <c r="Z1571" i="1"/>
  <c r="X1572" i="1"/>
  <c r="Y1572" i="1"/>
  <c r="Z1572" i="1"/>
  <c r="X1573" i="1"/>
  <c r="Y1573" i="1"/>
  <c r="Z1573" i="1"/>
  <c r="X1574" i="1"/>
  <c r="Y1574" i="1"/>
  <c r="Z1574" i="1"/>
  <c r="X1575" i="1"/>
  <c r="Y1575" i="1"/>
  <c r="Z1575" i="1"/>
  <c r="X1576" i="1"/>
  <c r="Y1576" i="1"/>
  <c r="Z1576" i="1"/>
  <c r="X1577" i="1"/>
  <c r="Y1577" i="1"/>
  <c r="Z1577" i="1"/>
  <c r="X1578" i="1"/>
  <c r="Y1578" i="1"/>
  <c r="Z1578" i="1"/>
  <c r="X1579" i="1"/>
  <c r="Y1579" i="1"/>
  <c r="Z1579" i="1"/>
  <c r="X1580" i="1"/>
  <c r="Y1580" i="1"/>
  <c r="Z1580" i="1"/>
  <c r="X1581" i="1"/>
  <c r="Y1581" i="1"/>
  <c r="Z1581" i="1"/>
  <c r="X1582" i="1"/>
  <c r="Y1582" i="1"/>
  <c r="Z1582" i="1"/>
  <c r="X1583" i="1"/>
  <c r="Y1583" i="1"/>
  <c r="Z1583" i="1"/>
  <c r="X1584" i="1"/>
  <c r="Y1584" i="1"/>
  <c r="Z1584" i="1"/>
  <c r="X1585" i="1"/>
  <c r="Y1585" i="1"/>
  <c r="Z1585" i="1"/>
  <c r="X1586" i="1"/>
  <c r="Y1586" i="1"/>
  <c r="Z1586" i="1"/>
  <c r="X1587" i="1"/>
  <c r="Y1587" i="1"/>
  <c r="Z1587" i="1"/>
  <c r="X1588" i="1"/>
  <c r="Y1588" i="1"/>
  <c r="Z1588" i="1"/>
  <c r="X1589" i="1"/>
  <c r="Y1589" i="1"/>
  <c r="Z1589" i="1"/>
  <c r="X1590" i="1"/>
  <c r="Y1590" i="1"/>
  <c r="Z1590" i="1"/>
  <c r="X1591" i="1"/>
  <c r="Y1591" i="1"/>
  <c r="Z1591" i="1"/>
  <c r="X1592" i="1"/>
  <c r="Y1592" i="1"/>
  <c r="Z1592" i="1"/>
  <c r="X1593" i="1"/>
  <c r="Y1593" i="1"/>
  <c r="Z1593" i="1"/>
  <c r="X1594" i="1"/>
  <c r="Y1594" i="1"/>
  <c r="Z1594" i="1"/>
  <c r="X1595" i="1"/>
  <c r="Y1595" i="1"/>
  <c r="Z1595" i="1"/>
  <c r="X1596" i="1"/>
  <c r="Y1596" i="1"/>
  <c r="Z1596" i="1"/>
  <c r="X1597" i="1"/>
  <c r="Y1597" i="1"/>
  <c r="Z1597" i="1"/>
  <c r="X1598" i="1"/>
  <c r="Y1598" i="1"/>
  <c r="Z1598" i="1"/>
  <c r="X1599" i="1"/>
  <c r="Y1599" i="1"/>
  <c r="Z1599" i="1"/>
  <c r="X1600" i="1"/>
  <c r="Y1600" i="1"/>
  <c r="Z1600" i="1"/>
  <c r="X1601" i="1"/>
  <c r="Y1601" i="1"/>
  <c r="Z1601" i="1"/>
  <c r="X1602" i="1"/>
  <c r="Y1602" i="1"/>
  <c r="Z1602" i="1"/>
  <c r="X1603" i="1"/>
  <c r="Y1603" i="1"/>
  <c r="Z1603" i="1"/>
  <c r="X1604" i="1"/>
  <c r="Y1604" i="1"/>
  <c r="Z1604" i="1"/>
  <c r="X1605" i="1"/>
  <c r="Y1605" i="1"/>
  <c r="Z1605" i="1"/>
  <c r="X1606" i="1"/>
  <c r="Y1606" i="1"/>
  <c r="Z1606" i="1"/>
  <c r="X1607" i="1"/>
  <c r="Y1607" i="1"/>
  <c r="Z1607" i="1"/>
  <c r="X1608" i="1"/>
  <c r="Y1608" i="1"/>
  <c r="Z1608" i="1"/>
  <c r="X1609" i="1"/>
  <c r="Y1609" i="1"/>
  <c r="Z1609" i="1"/>
  <c r="X1610" i="1"/>
  <c r="Y1610" i="1"/>
  <c r="Z1610" i="1"/>
  <c r="X1611" i="1"/>
  <c r="Y1611" i="1"/>
  <c r="Z1611" i="1"/>
  <c r="X1612" i="1"/>
  <c r="Y1612" i="1"/>
  <c r="Z1612" i="1"/>
  <c r="X1613" i="1"/>
  <c r="Y1613" i="1"/>
  <c r="Z1613" i="1"/>
  <c r="X1614" i="1"/>
  <c r="Y1614" i="1"/>
  <c r="Z1614" i="1"/>
  <c r="X1615" i="1"/>
  <c r="Y1615" i="1"/>
  <c r="Z1615" i="1"/>
  <c r="X1616" i="1"/>
  <c r="Y1616" i="1"/>
  <c r="Z1616" i="1"/>
  <c r="X1617" i="1"/>
  <c r="Y1617" i="1"/>
  <c r="Z1617" i="1"/>
  <c r="X1618" i="1"/>
  <c r="Y1618" i="1"/>
  <c r="Z1618" i="1"/>
  <c r="X1619" i="1"/>
  <c r="Y1619" i="1"/>
  <c r="Z1619" i="1"/>
  <c r="X1620" i="1"/>
  <c r="Y1620" i="1"/>
  <c r="Z1620" i="1"/>
  <c r="X1621" i="1"/>
  <c r="Y1621" i="1"/>
  <c r="Z1621" i="1"/>
  <c r="X1622" i="1"/>
  <c r="Y1622" i="1"/>
  <c r="Z1622" i="1"/>
  <c r="X1623" i="1"/>
  <c r="Y1623" i="1"/>
  <c r="Z1623" i="1"/>
  <c r="X1624" i="1"/>
  <c r="Y1624" i="1"/>
  <c r="Z1624" i="1"/>
  <c r="X1625" i="1"/>
  <c r="Y1625" i="1"/>
  <c r="Z1625" i="1"/>
  <c r="X1626" i="1"/>
  <c r="Y1626" i="1"/>
  <c r="Z1626" i="1"/>
  <c r="X1627" i="1"/>
  <c r="Y1627" i="1"/>
  <c r="Z1627" i="1"/>
  <c r="X1628" i="1"/>
  <c r="Y1628" i="1"/>
  <c r="Z1628" i="1"/>
  <c r="X1629" i="1"/>
  <c r="Y1629" i="1"/>
  <c r="Z1629" i="1"/>
  <c r="X1630" i="1"/>
  <c r="Y1630" i="1"/>
  <c r="Z1630" i="1"/>
  <c r="X1631" i="1"/>
  <c r="Y1631" i="1"/>
  <c r="Z1631" i="1"/>
  <c r="X1632" i="1"/>
  <c r="Y1632" i="1"/>
  <c r="Z1632" i="1"/>
  <c r="X1633" i="1"/>
  <c r="Y1633" i="1"/>
  <c r="Z1633" i="1"/>
  <c r="X1634" i="1"/>
  <c r="Y1634" i="1"/>
  <c r="Z1634" i="1"/>
  <c r="X1635" i="1"/>
  <c r="Y1635" i="1"/>
  <c r="Z1635" i="1"/>
  <c r="X1636" i="1"/>
  <c r="Y1636" i="1"/>
  <c r="Z1636" i="1"/>
  <c r="X1637" i="1"/>
  <c r="Y1637" i="1"/>
  <c r="Z1637" i="1"/>
  <c r="X1638" i="1"/>
  <c r="Y1638" i="1"/>
  <c r="Z1638" i="1"/>
  <c r="X1639" i="1"/>
  <c r="Y1639" i="1"/>
  <c r="Z1639" i="1"/>
  <c r="X1640" i="1"/>
  <c r="Y1640" i="1"/>
  <c r="Z1640" i="1"/>
  <c r="X1641" i="1"/>
  <c r="Y1641" i="1"/>
  <c r="Z1641" i="1"/>
  <c r="X1642" i="1"/>
  <c r="Y1642" i="1"/>
  <c r="Z1642" i="1"/>
  <c r="X1643" i="1"/>
  <c r="Y1643" i="1"/>
  <c r="Z1643" i="1"/>
  <c r="X1644" i="1"/>
  <c r="Y1644" i="1"/>
  <c r="Z1644" i="1"/>
  <c r="X1645" i="1"/>
  <c r="Y1645" i="1"/>
  <c r="Z1645" i="1"/>
  <c r="X1646" i="1"/>
  <c r="Y1646" i="1"/>
  <c r="Z1646" i="1"/>
  <c r="X1647" i="1"/>
  <c r="Y1647" i="1"/>
  <c r="Z1647" i="1"/>
  <c r="X1648" i="1"/>
  <c r="Y1648" i="1"/>
  <c r="Z1648" i="1"/>
  <c r="X1649" i="1"/>
  <c r="Y1649" i="1"/>
  <c r="Z1649" i="1"/>
  <c r="X1650" i="1"/>
  <c r="Y1650" i="1"/>
  <c r="Z1650" i="1"/>
  <c r="X1651" i="1"/>
  <c r="Y1651" i="1"/>
  <c r="Z1651" i="1"/>
  <c r="X1652" i="1"/>
  <c r="Y1652" i="1"/>
  <c r="Z1652" i="1"/>
  <c r="X1653" i="1"/>
  <c r="Y1653" i="1"/>
  <c r="Z1653" i="1"/>
  <c r="X1654" i="1"/>
  <c r="Y1654" i="1"/>
  <c r="Z1654" i="1"/>
  <c r="X1655" i="1"/>
  <c r="Y1655" i="1"/>
  <c r="Z1655" i="1"/>
  <c r="X1656" i="1"/>
  <c r="Y1656" i="1"/>
  <c r="Z1656" i="1"/>
  <c r="X1657" i="1"/>
  <c r="Y1657" i="1"/>
  <c r="Z1657" i="1"/>
  <c r="X1658" i="1"/>
  <c r="Y1658" i="1"/>
  <c r="Z1658" i="1"/>
  <c r="X1659" i="1"/>
  <c r="Y1659" i="1"/>
  <c r="Z1659" i="1"/>
  <c r="X1660" i="1"/>
  <c r="Y1660" i="1"/>
  <c r="Z1660" i="1"/>
  <c r="X1661" i="1"/>
  <c r="Y1661" i="1"/>
  <c r="Z1661" i="1"/>
  <c r="X1662" i="1"/>
  <c r="Y1662" i="1"/>
  <c r="Z1662" i="1"/>
  <c r="X1663" i="1"/>
  <c r="Y1663" i="1"/>
  <c r="Z1663" i="1"/>
  <c r="X1664" i="1"/>
  <c r="Y1664" i="1"/>
  <c r="Z1664" i="1"/>
  <c r="X1665" i="1"/>
  <c r="Y1665" i="1"/>
  <c r="Z1665" i="1"/>
  <c r="X1666" i="1"/>
  <c r="Y1666" i="1"/>
  <c r="Z1666" i="1"/>
  <c r="X1667" i="1"/>
  <c r="Y1667" i="1"/>
  <c r="Z1667" i="1"/>
  <c r="X1668" i="1"/>
  <c r="Y1668" i="1"/>
  <c r="Z1668" i="1"/>
  <c r="X1669" i="1"/>
  <c r="Y1669" i="1"/>
  <c r="Z1669" i="1"/>
  <c r="X1670" i="1"/>
  <c r="Y1670" i="1"/>
  <c r="Z1670" i="1"/>
  <c r="X1671" i="1"/>
  <c r="Y1671" i="1"/>
  <c r="Z1671" i="1"/>
  <c r="X1672" i="1"/>
  <c r="Y1672" i="1"/>
  <c r="Z1672" i="1"/>
  <c r="X1673" i="1"/>
  <c r="Y1673" i="1"/>
  <c r="Z1673" i="1"/>
  <c r="X1674" i="1"/>
  <c r="Y1674" i="1"/>
  <c r="Z1674" i="1"/>
  <c r="X1675" i="1"/>
  <c r="Y1675" i="1"/>
  <c r="Z1675" i="1"/>
  <c r="X1676" i="1"/>
  <c r="Y1676" i="1"/>
  <c r="Z1676" i="1"/>
  <c r="X1677" i="1"/>
  <c r="Y1677" i="1"/>
  <c r="Z1677" i="1"/>
  <c r="X1678" i="1"/>
  <c r="Y1678" i="1"/>
  <c r="Z1678" i="1"/>
  <c r="X1679" i="1"/>
  <c r="Y1679" i="1"/>
  <c r="Z1679" i="1"/>
  <c r="X1680" i="1"/>
  <c r="Y1680" i="1"/>
  <c r="Z1680" i="1"/>
  <c r="X1681" i="1"/>
  <c r="Y1681" i="1"/>
  <c r="Z1681" i="1"/>
  <c r="X1682" i="1"/>
  <c r="Y1682" i="1"/>
  <c r="Z1682" i="1"/>
  <c r="X1683" i="1"/>
  <c r="Y1683" i="1"/>
  <c r="Z1683" i="1"/>
  <c r="X1684" i="1"/>
  <c r="Y1684" i="1"/>
  <c r="Z1684" i="1"/>
  <c r="X1685" i="1"/>
  <c r="Y1685" i="1"/>
  <c r="Z1685" i="1"/>
  <c r="X1686" i="1"/>
  <c r="Y1686" i="1"/>
  <c r="Z1686" i="1"/>
  <c r="X1687" i="1"/>
  <c r="Y1687" i="1"/>
  <c r="Z1687" i="1"/>
  <c r="X1688" i="1"/>
  <c r="Y1688" i="1"/>
  <c r="Z1688" i="1"/>
  <c r="X1689" i="1"/>
  <c r="Y1689" i="1"/>
  <c r="Z1689" i="1"/>
  <c r="X1690" i="1"/>
  <c r="Y1690" i="1"/>
  <c r="Z1690" i="1"/>
  <c r="X1691" i="1"/>
  <c r="Y1691" i="1"/>
  <c r="Z1691" i="1"/>
  <c r="X1692" i="1"/>
  <c r="Y1692" i="1"/>
  <c r="Z1692" i="1"/>
  <c r="X1693" i="1"/>
  <c r="Y1693" i="1"/>
  <c r="Z1693" i="1"/>
  <c r="X1694" i="1"/>
  <c r="Y1694" i="1"/>
  <c r="Z1694" i="1"/>
  <c r="X1695" i="1"/>
  <c r="Y1695" i="1"/>
  <c r="Z1695" i="1"/>
  <c r="X1696" i="1"/>
  <c r="Y1696" i="1"/>
  <c r="Z1696" i="1"/>
  <c r="X1697" i="1"/>
  <c r="Y1697" i="1"/>
  <c r="Z1697" i="1"/>
  <c r="X1698" i="1"/>
  <c r="Y1698" i="1"/>
  <c r="Z1698" i="1"/>
  <c r="X1699" i="1"/>
  <c r="Y1699" i="1"/>
  <c r="Z1699" i="1"/>
  <c r="X1700" i="1"/>
  <c r="Y1700" i="1"/>
  <c r="Z1700" i="1"/>
  <c r="X1701" i="1"/>
  <c r="Y1701" i="1"/>
  <c r="Z1701" i="1"/>
  <c r="X1702" i="1"/>
  <c r="Y1702" i="1"/>
  <c r="Z1702" i="1"/>
  <c r="X1703" i="1"/>
  <c r="Y1703" i="1"/>
  <c r="Z1703" i="1"/>
  <c r="X1704" i="1"/>
  <c r="Y1704" i="1"/>
  <c r="Z1704" i="1"/>
  <c r="X1705" i="1"/>
  <c r="Y1705" i="1"/>
  <c r="Z1705" i="1"/>
  <c r="X1706" i="1"/>
  <c r="Y1706" i="1"/>
  <c r="Z1706" i="1"/>
  <c r="X1707" i="1"/>
  <c r="Y1707" i="1"/>
  <c r="Z1707" i="1"/>
  <c r="X1708" i="1"/>
  <c r="Y1708" i="1"/>
  <c r="Z1708" i="1"/>
  <c r="X1709" i="1"/>
  <c r="Y1709" i="1"/>
  <c r="Z1709" i="1"/>
  <c r="X1710" i="1"/>
  <c r="Y1710" i="1"/>
  <c r="Z1710" i="1"/>
  <c r="X1711" i="1"/>
  <c r="Y1711" i="1"/>
  <c r="Z1711" i="1"/>
  <c r="X1712" i="1"/>
  <c r="Y1712" i="1"/>
  <c r="Z1712" i="1"/>
  <c r="X1713" i="1"/>
  <c r="Y1713" i="1"/>
  <c r="Z1713" i="1"/>
  <c r="X1714" i="1"/>
  <c r="Y1714" i="1"/>
  <c r="Z1714" i="1"/>
  <c r="X1715" i="1"/>
  <c r="Y1715" i="1"/>
  <c r="Z1715" i="1"/>
  <c r="X1716" i="1"/>
  <c r="Y1716" i="1"/>
  <c r="Z1716" i="1"/>
  <c r="X1717" i="1"/>
  <c r="Y1717" i="1"/>
  <c r="Z1717" i="1"/>
  <c r="X1718" i="1"/>
  <c r="Y1718" i="1"/>
  <c r="Z1718" i="1"/>
  <c r="X1719" i="1"/>
  <c r="Y1719" i="1"/>
  <c r="Z1719" i="1"/>
  <c r="X1720" i="1"/>
  <c r="Y1720" i="1"/>
  <c r="Z1720" i="1"/>
  <c r="X1721" i="1"/>
  <c r="Y1721" i="1"/>
  <c r="Z1721" i="1"/>
  <c r="X1722" i="1"/>
  <c r="Y1722" i="1"/>
  <c r="Z1722" i="1"/>
  <c r="X1723" i="1"/>
  <c r="Y1723" i="1"/>
  <c r="Z1723" i="1"/>
  <c r="X1724" i="1"/>
  <c r="Y1724" i="1"/>
  <c r="Z1724" i="1"/>
  <c r="X1725" i="1"/>
  <c r="Y1725" i="1"/>
  <c r="Z1725" i="1"/>
  <c r="X1726" i="1"/>
  <c r="Y1726" i="1"/>
  <c r="Z1726" i="1"/>
  <c r="X1727" i="1"/>
  <c r="Y1727" i="1"/>
  <c r="Z1727" i="1"/>
  <c r="X1728" i="1"/>
  <c r="Y1728" i="1"/>
  <c r="Z1728" i="1"/>
  <c r="X1729" i="1"/>
  <c r="Y1729" i="1"/>
  <c r="Z1729" i="1"/>
  <c r="X1730" i="1"/>
  <c r="Y1730" i="1"/>
  <c r="Z1730" i="1"/>
  <c r="X1731" i="1"/>
  <c r="Y1731" i="1"/>
  <c r="Z1731" i="1"/>
  <c r="X1732" i="1"/>
  <c r="Y1732" i="1"/>
  <c r="Z1732" i="1"/>
  <c r="X1733" i="1"/>
  <c r="Y1733" i="1"/>
  <c r="Z1733" i="1"/>
  <c r="X1734" i="1"/>
  <c r="Y1734" i="1"/>
  <c r="Z1734" i="1"/>
  <c r="X1735" i="1"/>
  <c r="Y1735" i="1"/>
  <c r="Z1735" i="1"/>
  <c r="X1736" i="1"/>
  <c r="Y1736" i="1"/>
  <c r="Z1736" i="1"/>
  <c r="X1737" i="1"/>
  <c r="Y1737" i="1"/>
  <c r="Z1737" i="1"/>
  <c r="X1738" i="1"/>
  <c r="Y1738" i="1"/>
  <c r="Z1738" i="1"/>
  <c r="X1739" i="1"/>
  <c r="Y1739" i="1"/>
  <c r="Z1739" i="1"/>
  <c r="X1740" i="1"/>
  <c r="Y1740" i="1"/>
  <c r="Z1740" i="1"/>
  <c r="X1741" i="1"/>
  <c r="Y1741" i="1"/>
  <c r="Z1741" i="1"/>
  <c r="X1742" i="1"/>
  <c r="Y1742" i="1"/>
  <c r="Z1742" i="1"/>
  <c r="X1743" i="1"/>
  <c r="Y1743" i="1"/>
  <c r="Z1743" i="1"/>
  <c r="X1744" i="1"/>
  <c r="Y1744" i="1"/>
  <c r="Z1744" i="1"/>
  <c r="X1745" i="1"/>
  <c r="Y1745" i="1"/>
  <c r="Z1745" i="1"/>
  <c r="X1746" i="1"/>
  <c r="Y1746" i="1"/>
  <c r="Z1746" i="1"/>
  <c r="X1747" i="1"/>
  <c r="Y1747" i="1"/>
  <c r="Z1747" i="1"/>
  <c r="X1748" i="1"/>
  <c r="Y1748" i="1"/>
  <c r="Z1748" i="1"/>
  <c r="X1749" i="1"/>
  <c r="Y1749" i="1"/>
  <c r="Z1749" i="1"/>
  <c r="X1750" i="1"/>
  <c r="Y1750" i="1"/>
  <c r="Z1750" i="1"/>
  <c r="X1751" i="1"/>
  <c r="Y1751" i="1"/>
  <c r="Z1751" i="1"/>
  <c r="X1752" i="1"/>
  <c r="Y1752" i="1"/>
  <c r="Z1752" i="1"/>
  <c r="X1753" i="1"/>
  <c r="Y1753" i="1"/>
  <c r="Z1753" i="1"/>
  <c r="X1754" i="1"/>
  <c r="Y1754" i="1"/>
  <c r="Z1754" i="1"/>
  <c r="X1755" i="1"/>
  <c r="Y1755" i="1"/>
  <c r="Z1755" i="1"/>
  <c r="X1756" i="1"/>
  <c r="Y1756" i="1"/>
  <c r="Z1756" i="1"/>
  <c r="X1757" i="1"/>
  <c r="Y1757" i="1"/>
  <c r="Z1757" i="1"/>
  <c r="X1758" i="1"/>
  <c r="Y1758" i="1"/>
  <c r="Z1758" i="1"/>
  <c r="X1759" i="1"/>
  <c r="Y1759" i="1"/>
  <c r="Z1759" i="1"/>
  <c r="X1760" i="1"/>
  <c r="Y1760" i="1"/>
  <c r="Z1760" i="1"/>
  <c r="X1761" i="1"/>
  <c r="Y1761" i="1"/>
  <c r="Z1761" i="1"/>
  <c r="X1762" i="1"/>
  <c r="Y1762" i="1"/>
  <c r="Z1762" i="1"/>
  <c r="X1763" i="1"/>
  <c r="Y1763" i="1"/>
  <c r="Z1763" i="1"/>
  <c r="X1764" i="1"/>
  <c r="Y1764" i="1"/>
  <c r="Z1764" i="1"/>
  <c r="X1765" i="1"/>
  <c r="Y1765" i="1"/>
  <c r="Z1765" i="1"/>
  <c r="X1766" i="1"/>
  <c r="Y1766" i="1"/>
  <c r="Z1766" i="1"/>
  <c r="X1767" i="1"/>
  <c r="Y1767" i="1"/>
  <c r="Z1767" i="1"/>
  <c r="X1768" i="1"/>
  <c r="Y1768" i="1"/>
  <c r="Z1768" i="1"/>
  <c r="X1769" i="1"/>
  <c r="Y1769" i="1"/>
  <c r="Z1769" i="1"/>
  <c r="X1770" i="1"/>
  <c r="Y1770" i="1"/>
  <c r="Z1770" i="1"/>
  <c r="X1771" i="1"/>
  <c r="Y1771" i="1"/>
  <c r="Z1771" i="1"/>
  <c r="X1772" i="1"/>
  <c r="Y1772" i="1"/>
  <c r="Z1772" i="1"/>
  <c r="X1773" i="1"/>
  <c r="Y1773" i="1"/>
  <c r="Z1773" i="1"/>
  <c r="X1774" i="1"/>
  <c r="Y1774" i="1"/>
  <c r="Z1774" i="1"/>
  <c r="X1775" i="1"/>
  <c r="Y1775" i="1"/>
  <c r="Z1775" i="1"/>
  <c r="X1776" i="1"/>
  <c r="Y1776" i="1"/>
  <c r="Z1776" i="1"/>
  <c r="X1777" i="1"/>
  <c r="Y1777" i="1"/>
  <c r="Z1777" i="1"/>
  <c r="X1778" i="1"/>
  <c r="Y1778" i="1"/>
  <c r="Z1778" i="1"/>
  <c r="X1779" i="1"/>
  <c r="Y1779" i="1"/>
  <c r="Z1779" i="1"/>
  <c r="X1780" i="1"/>
  <c r="Y1780" i="1"/>
  <c r="Z1780" i="1"/>
  <c r="X1781" i="1"/>
  <c r="Y1781" i="1"/>
  <c r="Z1781" i="1"/>
  <c r="X1782" i="1"/>
  <c r="Y1782" i="1"/>
  <c r="Z1782" i="1"/>
  <c r="X1783" i="1"/>
  <c r="Y1783" i="1"/>
  <c r="Z1783" i="1"/>
  <c r="X1784" i="1"/>
  <c r="Y1784" i="1"/>
  <c r="Z1784" i="1"/>
  <c r="X1785" i="1"/>
  <c r="Y1785" i="1"/>
  <c r="Z1785" i="1"/>
  <c r="X1786" i="1"/>
  <c r="Y1786" i="1"/>
  <c r="Z1786" i="1"/>
  <c r="X1787" i="1"/>
  <c r="Y1787" i="1"/>
  <c r="Z1787" i="1"/>
  <c r="X1788" i="1"/>
  <c r="Y1788" i="1"/>
  <c r="Z1788" i="1"/>
  <c r="X1789" i="1"/>
  <c r="Y1789" i="1"/>
  <c r="Z1789" i="1"/>
  <c r="X1790" i="1"/>
  <c r="Y1790" i="1"/>
  <c r="Z1790" i="1"/>
  <c r="X1791" i="1"/>
  <c r="Y1791" i="1"/>
  <c r="Z1791" i="1"/>
  <c r="X1792" i="1"/>
  <c r="Y1792" i="1"/>
  <c r="Z1792" i="1"/>
  <c r="X1793" i="1"/>
  <c r="Y1793" i="1"/>
  <c r="Z1793" i="1"/>
  <c r="X1794" i="1"/>
  <c r="Y1794" i="1"/>
  <c r="Z1794" i="1"/>
  <c r="X1795" i="1"/>
  <c r="Y1795" i="1"/>
  <c r="Z1795" i="1"/>
  <c r="X1796" i="1"/>
  <c r="Y1796" i="1"/>
  <c r="Z1796" i="1"/>
  <c r="X1797" i="1"/>
  <c r="Y1797" i="1"/>
  <c r="Z1797" i="1"/>
  <c r="X1798" i="1"/>
  <c r="Y1798" i="1"/>
  <c r="Z1798" i="1"/>
  <c r="X1799" i="1"/>
  <c r="Y1799" i="1"/>
  <c r="Z1799" i="1"/>
  <c r="X1800" i="1"/>
  <c r="Y1800" i="1"/>
  <c r="Z1800" i="1"/>
  <c r="X1801" i="1"/>
  <c r="Y1801" i="1"/>
  <c r="Z1801" i="1"/>
  <c r="X1802" i="1"/>
  <c r="Y1802" i="1"/>
  <c r="Z1802" i="1"/>
  <c r="X1803" i="1"/>
  <c r="Y1803" i="1"/>
  <c r="Z1803" i="1"/>
  <c r="X1804" i="1"/>
  <c r="Y1804" i="1"/>
  <c r="Z1804" i="1"/>
  <c r="X1805" i="1"/>
  <c r="Y1805" i="1"/>
  <c r="Z1805" i="1"/>
  <c r="X1806" i="1"/>
  <c r="Y1806" i="1"/>
  <c r="Z1806" i="1"/>
  <c r="X1807" i="1"/>
  <c r="Y1807" i="1"/>
  <c r="Z1807" i="1"/>
  <c r="X1808" i="1"/>
  <c r="Y1808" i="1"/>
  <c r="Z1808" i="1"/>
  <c r="X1809" i="1"/>
  <c r="Y1809" i="1"/>
  <c r="Z1809" i="1"/>
  <c r="X1810" i="1"/>
  <c r="Y1810" i="1"/>
  <c r="Z1810" i="1"/>
  <c r="X1811" i="1"/>
  <c r="Y1811" i="1"/>
  <c r="Z1811" i="1"/>
  <c r="X1812" i="1"/>
  <c r="Y1812" i="1"/>
  <c r="Z1812" i="1"/>
  <c r="X1813" i="1"/>
  <c r="Y1813" i="1"/>
  <c r="Z1813" i="1"/>
  <c r="X1814" i="1"/>
  <c r="Y1814" i="1"/>
  <c r="Z1814" i="1"/>
  <c r="X1815" i="1"/>
  <c r="Y1815" i="1"/>
  <c r="Z1815" i="1"/>
  <c r="X1816" i="1"/>
  <c r="Y1816" i="1"/>
  <c r="Z1816" i="1"/>
  <c r="X1817" i="1"/>
  <c r="Y1817" i="1"/>
  <c r="Z1817" i="1"/>
  <c r="X1818" i="1"/>
  <c r="Y1818" i="1"/>
  <c r="Z1818" i="1"/>
  <c r="X1819" i="1"/>
  <c r="Y1819" i="1"/>
  <c r="Z1819" i="1"/>
  <c r="X1820" i="1"/>
  <c r="Y1820" i="1"/>
  <c r="Z1820" i="1"/>
  <c r="X1821" i="1"/>
  <c r="Y1821" i="1"/>
  <c r="Z1821" i="1"/>
  <c r="X1822" i="1"/>
  <c r="Y1822" i="1"/>
  <c r="Z1822" i="1"/>
  <c r="X1823" i="1"/>
  <c r="Y1823" i="1"/>
  <c r="Z1823" i="1"/>
  <c r="X1824" i="1"/>
  <c r="Y1824" i="1"/>
  <c r="Z1824" i="1"/>
  <c r="X1825" i="1"/>
  <c r="Y1825" i="1"/>
  <c r="Z1825" i="1"/>
  <c r="X1826" i="1"/>
  <c r="Y1826" i="1"/>
  <c r="Z1826" i="1"/>
  <c r="X1827" i="1"/>
  <c r="Y1827" i="1"/>
  <c r="Z1827" i="1"/>
  <c r="X1828" i="1"/>
  <c r="Y1828" i="1"/>
  <c r="Z1828" i="1"/>
  <c r="X1829" i="1"/>
  <c r="Y1829" i="1"/>
  <c r="Z1829" i="1"/>
  <c r="X1830" i="1"/>
  <c r="Y1830" i="1"/>
  <c r="Z1830" i="1"/>
  <c r="X1831" i="1"/>
  <c r="Y1831" i="1"/>
  <c r="Z1831" i="1"/>
  <c r="X1832" i="1"/>
  <c r="Y1832" i="1"/>
  <c r="Z1832" i="1"/>
  <c r="X1833" i="1"/>
  <c r="Y1833" i="1"/>
  <c r="Z1833" i="1"/>
  <c r="X1834" i="1"/>
  <c r="Y1834" i="1"/>
  <c r="Z1834" i="1"/>
  <c r="X1835" i="1"/>
  <c r="Y1835" i="1"/>
  <c r="Z1835" i="1"/>
  <c r="X1836" i="1"/>
  <c r="Y1836" i="1"/>
  <c r="Z1836" i="1"/>
  <c r="X1837" i="1"/>
  <c r="Y1837" i="1"/>
  <c r="Z1837" i="1"/>
  <c r="X1838" i="1"/>
  <c r="Y1838" i="1"/>
  <c r="Z1838" i="1"/>
  <c r="X1839" i="1"/>
  <c r="Y1839" i="1"/>
  <c r="Z1839" i="1"/>
  <c r="X1840" i="1"/>
  <c r="Y1840" i="1"/>
  <c r="Z1840" i="1"/>
  <c r="X1841" i="1"/>
  <c r="Y1841" i="1"/>
  <c r="Z1841" i="1"/>
  <c r="X1842" i="1"/>
  <c r="Y1842" i="1"/>
  <c r="Z1842" i="1"/>
  <c r="X1843" i="1"/>
  <c r="Y1843" i="1"/>
  <c r="Z1843" i="1"/>
  <c r="X1844" i="1"/>
  <c r="Y1844" i="1"/>
  <c r="Z1844" i="1"/>
  <c r="X1845" i="1"/>
  <c r="Y1845" i="1"/>
  <c r="Z1845" i="1"/>
  <c r="X1846" i="1"/>
  <c r="Y1846" i="1"/>
  <c r="Z1846" i="1"/>
  <c r="X1847" i="1"/>
  <c r="Y1847" i="1"/>
  <c r="Z1847" i="1"/>
  <c r="X1848" i="1"/>
  <c r="Y1848" i="1"/>
  <c r="Z1848" i="1"/>
  <c r="X1849" i="1"/>
  <c r="Y1849" i="1"/>
  <c r="Z1849" i="1"/>
  <c r="X1850" i="1"/>
  <c r="Y1850" i="1"/>
  <c r="Z1850" i="1"/>
  <c r="X1851" i="1"/>
  <c r="Y1851" i="1"/>
  <c r="Z1851" i="1"/>
  <c r="X1852" i="1"/>
  <c r="Y1852" i="1"/>
  <c r="Z1852" i="1"/>
  <c r="X1853" i="1"/>
  <c r="Y1853" i="1"/>
  <c r="Z1853" i="1"/>
  <c r="X1854" i="1"/>
  <c r="Y1854" i="1"/>
  <c r="Z1854" i="1"/>
  <c r="X1855" i="1"/>
  <c r="Y1855" i="1"/>
  <c r="Z1855" i="1"/>
  <c r="X1856" i="1"/>
  <c r="Y1856" i="1"/>
  <c r="Z1856" i="1"/>
  <c r="X1857" i="1"/>
  <c r="Y1857" i="1"/>
  <c r="Z1857" i="1"/>
  <c r="X1858" i="1"/>
  <c r="Y1858" i="1"/>
  <c r="Z1858" i="1"/>
  <c r="X1859" i="1"/>
  <c r="Y1859" i="1"/>
  <c r="Z1859" i="1"/>
  <c r="X1860" i="1"/>
  <c r="Y1860" i="1"/>
  <c r="Z1860" i="1"/>
  <c r="X1861" i="1"/>
  <c r="Y1861" i="1"/>
  <c r="Z1861" i="1"/>
  <c r="X1862" i="1"/>
  <c r="Y1862" i="1"/>
  <c r="Z1862" i="1"/>
  <c r="X1863" i="1"/>
  <c r="Y1863" i="1"/>
  <c r="Z1863" i="1"/>
  <c r="X1864" i="1"/>
  <c r="Y1864" i="1"/>
  <c r="Z1864" i="1"/>
  <c r="X1865" i="1"/>
  <c r="Y1865" i="1"/>
  <c r="Z1865" i="1"/>
  <c r="X1866" i="1"/>
  <c r="Y1866" i="1"/>
  <c r="Z1866" i="1"/>
  <c r="X1867" i="1"/>
  <c r="Y1867" i="1"/>
  <c r="Z1867" i="1"/>
  <c r="X1868" i="1"/>
  <c r="Y1868" i="1"/>
  <c r="Z1868" i="1"/>
  <c r="X1869" i="1"/>
  <c r="Y1869" i="1"/>
  <c r="Z1869" i="1"/>
  <c r="X1870" i="1"/>
  <c r="Y1870" i="1"/>
  <c r="Z1870" i="1"/>
  <c r="X1871" i="1"/>
  <c r="Y1871" i="1"/>
  <c r="Z1871" i="1"/>
  <c r="X1872" i="1"/>
  <c r="Y1872" i="1"/>
  <c r="Z1872" i="1"/>
  <c r="X1873" i="1"/>
  <c r="Y1873" i="1"/>
  <c r="Z1873" i="1"/>
  <c r="X1874" i="1"/>
  <c r="Y1874" i="1"/>
  <c r="Z1874" i="1"/>
  <c r="X1875" i="1"/>
  <c r="Y1875" i="1"/>
  <c r="Z1875" i="1"/>
  <c r="X1876" i="1"/>
  <c r="Y1876" i="1"/>
  <c r="Z1876" i="1"/>
  <c r="X1877" i="1"/>
  <c r="Y1877" i="1"/>
  <c r="Z1877" i="1"/>
  <c r="X1878" i="1"/>
  <c r="Y1878" i="1"/>
  <c r="Z1878" i="1"/>
  <c r="X1879" i="1"/>
  <c r="Y1879" i="1"/>
  <c r="Z1879" i="1"/>
  <c r="X1880" i="1"/>
  <c r="Y1880" i="1"/>
  <c r="Z1880" i="1"/>
  <c r="X1881" i="1"/>
  <c r="Y1881" i="1"/>
  <c r="Z1881" i="1"/>
  <c r="X1882" i="1"/>
  <c r="Y1882" i="1"/>
  <c r="Z1882" i="1"/>
  <c r="X1883" i="1"/>
  <c r="Y1883" i="1"/>
  <c r="Z1883" i="1"/>
  <c r="X1884" i="1"/>
  <c r="Y1884" i="1"/>
  <c r="Z1884" i="1"/>
  <c r="X1885" i="1"/>
  <c r="Y1885" i="1"/>
  <c r="Z1885" i="1"/>
  <c r="X1886" i="1"/>
  <c r="Y1886" i="1"/>
  <c r="Z1886" i="1"/>
  <c r="X1887" i="1"/>
  <c r="Y1887" i="1"/>
  <c r="Z1887" i="1"/>
  <c r="X1888" i="1"/>
  <c r="Y1888" i="1"/>
  <c r="Z1888" i="1"/>
  <c r="X1889" i="1"/>
  <c r="Y1889" i="1"/>
  <c r="Z1889" i="1"/>
  <c r="X1890" i="1"/>
  <c r="Y1890" i="1"/>
  <c r="Z1890" i="1"/>
  <c r="X1891" i="1"/>
  <c r="Y1891" i="1"/>
  <c r="Z1891" i="1"/>
  <c r="X1892" i="1"/>
  <c r="Y1892" i="1"/>
  <c r="Z1892" i="1"/>
  <c r="X1893" i="1"/>
  <c r="Y1893" i="1"/>
  <c r="Z1893" i="1"/>
  <c r="X1894" i="1"/>
  <c r="Y1894" i="1"/>
  <c r="Z1894" i="1"/>
  <c r="X1895" i="1"/>
  <c r="Y1895" i="1"/>
  <c r="Z1895" i="1"/>
  <c r="X1896" i="1"/>
  <c r="Y1896" i="1"/>
  <c r="Z1896" i="1"/>
  <c r="X1897" i="1"/>
  <c r="Y1897" i="1"/>
  <c r="Z1897" i="1"/>
  <c r="X1898" i="1"/>
  <c r="Y1898" i="1"/>
  <c r="Z1898" i="1"/>
  <c r="X1899" i="1"/>
  <c r="Y1899" i="1"/>
  <c r="Z1899" i="1"/>
  <c r="X1900" i="1"/>
  <c r="Y1900" i="1"/>
  <c r="Z1900" i="1"/>
  <c r="X1901" i="1"/>
  <c r="Y1901" i="1"/>
  <c r="Z1901" i="1"/>
  <c r="X1902" i="1"/>
  <c r="Y1902" i="1"/>
  <c r="Z1902" i="1"/>
  <c r="X1903" i="1"/>
  <c r="Y1903" i="1"/>
  <c r="Z1903" i="1"/>
  <c r="X1904" i="1"/>
  <c r="Y1904" i="1"/>
  <c r="Z1904" i="1"/>
  <c r="X1905" i="1"/>
  <c r="Y1905" i="1"/>
  <c r="Z1905" i="1"/>
  <c r="X1906" i="1"/>
  <c r="Y1906" i="1"/>
  <c r="Z1906" i="1"/>
  <c r="X1907" i="1"/>
  <c r="Y1907" i="1"/>
  <c r="Z1907" i="1"/>
  <c r="X1908" i="1"/>
  <c r="Y1908" i="1"/>
  <c r="Z1908" i="1"/>
  <c r="X1909" i="1"/>
  <c r="Y1909" i="1"/>
  <c r="Z1909" i="1"/>
  <c r="X1910" i="1"/>
  <c r="Y1910" i="1"/>
  <c r="Z1910" i="1"/>
  <c r="X1911" i="1"/>
  <c r="Y1911" i="1"/>
  <c r="Z1911" i="1"/>
  <c r="X1912" i="1"/>
  <c r="Y1912" i="1"/>
  <c r="Z1912" i="1"/>
  <c r="X1913" i="1"/>
  <c r="Y1913" i="1"/>
  <c r="Z1913" i="1"/>
  <c r="X1914" i="1"/>
  <c r="Y1914" i="1"/>
  <c r="Z1914" i="1"/>
  <c r="X1915" i="1"/>
  <c r="Y1915" i="1"/>
  <c r="Z1915" i="1"/>
  <c r="X1916" i="1"/>
  <c r="Y1916" i="1"/>
  <c r="Z1916" i="1"/>
  <c r="X1917" i="1"/>
  <c r="Y1917" i="1"/>
  <c r="Z1917" i="1"/>
  <c r="X1918" i="1"/>
  <c r="Y1918" i="1"/>
  <c r="Z1918" i="1"/>
  <c r="X1919" i="1"/>
  <c r="Y1919" i="1"/>
  <c r="Z1919" i="1"/>
  <c r="X1920" i="1"/>
  <c r="Y1920" i="1"/>
  <c r="Z1920" i="1"/>
  <c r="X1921" i="1"/>
  <c r="Y1921" i="1"/>
  <c r="Z1921" i="1"/>
  <c r="X1922" i="1"/>
  <c r="Y1922" i="1"/>
  <c r="Z1922" i="1"/>
  <c r="X1923" i="1"/>
  <c r="Y1923" i="1"/>
  <c r="Z1923" i="1"/>
  <c r="X1924" i="1"/>
  <c r="Y1924" i="1"/>
  <c r="Z1924" i="1"/>
  <c r="X1925" i="1"/>
  <c r="Y1925" i="1"/>
  <c r="Z1925" i="1"/>
  <c r="X1926" i="1"/>
  <c r="Y1926" i="1"/>
  <c r="Z1926" i="1"/>
  <c r="X1927" i="1"/>
  <c r="Y1927" i="1"/>
  <c r="Z1927" i="1"/>
  <c r="X1928" i="1"/>
  <c r="Y1928" i="1"/>
  <c r="Z1928" i="1"/>
  <c r="X1929" i="1"/>
  <c r="Y1929" i="1"/>
  <c r="Z1929" i="1"/>
  <c r="X1930" i="1"/>
  <c r="Y1930" i="1"/>
  <c r="Z1930" i="1"/>
  <c r="X1931" i="1"/>
  <c r="Y1931" i="1"/>
  <c r="Z1931" i="1"/>
  <c r="X1932" i="1"/>
  <c r="Y1932" i="1"/>
  <c r="Z1932" i="1"/>
  <c r="X1933" i="1"/>
  <c r="Y1933" i="1"/>
  <c r="Z1933" i="1"/>
  <c r="X1934" i="1"/>
  <c r="Y1934" i="1"/>
  <c r="Z1934" i="1"/>
  <c r="X1935" i="1"/>
  <c r="Y1935" i="1"/>
  <c r="Z1935" i="1"/>
  <c r="X1936" i="1"/>
  <c r="Y1936" i="1"/>
  <c r="Z1936" i="1"/>
  <c r="X1937" i="1"/>
  <c r="Y1937" i="1"/>
  <c r="Z1937" i="1"/>
  <c r="X1938" i="1"/>
  <c r="Y1938" i="1"/>
  <c r="Z1938" i="1"/>
  <c r="X1939" i="1"/>
  <c r="Y1939" i="1"/>
  <c r="Z1939" i="1"/>
  <c r="X1940" i="1"/>
  <c r="Y1940" i="1"/>
  <c r="Z1940" i="1"/>
  <c r="X1941" i="1"/>
  <c r="Y1941" i="1"/>
  <c r="Z1941" i="1"/>
  <c r="X1942" i="1"/>
  <c r="Y1942" i="1"/>
  <c r="Z1942" i="1"/>
  <c r="X1943" i="1"/>
  <c r="Y1943" i="1"/>
  <c r="Z1943" i="1"/>
  <c r="X1944" i="1"/>
  <c r="Y1944" i="1"/>
  <c r="Z1944" i="1"/>
  <c r="X1945" i="1"/>
  <c r="Y1945" i="1"/>
  <c r="Z1945" i="1"/>
  <c r="X1946" i="1"/>
  <c r="Y1946" i="1"/>
  <c r="Z1946" i="1"/>
  <c r="X1947" i="1"/>
  <c r="Y1947" i="1"/>
  <c r="Z1947" i="1"/>
  <c r="X1948" i="1"/>
  <c r="Y1948" i="1"/>
  <c r="Z1948" i="1"/>
  <c r="X1949" i="1"/>
  <c r="Y1949" i="1"/>
  <c r="Z1949" i="1"/>
  <c r="X1950" i="1"/>
  <c r="Y1950" i="1"/>
  <c r="Z1950" i="1"/>
  <c r="X1951" i="1"/>
  <c r="Y1951" i="1"/>
  <c r="Z1951" i="1"/>
  <c r="X1952" i="1"/>
  <c r="Y1952" i="1"/>
  <c r="Z1952" i="1"/>
  <c r="X1953" i="1"/>
  <c r="Y1953" i="1"/>
  <c r="Z1953" i="1"/>
  <c r="X1954" i="1"/>
  <c r="Y1954" i="1"/>
  <c r="Z1954" i="1"/>
  <c r="X1955" i="1"/>
  <c r="Y1955" i="1"/>
  <c r="Z1955" i="1"/>
  <c r="X1956" i="1"/>
  <c r="Y1956" i="1"/>
  <c r="Z1956" i="1"/>
  <c r="X1957" i="1"/>
  <c r="Y1957" i="1"/>
  <c r="Z1957" i="1"/>
  <c r="X1958" i="1"/>
  <c r="Y1958" i="1"/>
  <c r="Z1958" i="1"/>
  <c r="X1959" i="1"/>
  <c r="Y1959" i="1"/>
  <c r="Z1959" i="1"/>
  <c r="X1960" i="1"/>
  <c r="Y1960" i="1"/>
  <c r="Z1960" i="1"/>
  <c r="X1961" i="1"/>
  <c r="Y1961" i="1"/>
  <c r="Z1961" i="1"/>
  <c r="X1962" i="1"/>
  <c r="Y1962" i="1"/>
  <c r="Z1962" i="1"/>
  <c r="X1963" i="1"/>
  <c r="Y1963" i="1"/>
  <c r="Z1963" i="1"/>
  <c r="X1964" i="1"/>
  <c r="Y1964" i="1"/>
  <c r="Z1964" i="1"/>
  <c r="X1965" i="1"/>
  <c r="Y1965" i="1"/>
  <c r="Z1965" i="1"/>
  <c r="X1966" i="1"/>
  <c r="Y1966" i="1"/>
  <c r="Z1966" i="1"/>
  <c r="X1967" i="1"/>
  <c r="Y1967" i="1"/>
  <c r="Z1967" i="1"/>
  <c r="X1968" i="1"/>
  <c r="Y1968" i="1"/>
  <c r="Z1968" i="1"/>
  <c r="X1969" i="1"/>
  <c r="Y1969" i="1"/>
  <c r="Z1969" i="1"/>
  <c r="X1970" i="1"/>
  <c r="Y1970" i="1"/>
  <c r="Z1970" i="1"/>
  <c r="X1971" i="1"/>
  <c r="Y1971" i="1"/>
  <c r="Z1971" i="1"/>
  <c r="X1972" i="1"/>
  <c r="Y1972" i="1"/>
  <c r="Z1972" i="1"/>
  <c r="X1973" i="1"/>
  <c r="Y1973" i="1"/>
  <c r="Z1973" i="1"/>
  <c r="X1974" i="1"/>
  <c r="Y1974" i="1"/>
  <c r="Z1974" i="1"/>
  <c r="X1975" i="1"/>
  <c r="Y1975" i="1"/>
  <c r="Z1975" i="1"/>
  <c r="X1976" i="1"/>
  <c r="Y1976" i="1"/>
  <c r="Z1976" i="1"/>
  <c r="X1977" i="1"/>
  <c r="Y1977" i="1"/>
  <c r="Z1977" i="1"/>
  <c r="X1978" i="1"/>
  <c r="Y1978" i="1"/>
  <c r="Z1978" i="1"/>
  <c r="X1979" i="1"/>
  <c r="Y1979" i="1"/>
  <c r="Z1979" i="1"/>
  <c r="X1980" i="1"/>
  <c r="Y1980" i="1"/>
  <c r="Z1980" i="1"/>
  <c r="X1981" i="1"/>
  <c r="Y1981" i="1"/>
  <c r="Z1981" i="1"/>
  <c r="X1982" i="1"/>
  <c r="Y1982" i="1"/>
  <c r="Z1982" i="1"/>
  <c r="X1983" i="1"/>
  <c r="Y1983" i="1"/>
  <c r="Z1983" i="1"/>
  <c r="X1984" i="1"/>
  <c r="Y1984" i="1"/>
  <c r="Z1984" i="1"/>
  <c r="X1985" i="1"/>
  <c r="Y1985" i="1"/>
  <c r="Z1985" i="1"/>
  <c r="X1986" i="1"/>
  <c r="Y1986" i="1"/>
  <c r="Z1986" i="1"/>
  <c r="X1987" i="1"/>
  <c r="Y1987" i="1"/>
  <c r="Z1987" i="1"/>
  <c r="X1988" i="1"/>
  <c r="Y1988" i="1"/>
  <c r="Z1988" i="1"/>
  <c r="X1989" i="1"/>
  <c r="Y1989" i="1"/>
  <c r="Z1989" i="1"/>
  <c r="X1990" i="1"/>
  <c r="Y1990" i="1"/>
  <c r="Z1990" i="1"/>
  <c r="X1991" i="1"/>
  <c r="Y1991" i="1"/>
  <c r="Z1991" i="1"/>
  <c r="X1992" i="1"/>
  <c r="Y1992" i="1"/>
  <c r="Z1992" i="1"/>
  <c r="X1993" i="1"/>
  <c r="Y1993" i="1"/>
  <c r="Z1993" i="1"/>
  <c r="X1994" i="1"/>
  <c r="Y1994" i="1"/>
  <c r="Z1994" i="1"/>
  <c r="X1995" i="1"/>
  <c r="Y1995" i="1"/>
  <c r="Z1995" i="1"/>
  <c r="X1996" i="1"/>
  <c r="Y1996" i="1"/>
  <c r="Z1996" i="1"/>
  <c r="X1997" i="1"/>
  <c r="Y1997" i="1"/>
  <c r="Z1997" i="1"/>
  <c r="X1998" i="1"/>
  <c r="Y1998" i="1"/>
  <c r="Z1998" i="1"/>
  <c r="X1999" i="1"/>
  <c r="Y1999" i="1"/>
  <c r="Z1999" i="1"/>
  <c r="X2000" i="1"/>
  <c r="Y2000" i="1"/>
  <c r="Z2000" i="1"/>
  <c r="X2001" i="1"/>
  <c r="Y2001" i="1"/>
  <c r="Z2001" i="1"/>
  <c r="X2002" i="1"/>
  <c r="Y2002" i="1"/>
  <c r="Z2002" i="1"/>
  <c r="X2003" i="1"/>
  <c r="Y2003" i="1"/>
  <c r="Z2003" i="1"/>
  <c r="X2004" i="1"/>
  <c r="Y2004" i="1"/>
  <c r="Z2004" i="1"/>
  <c r="X2005" i="1"/>
  <c r="Y2005" i="1"/>
  <c r="Z2005" i="1"/>
  <c r="X2006" i="1"/>
  <c r="Y2006" i="1"/>
  <c r="Z2006" i="1"/>
  <c r="X2007" i="1"/>
  <c r="Y2007" i="1"/>
  <c r="Z2007" i="1"/>
  <c r="X2008" i="1"/>
  <c r="Y2008" i="1"/>
  <c r="Z2008" i="1"/>
  <c r="X2009" i="1"/>
  <c r="Y2009" i="1"/>
  <c r="Z2009" i="1"/>
  <c r="X2010" i="1"/>
  <c r="Y2010" i="1"/>
  <c r="Z2010" i="1"/>
  <c r="X2011" i="1"/>
  <c r="Y2011" i="1"/>
  <c r="Z2011" i="1"/>
  <c r="X2012" i="1"/>
  <c r="Y2012" i="1"/>
  <c r="Z2012" i="1"/>
  <c r="X2013" i="1"/>
  <c r="Y2013" i="1"/>
  <c r="Z2013" i="1"/>
  <c r="X2014" i="1"/>
  <c r="Y2014" i="1"/>
  <c r="Z2014" i="1"/>
  <c r="X2015" i="1"/>
  <c r="Y2015" i="1"/>
  <c r="Z2015" i="1"/>
  <c r="X2016" i="1"/>
  <c r="Y2016" i="1"/>
  <c r="Z2016" i="1"/>
  <c r="X2017" i="1"/>
  <c r="Y2017" i="1"/>
  <c r="Z2017" i="1"/>
  <c r="X2018" i="1"/>
  <c r="Y2018" i="1"/>
  <c r="Z2018" i="1"/>
  <c r="X2019" i="1"/>
  <c r="Y2019" i="1"/>
  <c r="Z2019" i="1"/>
  <c r="X2020" i="1"/>
  <c r="Y2020" i="1"/>
  <c r="Z2020" i="1"/>
  <c r="X2021" i="1"/>
  <c r="Y2021" i="1"/>
  <c r="Z2021" i="1"/>
  <c r="X2022" i="1"/>
  <c r="Y2022" i="1"/>
  <c r="Z2022" i="1"/>
  <c r="X2023" i="1"/>
  <c r="Y2023" i="1"/>
  <c r="Z2023" i="1"/>
  <c r="X2024" i="1"/>
  <c r="Y2024" i="1"/>
  <c r="Z2024" i="1"/>
  <c r="X2025" i="1"/>
  <c r="Y2025" i="1"/>
  <c r="Z2025" i="1"/>
  <c r="X2026" i="1"/>
  <c r="Y2026" i="1"/>
  <c r="Z2026" i="1"/>
  <c r="X2027" i="1"/>
  <c r="Y2027" i="1"/>
  <c r="Z2027" i="1"/>
  <c r="X2028" i="1"/>
  <c r="Y2028" i="1"/>
  <c r="Z2028" i="1"/>
  <c r="X2029" i="1"/>
  <c r="Y2029" i="1"/>
  <c r="Z2029" i="1"/>
  <c r="X2030" i="1"/>
  <c r="Y2030" i="1"/>
  <c r="Z2030" i="1"/>
  <c r="X2031" i="1"/>
  <c r="Y2031" i="1"/>
  <c r="Z2031" i="1"/>
  <c r="X2032" i="1"/>
  <c r="Y2032" i="1"/>
  <c r="Z2032" i="1"/>
  <c r="X2033" i="1"/>
  <c r="Y2033" i="1"/>
  <c r="Z2033" i="1"/>
  <c r="X2034" i="1"/>
  <c r="Y2034" i="1"/>
  <c r="Z2034" i="1"/>
  <c r="X2035" i="1"/>
  <c r="Y2035" i="1"/>
  <c r="Z2035" i="1"/>
  <c r="X2036" i="1"/>
  <c r="Y2036" i="1"/>
  <c r="Z2036" i="1"/>
  <c r="X2037" i="1"/>
  <c r="Y2037" i="1"/>
  <c r="Z2037" i="1"/>
  <c r="X2038" i="1"/>
  <c r="Y2038" i="1"/>
  <c r="Z2038" i="1"/>
  <c r="X2039" i="1"/>
  <c r="Y2039" i="1"/>
  <c r="Z2039" i="1"/>
  <c r="X2040" i="1"/>
  <c r="Y2040" i="1"/>
  <c r="Z2040" i="1"/>
  <c r="X2041" i="1"/>
  <c r="Y2041" i="1"/>
  <c r="Z2041" i="1"/>
  <c r="X2042" i="1"/>
  <c r="Y2042" i="1"/>
  <c r="Z2042" i="1"/>
  <c r="X2043" i="1"/>
  <c r="Y2043" i="1"/>
  <c r="Z2043" i="1"/>
  <c r="X2044" i="1"/>
  <c r="Y2044" i="1"/>
  <c r="Z2044" i="1"/>
  <c r="X2045" i="1"/>
  <c r="Y2045" i="1"/>
  <c r="Z2045" i="1"/>
  <c r="X2046" i="1"/>
  <c r="Y2046" i="1"/>
  <c r="Z2046" i="1"/>
  <c r="X2047" i="1"/>
  <c r="Y2047" i="1"/>
  <c r="Z2047" i="1"/>
  <c r="X2048" i="1"/>
  <c r="Y2048" i="1"/>
  <c r="Z2048" i="1"/>
  <c r="X2049" i="1"/>
  <c r="Y2049" i="1"/>
  <c r="Z2049" i="1"/>
  <c r="X2050" i="1"/>
  <c r="Y2050" i="1"/>
  <c r="Z2050" i="1"/>
  <c r="X2051" i="1"/>
  <c r="Y2051" i="1"/>
  <c r="Z2051" i="1"/>
  <c r="X2052" i="1"/>
  <c r="Y2052" i="1"/>
  <c r="Z2052" i="1"/>
  <c r="X2053" i="1"/>
  <c r="Y2053" i="1"/>
  <c r="Z2053" i="1"/>
  <c r="X2054" i="1"/>
  <c r="Y2054" i="1"/>
  <c r="Z2054" i="1"/>
  <c r="X2055" i="1"/>
  <c r="Y2055" i="1"/>
  <c r="Z2055" i="1"/>
  <c r="X2056" i="1"/>
  <c r="Y2056" i="1"/>
  <c r="Z2056" i="1"/>
  <c r="X2057" i="1"/>
  <c r="Y2057" i="1"/>
  <c r="Z2057" i="1"/>
  <c r="X2058" i="1"/>
  <c r="Y2058" i="1"/>
  <c r="Z2058" i="1"/>
  <c r="X2059" i="1"/>
  <c r="Y2059" i="1"/>
  <c r="Z2059" i="1"/>
  <c r="X2060" i="1"/>
  <c r="Y2060" i="1"/>
  <c r="Z2060" i="1"/>
  <c r="X2061" i="1"/>
  <c r="Y2061" i="1"/>
  <c r="Z2061" i="1"/>
  <c r="X2062" i="1"/>
  <c r="Y2062" i="1"/>
  <c r="Z2062" i="1"/>
  <c r="X2063" i="1"/>
  <c r="Y2063" i="1"/>
  <c r="Z2063" i="1"/>
  <c r="X2064" i="1"/>
  <c r="Y2064" i="1"/>
  <c r="Z2064" i="1"/>
  <c r="X2065" i="1"/>
  <c r="Y2065" i="1"/>
  <c r="Z2065" i="1"/>
  <c r="X2066" i="1"/>
  <c r="Y2066" i="1"/>
  <c r="Z2066" i="1"/>
  <c r="X2067" i="1"/>
  <c r="Y2067" i="1"/>
  <c r="Z2067" i="1"/>
  <c r="X2068" i="1"/>
  <c r="Y2068" i="1"/>
  <c r="Z2068" i="1"/>
  <c r="X2069" i="1"/>
  <c r="Y2069" i="1"/>
  <c r="Z2069" i="1"/>
  <c r="X2070" i="1"/>
  <c r="Y2070" i="1"/>
  <c r="Z2070" i="1"/>
  <c r="X2071" i="1"/>
  <c r="Y2071" i="1"/>
  <c r="Z2071" i="1"/>
  <c r="X2072" i="1"/>
  <c r="Y2072" i="1"/>
  <c r="Z2072" i="1"/>
  <c r="X2073" i="1"/>
  <c r="Y2073" i="1"/>
  <c r="Z2073" i="1"/>
  <c r="X2074" i="1"/>
  <c r="Y2074" i="1"/>
  <c r="Z2074" i="1"/>
  <c r="X2075" i="1"/>
  <c r="Y2075" i="1"/>
  <c r="Z2075" i="1"/>
  <c r="X2076" i="1"/>
  <c r="Y2076" i="1"/>
  <c r="Z2076" i="1"/>
  <c r="X2077" i="1"/>
  <c r="Y2077" i="1"/>
  <c r="Z2077" i="1"/>
  <c r="X2078" i="1"/>
  <c r="Y2078" i="1"/>
  <c r="Z2078" i="1"/>
  <c r="X2079" i="1"/>
  <c r="Y2079" i="1"/>
  <c r="Z2079" i="1"/>
  <c r="X2080" i="1"/>
  <c r="Y2080" i="1"/>
  <c r="Z2080" i="1"/>
  <c r="X2081" i="1"/>
  <c r="Y2081" i="1"/>
  <c r="Z2081" i="1"/>
  <c r="X2082" i="1"/>
  <c r="Y2082" i="1"/>
  <c r="Z2082" i="1"/>
  <c r="X2083" i="1"/>
  <c r="Y2083" i="1"/>
  <c r="Z2083" i="1"/>
  <c r="X2084" i="1"/>
  <c r="Y2084" i="1"/>
  <c r="Z2084" i="1"/>
  <c r="X2085" i="1"/>
  <c r="Y2085" i="1"/>
  <c r="Z2085" i="1"/>
  <c r="X2086" i="1"/>
  <c r="Y2086" i="1"/>
  <c r="Z2086" i="1"/>
  <c r="X2087" i="1"/>
  <c r="Y2087" i="1"/>
  <c r="Z2087" i="1"/>
  <c r="X2088" i="1"/>
  <c r="Y2088" i="1"/>
  <c r="Z2088" i="1"/>
  <c r="X2089" i="1"/>
  <c r="Y2089" i="1"/>
  <c r="Z2089" i="1"/>
  <c r="X2090" i="1"/>
  <c r="Y2090" i="1"/>
  <c r="Z2090" i="1"/>
  <c r="X2091" i="1"/>
  <c r="Y2091" i="1"/>
  <c r="Z2091" i="1"/>
  <c r="X2092" i="1"/>
  <c r="Y2092" i="1"/>
  <c r="Z2092" i="1"/>
  <c r="X2093" i="1"/>
  <c r="Y2093" i="1"/>
  <c r="Z2093" i="1"/>
  <c r="X2094" i="1"/>
  <c r="Y2094" i="1"/>
  <c r="Z2094" i="1"/>
  <c r="X2095" i="1"/>
  <c r="Y2095" i="1"/>
  <c r="Z2095" i="1"/>
  <c r="X2096" i="1"/>
  <c r="Y2096" i="1"/>
  <c r="Z2096" i="1"/>
  <c r="X2097" i="1"/>
  <c r="Y2097" i="1"/>
  <c r="Z2097" i="1"/>
  <c r="X2098" i="1"/>
  <c r="Y2098" i="1"/>
  <c r="Z2098" i="1"/>
  <c r="X2099" i="1"/>
  <c r="Y2099" i="1"/>
  <c r="Z2099" i="1"/>
  <c r="X2100" i="1"/>
  <c r="Y2100" i="1"/>
  <c r="Z2100" i="1"/>
  <c r="X2101" i="1"/>
  <c r="Y2101" i="1"/>
  <c r="Z2101" i="1"/>
  <c r="X2102" i="1"/>
  <c r="Y2102" i="1"/>
  <c r="Z2102" i="1"/>
  <c r="X2103" i="1"/>
  <c r="Y2103" i="1"/>
  <c r="Z2103" i="1"/>
  <c r="X2104" i="1"/>
  <c r="Y2104" i="1"/>
  <c r="Z2104" i="1"/>
  <c r="X2105" i="1"/>
  <c r="Y2105" i="1"/>
  <c r="Z2105" i="1"/>
  <c r="X2106" i="1"/>
  <c r="Y2106" i="1"/>
  <c r="Z2106" i="1"/>
  <c r="X2107" i="1"/>
  <c r="Y2107" i="1"/>
  <c r="Z2107" i="1"/>
  <c r="X2108" i="1"/>
  <c r="Y2108" i="1"/>
  <c r="Z2108" i="1"/>
  <c r="X2109" i="1"/>
  <c r="Y2109" i="1"/>
  <c r="Z2109" i="1"/>
  <c r="X2110" i="1"/>
  <c r="Y2110" i="1"/>
  <c r="Z2110" i="1"/>
  <c r="X2111" i="1"/>
  <c r="Y2111" i="1"/>
  <c r="Z2111" i="1"/>
  <c r="X2112" i="1"/>
  <c r="Y2112" i="1"/>
  <c r="Z2112" i="1"/>
  <c r="X2113" i="1"/>
  <c r="Y2113" i="1"/>
  <c r="Z2113" i="1"/>
  <c r="X2114" i="1"/>
  <c r="Y2114" i="1"/>
  <c r="Z2114" i="1"/>
  <c r="X2115" i="1"/>
  <c r="Y2115" i="1"/>
  <c r="Z2115" i="1"/>
  <c r="X2116" i="1"/>
  <c r="Y2116" i="1"/>
  <c r="Z2116" i="1"/>
  <c r="X2117" i="1"/>
  <c r="Y2117" i="1"/>
  <c r="Z2117" i="1"/>
  <c r="X2118" i="1"/>
  <c r="Y2118" i="1"/>
  <c r="Z2118" i="1"/>
  <c r="X2119" i="1"/>
  <c r="Y2119" i="1"/>
  <c r="Z2119" i="1"/>
  <c r="X2120" i="1"/>
  <c r="Y2120" i="1"/>
  <c r="Z2120" i="1"/>
  <c r="X2121" i="1"/>
  <c r="Y2121" i="1"/>
  <c r="Z2121" i="1"/>
  <c r="X2122" i="1"/>
  <c r="Y2122" i="1"/>
  <c r="Z2122" i="1"/>
  <c r="X2123" i="1"/>
  <c r="Y2123" i="1"/>
  <c r="Z2123" i="1"/>
  <c r="X2124" i="1"/>
  <c r="Y2124" i="1"/>
  <c r="Z2124" i="1"/>
  <c r="X2125" i="1"/>
  <c r="Y2125" i="1"/>
  <c r="Z2125" i="1"/>
  <c r="X2126" i="1"/>
  <c r="Y2126" i="1"/>
  <c r="Z2126" i="1"/>
  <c r="X2127" i="1"/>
  <c r="Y2127" i="1"/>
  <c r="Z2127" i="1"/>
  <c r="X2128" i="1"/>
  <c r="Y2128" i="1"/>
  <c r="Z2128" i="1"/>
  <c r="X2129" i="1"/>
  <c r="Y2129" i="1"/>
  <c r="Z2129" i="1"/>
  <c r="X2130" i="1"/>
  <c r="Y2130" i="1"/>
  <c r="Z2130" i="1"/>
  <c r="X2131" i="1"/>
  <c r="Y2131" i="1"/>
  <c r="Z2131" i="1"/>
  <c r="X2132" i="1"/>
  <c r="Y2132" i="1"/>
  <c r="Z2132" i="1"/>
  <c r="X2133" i="1"/>
  <c r="Y2133" i="1"/>
  <c r="Z2133" i="1"/>
  <c r="X2134" i="1"/>
  <c r="Y2134" i="1"/>
  <c r="Z2134" i="1"/>
  <c r="X2135" i="1"/>
  <c r="Y2135" i="1"/>
  <c r="Z2135" i="1"/>
  <c r="X2136" i="1"/>
  <c r="Y2136" i="1"/>
  <c r="Z2136" i="1"/>
  <c r="X2137" i="1"/>
  <c r="Y2137" i="1"/>
  <c r="Z2137" i="1"/>
  <c r="X2138" i="1"/>
  <c r="Y2138" i="1"/>
  <c r="Z2138" i="1"/>
  <c r="X2139" i="1"/>
  <c r="Y2139" i="1"/>
  <c r="Z2139" i="1"/>
  <c r="X2140" i="1"/>
  <c r="Y2140" i="1"/>
  <c r="Z2140" i="1"/>
  <c r="X2141" i="1"/>
  <c r="Y2141" i="1"/>
  <c r="Z2141" i="1"/>
  <c r="X2142" i="1"/>
  <c r="Y2142" i="1"/>
  <c r="Z2142" i="1"/>
  <c r="X2143" i="1"/>
  <c r="Y2143" i="1"/>
  <c r="Z2143" i="1"/>
  <c r="X2144" i="1"/>
  <c r="Y2144" i="1"/>
  <c r="Z2144" i="1"/>
  <c r="X2145" i="1"/>
  <c r="Y2145" i="1"/>
  <c r="Z2145" i="1"/>
  <c r="X2146" i="1"/>
  <c r="Y2146" i="1"/>
  <c r="Z2146" i="1"/>
  <c r="X2147" i="1"/>
  <c r="Y2147" i="1"/>
  <c r="Z2147" i="1"/>
  <c r="X2148" i="1"/>
  <c r="Y2148" i="1"/>
  <c r="Z2148" i="1"/>
  <c r="X2149" i="1"/>
  <c r="Y2149" i="1"/>
  <c r="Z2149" i="1"/>
  <c r="X2150" i="1"/>
  <c r="Y2150" i="1"/>
  <c r="Z2150" i="1"/>
  <c r="X2151" i="1"/>
  <c r="Y2151" i="1"/>
  <c r="Z2151" i="1"/>
  <c r="X2152" i="1"/>
  <c r="Y2152" i="1"/>
  <c r="Z2152" i="1"/>
  <c r="X2153" i="1"/>
  <c r="Y2153" i="1"/>
  <c r="Z2153" i="1"/>
  <c r="X2154" i="1"/>
  <c r="Y2154" i="1"/>
  <c r="Z2154" i="1"/>
  <c r="X2155" i="1"/>
  <c r="Y2155" i="1"/>
  <c r="Z2155" i="1"/>
  <c r="X2156" i="1"/>
  <c r="Y2156" i="1"/>
  <c r="Z2156" i="1"/>
  <c r="X2157" i="1"/>
  <c r="Y2157" i="1"/>
  <c r="Z2157" i="1"/>
  <c r="X2158" i="1"/>
  <c r="Y2158" i="1"/>
  <c r="Z2158" i="1"/>
  <c r="X2159" i="1"/>
  <c r="Y2159" i="1"/>
  <c r="Z2159" i="1"/>
  <c r="X2160" i="1"/>
  <c r="Y2160" i="1"/>
  <c r="Z2160" i="1"/>
  <c r="X2161" i="1"/>
  <c r="Y2161" i="1"/>
  <c r="Z2161" i="1"/>
  <c r="X2162" i="1"/>
  <c r="Y2162" i="1"/>
  <c r="Z2162" i="1"/>
  <c r="X2163" i="1"/>
  <c r="Y2163" i="1"/>
  <c r="Z2163" i="1"/>
  <c r="X2164" i="1"/>
  <c r="Y2164" i="1"/>
  <c r="Z2164" i="1"/>
  <c r="X2165" i="1"/>
  <c r="Y2165" i="1"/>
  <c r="Z2165" i="1"/>
  <c r="X2166" i="1"/>
  <c r="Y2166" i="1"/>
  <c r="Z2166" i="1"/>
  <c r="X2167" i="1"/>
  <c r="Y2167" i="1"/>
  <c r="Z2167" i="1"/>
  <c r="X2168" i="1"/>
  <c r="Y2168" i="1"/>
  <c r="Z2168" i="1"/>
  <c r="X2169" i="1"/>
  <c r="Y2169" i="1"/>
  <c r="Z2169" i="1"/>
  <c r="X2170" i="1"/>
  <c r="Y2170" i="1"/>
  <c r="Z2170" i="1"/>
  <c r="X2171" i="1"/>
  <c r="Y2171" i="1"/>
  <c r="Z2171" i="1"/>
  <c r="X2172" i="1"/>
  <c r="Y2172" i="1"/>
  <c r="Z2172" i="1"/>
  <c r="X2173" i="1"/>
  <c r="Y2173" i="1"/>
  <c r="Z2173" i="1"/>
  <c r="X2174" i="1"/>
  <c r="Y2174" i="1"/>
  <c r="Z2174" i="1"/>
  <c r="X2175" i="1"/>
  <c r="Y2175" i="1"/>
  <c r="Z2175" i="1"/>
  <c r="X2176" i="1"/>
  <c r="Y2176" i="1"/>
  <c r="Z2176" i="1"/>
  <c r="X2177" i="1"/>
  <c r="Y2177" i="1"/>
  <c r="Z2177" i="1"/>
  <c r="X2178" i="1"/>
  <c r="Y2178" i="1"/>
  <c r="Z2178" i="1"/>
  <c r="X2179" i="1"/>
  <c r="Y2179" i="1"/>
  <c r="Z2179" i="1"/>
  <c r="X2180" i="1"/>
  <c r="Y2180" i="1"/>
  <c r="Z2180" i="1"/>
  <c r="X2181" i="1"/>
  <c r="Y2181" i="1"/>
  <c r="Z2181" i="1"/>
  <c r="X2182" i="1"/>
  <c r="Y2182" i="1"/>
  <c r="Z2182" i="1"/>
  <c r="X2183" i="1"/>
  <c r="Y2183" i="1"/>
  <c r="Z2183" i="1"/>
  <c r="X2184" i="1"/>
  <c r="Y2184" i="1"/>
  <c r="Z2184" i="1"/>
  <c r="X2185" i="1"/>
  <c r="Y2185" i="1"/>
  <c r="Z2185" i="1"/>
  <c r="X2186" i="1"/>
  <c r="Y2186" i="1"/>
  <c r="Z2186" i="1"/>
  <c r="X2187" i="1"/>
  <c r="Y2187" i="1"/>
  <c r="Z2187" i="1"/>
  <c r="X2188" i="1"/>
  <c r="Y2188" i="1"/>
  <c r="Z2188" i="1"/>
  <c r="X2189" i="1"/>
  <c r="Y2189" i="1"/>
  <c r="Z2189" i="1"/>
  <c r="X2190" i="1"/>
  <c r="Y2190" i="1"/>
  <c r="Z2190" i="1"/>
  <c r="X2191" i="1"/>
  <c r="Y2191" i="1"/>
  <c r="Z2191" i="1"/>
  <c r="X2192" i="1"/>
  <c r="Y2192" i="1"/>
  <c r="Z2192" i="1"/>
  <c r="X2193" i="1"/>
  <c r="Y2193" i="1"/>
  <c r="Z2193" i="1"/>
  <c r="X2194" i="1"/>
  <c r="Y2194" i="1"/>
  <c r="Z2194" i="1"/>
  <c r="X2195" i="1"/>
  <c r="Y2195" i="1"/>
  <c r="Z2195" i="1"/>
  <c r="X2196" i="1"/>
  <c r="Y2196" i="1"/>
  <c r="Z2196" i="1"/>
  <c r="X2197" i="1"/>
  <c r="Y2197" i="1"/>
  <c r="Z2197" i="1"/>
  <c r="X2198" i="1"/>
  <c r="Y2198" i="1"/>
  <c r="Z2198" i="1"/>
  <c r="X2199" i="1"/>
  <c r="Y2199" i="1"/>
  <c r="Z2199" i="1"/>
  <c r="X2200" i="1"/>
  <c r="Y2200" i="1"/>
  <c r="Z2200" i="1"/>
  <c r="X2201" i="1"/>
  <c r="Y2201" i="1"/>
  <c r="Z2201" i="1"/>
  <c r="X2202" i="1"/>
  <c r="Y2202" i="1"/>
  <c r="Z2202" i="1"/>
  <c r="X2203" i="1"/>
  <c r="Y2203" i="1"/>
  <c r="Z2203" i="1"/>
  <c r="X2204" i="1"/>
  <c r="Y2204" i="1"/>
  <c r="Z2204" i="1"/>
  <c r="X2205" i="1"/>
  <c r="Y2205" i="1"/>
  <c r="Z2205" i="1"/>
  <c r="X2206" i="1"/>
  <c r="Y2206" i="1"/>
  <c r="Z2206" i="1"/>
  <c r="X2207" i="1"/>
  <c r="Y2207" i="1"/>
  <c r="Z2207" i="1"/>
  <c r="X2208" i="1"/>
  <c r="Y2208" i="1"/>
  <c r="Z2208" i="1"/>
  <c r="X2209" i="1"/>
  <c r="Y2209" i="1"/>
  <c r="Z2209" i="1"/>
  <c r="X2210" i="1"/>
  <c r="Y2210" i="1"/>
  <c r="Z2210" i="1"/>
  <c r="X2211" i="1"/>
  <c r="Y2211" i="1"/>
  <c r="Z2211" i="1"/>
  <c r="X2212" i="1"/>
  <c r="Y2212" i="1"/>
  <c r="Z2212" i="1"/>
  <c r="X2213" i="1"/>
  <c r="Y2213" i="1"/>
  <c r="Z2213" i="1"/>
  <c r="X2214" i="1"/>
  <c r="Y2214" i="1"/>
  <c r="Z2214" i="1"/>
  <c r="X2215" i="1"/>
  <c r="Y2215" i="1"/>
  <c r="Z2215" i="1"/>
  <c r="X2216" i="1"/>
  <c r="Y2216" i="1"/>
  <c r="Z2216" i="1"/>
  <c r="X2217" i="1"/>
  <c r="Y2217" i="1"/>
  <c r="Z2217" i="1"/>
  <c r="X2218" i="1"/>
  <c r="Y2218" i="1"/>
  <c r="Z2218" i="1"/>
  <c r="X2219" i="1"/>
  <c r="Y2219" i="1"/>
  <c r="Z2219" i="1"/>
  <c r="X2220" i="1"/>
  <c r="Y2220" i="1"/>
  <c r="Z2220" i="1"/>
  <c r="X2221" i="1"/>
  <c r="Y2221" i="1"/>
  <c r="Z2221" i="1"/>
  <c r="X2222" i="1"/>
  <c r="Y2222" i="1"/>
  <c r="Z2222" i="1"/>
  <c r="X2223" i="1"/>
  <c r="Y2223" i="1"/>
  <c r="Z2223" i="1"/>
  <c r="X2224" i="1"/>
  <c r="Y2224" i="1"/>
  <c r="Z2224" i="1"/>
  <c r="X2225" i="1"/>
  <c r="Y2225" i="1"/>
  <c r="Z2225" i="1"/>
  <c r="X2226" i="1"/>
  <c r="Y2226" i="1"/>
  <c r="Z2226" i="1"/>
  <c r="X2227" i="1"/>
  <c r="Y2227" i="1"/>
  <c r="Z2227" i="1"/>
  <c r="X2228" i="1"/>
  <c r="Y2228" i="1"/>
  <c r="Z2228" i="1"/>
  <c r="X2229" i="1"/>
  <c r="Y2229" i="1"/>
  <c r="Z2229" i="1"/>
  <c r="X2230" i="1"/>
  <c r="Y2230" i="1"/>
  <c r="Z2230" i="1"/>
  <c r="X2231" i="1"/>
  <c r="Y2231" i="1"/>
  <c r="Z2231" i="1"/>
  <c r="X2232" i="1"/>
  <c r="Y2232" i="1"/>
  <c r="Z2232" i="1"/>
  <c r="X2233" i="1"/>
  <c r="Y2233" i="1"/>
  <c r="Z2233" i="1"/>
  <c r="X2234" i="1"/>
  <c r="Y2234" i="1"/>
  <c r="Z2234" i="1"/>
  <c r="X2235" i="1"/>
  <c r="Y2235" i="1"/>
  <c r="Z2235" i="1"/>
  <c r="X2236" i="1"/>
  <c r="Y2236" i="1"/>
  <c r="Z2236" i="1"/>
  <c r="X2237" i="1"/>
  <c r="Y2237" i="1"/>
  <c r="Z2237" i="1"/>
  <c r="X2238" i="1"/>
  <c r="Y2238" i="1"/>
  <c r="Z2238" i="1"/>
  <c r="X2239" i="1"/>
  <c r="Y2239" i="1"/>
  <c r="Z2239" i="1"/>
  <c r="X2240" i="1"/>
  <c r="Y2240" i="1"/>
  <c r="Z2240" i="1"/>
  <c r="X2241" i="1"/>
  <c r="Y2241" i="1"/>
  <c r="Z2241" i="1"/>
  <c r="X2242" i="1"/>
  <c r="Y2242" i="1"/>
  <c r="Z2242" i="1"/>
  <c r="X2243" i="1"/>
  <c r="Y2243" i="1"/>
  <c r="Z2243" i="1"/>
  <c r="X2244" i="1"/>
  <c r="Y2244" i="1"/>
  <c r="Z2244" i="1"/>
  <c r="X2245" i="1"/>
  <c r="Y2245" i="1"/>
  <c r="Z2245" i="1"/>
  <c r="X2246" i="1"/>
  <c r="Y2246" i="1"/>
  <c r="Z2246" i="1"/>
  <c r="X2247" i="1"/>
  <c r="Y2247" i="1"/>
  <c r="Z2247" i="1"/>
  <c r="X2248" i="1"/>
  <c r="Y2248" i="1"/>
  <c r="Z2248" i="1"/>
  <c r="X2249" i="1"/>
  <c r="Y2249" i="1"/>
  <c r="Z2249" i="1"/>
  <c r="X2250" i="1"/>
  <c r="Y2250" i="1"/>
  <c r="Z2250" i="1"/>
  <c r="X2251" i="1"/>
  <c r="Y2251" i="1"/>
  <c r="Z2251" i="1"/>
  <c r="X2252" i="1"/>
  <c r="Y2252" i="1"/>
  <c r="Z2252" i="1"/>
  <c r="X2253" i="1"/>
  <c r="Y2253" i="1"/>
  <c r="Z2253" i="1"/>
  <c r="X2254" i="1"/>
  <c r="Y2254" i="1"/>
  <c r="Z2254" i="1"/>
  <c r="X2255" i="1"/>
  <c r="Y2255" i="1"/>
  <c r="Z2255" i="1"/>
  <c r="X2256" i="1"/>
  <c r="Y2256" i="1"/>
  <c r="Z2256" i="1"/>
  <c r="X2257" i="1"/>
  <c r="Y2257" i="1"/>
  <c r="Z2257" i="1"/>
  <c r="X2258" i="1"/>
  <c r="Y2258" i="1"/>
  <c r="Z2258" i="1"/>
  <c r="X2259" i="1"/>
  <c r="Y2259" i="1"/>
  <c r="Z2259" i="1"/>
  <c r="X2260" i="1"/>
  <c r="Y2260" i="1"/>
  <c r="Z2260" i="1"/>
  <c r="X2261" i="1"/>
  <c r="Y2261" i="1"/>
  <c r="Z2261" i="1"/>
  <c r="X2262" i="1"/>
  <c r="Y2262" i="1"/>
  <c r="Z2262" i="1"/>
  <c r="X2263" i="1"/>
  <c r="Y2263" i="1"/>
  <c r="Z2263" i="1"/>
  <c r="X2264" i="1"/>
  <c r="Y2264" i="1"/>
  <c r="Z2264" i="1"/>
  <c r="X2265" i="1"/>
  <c r="Y2265" i="1"/>
  <c r="Z2265" i="1"/>
  <c r="X2266" i="1"/>
  <c r="Y2266" i="1"/>
  <c r="Z2266" i="1"/>
  <c r="X2267" i="1"/>
  <c r="Y2267" i="1"/>
  <c r="Z2267" i="1"/>
  <c r="X2268" i="1"/>
  <c r="Y2268" i="1"/>
  <c r="Z2268" i="1"/>
  <c r="X2269" i="1"/>
  <c r="Y2269" i="1"/>
  <c r="Z2269" i="1"/>
  <c r="X2270" i="1"/>
  <c r="Y2270" i="1"/>
  <c r="Z2270" i="1"/>
  <c r="X2271" i="1"/>
  <c r="Y2271" i="1"/>
  <c r="Z2271" i="1"/>
  <c r="X2272" i="1"/>
  <c r="Y2272" i="1"/>
  <c r="Z2272" i="1"/>
  <c r="X2273" i="1"/>
  <c r="Y2273" i="1"/>
  <c r="Z2273" i="1"/>
  <c r="X2274" i="1"/>
  <c r="Y2274" i="1"/>
  <c r="Z2274" i="1"/>
  <c r="X2275" i="1"/>
  <c r="Y2275" i="1"/>
  <c r="Z2275" i="1"/>
  <c r="X2276" i="1"/>
  <c r="Y2276" i="1"/>
  <c r="Z2276" i="1"/>
  <c r="X2277" i="1"/>
  <c r="Y2277" i="1"/>
  <c r="Z2277" i="1"/>
  <c r="X2278" i="1"/>
  <c r="Y2278" i="1"/>
  <c r="Z2278" i="1"/>
  <c r="X2279" i="1"/>
  <c r="Y2279" i="1"/>
  <c r="Z2279" i="1"/>
  <c r="X2280" i="1"/>
  <c r="Y2280" i="1"/>
  <c r="Z2280" i="1"/>
  <c r="X2281" i="1"/>
  <c r="Y2281" i="1"/>
  <c r="Z2281" i="1"/>
  <c r="X2282" i="1"/>
  <c r="Y2282" i="1"/>
  <c r="Z2282" i="1"/>
  <c r="X2283" i="1"/>
  <c r="Y2283" i="1"/>
  <c r="Z2283" i="1"/>
  <c r="X2284" i="1"/>
  <c r="Y2284" i="1"/>
  <c r="Z2284" i="1"/>
  <c r="X2285" i="1"/>
  <c r="Y2285" i="1"/>
  <c r="Z2285" i="1"/>
  <c r="X2286" i="1"/>
  <c r="Y2286" i="1"/>
  <c r="Z2286" i="1"/>
  <c r="X2287" i="1"/>
  <c r="Y2287" i="1"/>
  <c r="Z2287" i="1"/>
  <c r="X2288" i="1"/>
  <c r="Y2288" i="1"/>
  <c r="Z2288" i="1"/>
  <c r="X2289" i="1"/>
  <c r="Y2289" i="1"/>
  <c r="Z2289" i="1"/>
  <c r="X2290" i="1"/>
  <c r="Y2290" i="1"/>
  <c r="Z2290" i="1"/>
  <c r="X2291" i="1"/>
  <c r="Y2291" i="1"/>
  <c r="Z2291" i="1"/>
  <c r="X2292" i="1"/>
  <c r="Y2292" i="1"/>
  <c r="Z2292" i="1"/>
  <c r="X2293" i="1"/>
  <c r="Y2293" i="1"/>
  <c r="Z2293" i="1"/>
  <c r="X2294" i="1"/>
  <c r="Y2294" i="1"/>
  <c r="Z2294" i="1"/>
  <c r="X2295" i="1"/>
  <c r="Y2295" i="1"/>
  <c r="Z2295" i="1"/>
  <c r="X2296" i="1"/>
  <c r="Y2296" i="1"/>
  <c r="Z2296" i="1"/>
  <c r="X2297" i="1"/>
  <c r="Y2297" i="1"/>
  <c r="Z2297" i="1"/>
  <c r="X2298" i="1"/>
  <c r="Y2298" i="1"/>
  <c r="Z2298" i="1"/>
  <c r="X2299" i="1"/>
  <c r="Y2299" i="1"/>
  <c r="Z2299" i="1"/>
  <c r="X2300" i="1"/>
  <c r="Y2300" i="1"/>
  <c r="Z2300" i="1"/>
  <c r="X2301" i="1"/>
  <c r="Y2301" i="1"/>
  <c r="Z2301" i="1"/>
  <c r="X2302" i="1"/>
  <c r="Y2302" i="1"/>
  <c r="Z2302" i="1"/>
  <c r="X2303" i="1"/>
  <c r="Y2303" i="1"/>
  <c r="Z2303" i="1"/>
  <c r="X2304" i="1"/>
  <c r="Y2304" i="1"/>
  <c r="Z2304" i="1"/>
  <c r="X2305" i="1"/>
  <c r="Y2305" i="1"/>
  <c r="Z2305" i="1"/>
  <c r="X2306" i="1"/>
  <c r="Y2306" i="1"/>
  <c r="Z2306" i="1"/>
  <c r="X2307" i="1"/>
  <c r="Y2307" i="1"/>
  <c r="Z2307" i="1"/>
  <c r="X2308" i="1"/>
  <c r="Y2308" i="1"/>
  <c r="Z2308" i="1"/>
  <c r="X2309" i="1"/>
  <c r="Y2309" i="1"/>
  <c r="Z2309" i="1"/>
  <c r="X2310" i="1"/>
  <c r="Y2310" i="1"/>
  <c r="Z2310" i="1"/>
  <c r="X2311" i="1"/>
  <c r="Y2311" i="1"/>
  <c r="Z2311" i="1"/>
  <c r="X2312" i="1"/>
  <c r="Y2312" i="1"/>
  <c r="Z2312" i="1"/>
  <c r="X2313" i="1"/>
  <c r="Y2313" i="1"/>
  <c r="Z2313" i="1"/>
  <c r="X2314" i="1"/>
  <c r="Y2314" i="1"/>
  <c r="Z2314" i="1"/>
  <c r="X2315" i="1"/>
  <c r="Y2315" i="1"/>
  <c r="Z2315" i="1"/>
  <c r="X2316" i="1"/>
  <c r="Y2316" i="1"/>
  <c r="Z2316" i="1"/>
  <c r="X2317" i="1"/>
  <c r="Y2317" i="1"/>
  <c r="Z2317" i="1"/>
  <c r="X2318" i="1"/>
  <c r="Y2318" i="1"/>
  <c r="Z2318" i="1"/>
  <c r="X2319" i="1"/>
  <c r="Y2319" i="1"/>
  <c r="Z2319" i="1"/>
  <c r="X2320" i="1"/>
  <c r="Y2320" i="1"/>
  <c r="Z2320" i="1"/>
  <c r="X2321" i="1"/>
  <c r="Y2321" i="1"/>
  <c r="Z2321" i="1"/>
  <c r="X2322" i="1"/>
  <c r="Y2322" i="1"/>
  <c r="Z2322" i="1"/>
  <c r="X2323" i="1"/>
  <c r="Y2323" i="1"/>
  <c r="Z2323" i="1"/>
  <c r="X2324" i="1"/>
  <c r="Y2324" i="1"/>
  <c r="Z2324" i="1"/>
  <c r="X2325" i="1"/>
  <c r="Y2325" i="1"/>
  <c r="Z2325" i="1"/>
  <c r="X2326" i="1"/>
  <c r="Y2326" i="1"/>
  <c r="Z2326" i="1"/>
  <c r="X2327" i="1"/>
  <c r="Y2327" i="1"/>
  <c r="Z2327" i="1"/>
  <c r="X2328" i="1"/>
  <c r="Y2328" i="1"/>
  <c r="Z2328" i="1"/>
  <c r="X2329" i="1"/>
  <c r="Y2329" i="1"/>
  <c r="Z2329" i="1"/>
  <c r="X2330" i="1"/>
  <c r="Y2330" i="1"/>
  <c r="Z2330" i="1"/>
  <c r="X2331" i="1"/>
  <c r="Y2331" i="1"/>
  <c r="Z2331" i="1"/>
  <c r="X2332" i="1"/>
  <c r="Y2332" i="1"/>
  <c r="Z2332" i="1"/>
  <c r="X2333" i="1"/>
  <c r="Y2333" i="1"/>
  <c r="Z2333" i="1"/>
  <c r="X2334" i="1"/>
  <c r="Y2334" i="1"/>
  <c r="Z2334" i="1"/>
  <c r="X2335" i="1"/>
  <c r="Y2335" i="1"/>
  <c r="Z2335" i="1"/>
  <c r="X2336" i="1"/>
  <c r="Y2336" i="1"/>
  <c r="Z2336" i="1"/>
  <c r="X2337" i="1"/>
  <c r="Y2337" i="1"/>
  <c r="Z2337" i="1"/>
  <c r="X2338" i="1"/>
  <c r="Y2338" i="1"/>
  <c r="Z2338" i="1"/>
  <c r="X2339" i="1"/>
  <c r="Y2339" i="1"/>
  <c r="Z2339" i="1"/>
  <c r="X2340" i="1"/>
  <c r="Y2340" i="1"/>
  <c r="Z2340" i="1"/>
  <c r="X2341" i="1"/>
  <c r="Y2341" i="1"/>
  <c r="Z2341" i="1"/>
  <c r="X2342" i="1"/>
  <c r="Y2342" i="1"/>
  <c r="Z2342" i="1"/>
  <c r="X2343" i="1"/>
  <c r="Y2343" i="1"/>
  <c r="Z2343" i="1"/>
  <c r="X2344" i="1"/>
  <c r="Y2344" i="1"/>
  <c r="Z2344" i="1"/>
  <c r="X2345" i="1"/>
  <c r="Y2345" i="1"/>
  <c r="Z2345" i="1"/>
  <c r="X2346" i="1"/>
  <c r="Y2346" i="1"/>
  <c r="Z2346" i="1"/>
  <c r="X2347" i="1"/>
  <c r="Y2347" i="1"/>
  <c r="Z2347" i="1"/>
  <c r="X2348" i="1"/>
  <c r="Y2348" i="1"/>
  <c r="Z2348" i="1"/>
  <c r="X2349" i="1"/>
  <c r="Y2349" i="1"/>
  <c r="Z2349" i="1"/>
  <c r="X2350" i="1"/>
  <c r="Y2350" i="1"/>
  <c r="Z2350" i="1"/>
  <c r="X2351" i="1"/>
  <c r="Y2351" i="1"/>
  <c r="Z2351" i="1"/>
  <c r="X2352" i="1"/>
  <c r="Y2352" i="1"/>
  <c r="Z2352" i="1"/>
  <c r="X2353" i="1"/>
  <c r="Y2353" i="1"/>
  <c r="Z2353" i="1"/>
  <c r="X2354" i="1"/>
  <c r="Y2354" i="1"/>
  <c r="Z2354" i="1"/>
  <c r="X2355" i="1"/>
  <c r="Y2355" i="1"/>
  <c r="Z2355" i="1"/>
  <c r="X2356" i="1"/>
  <c r="Y2356" i="1"/>
  <c r="Z2356" i="1"/>
  <c r="X2357" i="1"/>
  <c r="Y2357" i="1"/>
  <c r="Z2357" i="1"/>
  <c r="X2358" i="1"/>
  <c r="Y2358" i="1"/>
  <c r="Z2358" i="1"/>
  <c r="X2359" i="1"/>
  <c r="Y2359" i="1"/>
  <c r="Z2359" i="1"/>
  <c r="X2360" i="1"/>
  <c r="Y2360" i="1"/>
  <c r="Z2360" i="1"/>
  <c r="X2361" i="1"/>
  <c r="Y2361" i="1"/>
  <c r="Z2361" i="1"/>
  <c r="X2362" i="1"/>
  <c r="Y2362" i="1"/>
  <c r="Z2362" i="1"/>
  <c r="X2363" i="1"/>
  <c r="Y2363" i="1"/>
  <c r="Z2363" i="1"/>
  <c r="X2364" i="1"/>
  <c r="Y2364" i="1"/>
  <c r="Z2364" i="1"/>
  <c r="X2365" i="1"/>
  <c r="Y2365" i="1"/>
  <c r="Z2365" i="1"/>
  <c r="X2366" i="1"/>
  <c r="Y2366" i="1"/>
  <c r="Z2366" i="1"/>
  <c r="X2367" i="1"/>
  <c r="Y2367" i="1"/>
  <c r="Z2367" i="1"/>
  <c r="X2368" i="1"/>
  <c r="Y2368" i="1"/>
  <c r="Z2368" i="1"/>
  <c r="X2369" i="1"/>
  <c r="Y2369" i="1"/>
  <c r="Z2369" i="1"/>
  <c r="X2370" i="1"/>
  <c r="Y2370" i="1"/>
  <c r="Z2370" i="1"/>
  <c r="X2371" i="1"/>
  <c r="Y2371" i="1"/>
  <c r="Z2371" i="1"/>
  <c r="X2372" i="1"/>
  <c r="Y2372" i="1"/>
  <c r="Z2372" i="1"/>
  <c r="X2373" i="1"/>
  <c r="Y2373" i="1"/>
  <c r="Z2373" i="1"/>
  <c r="X2374" i="1"/>
  <c r="Y2374" i="1"/>
  <c r="Z2374" i="1"/>
  <c r="X2375" i="1"/>
  <c r="Y2375" i="1"/>
  <c r="Z2375" i="1"/>
  <c r="X2376" i="1"/>
  <c r="Y2376" i="1"/>
  <c r="Z2376" i="1"/>
  <c r="X2377" i="1"/>
  <c r="Y2377" i="1"/>
  <c r="Z2377" i="1"/>
  <c r="X2378" i="1"/>
  <c r="Y2378" i="1"/>
  <c r="Z2378" i="1"/>
  <c r="X2379" i="1"/>
  <c r="Y2379" i="1"/>
  <c r="Z2379" i="1"/>
  <c r="X2380" i="1"/>
  <c r="Y2380" i="1"/>
  <c r="Z2380" i="1"/>
  <c r="X2381" i="1"/>
  <c r="Y2381" i="1"/>
  <c r="Z2381" i="1"/>
  <c r="X2382" i="1"/>
  <c r="Y2382" i="1"/>
  <c r="Z2382" i="1"/>
  <c r="X2383" i="1"/>
  <c r="Y2383" i="1"/>
  <c r="Z2383" i="1"/>
  <c r="X2384" i="1"/>
  <c r="Y2384" i="1"/>
  <c r="Z2384" i="1"/>
  <c r="X2385" i="1"/>
  <c r="Y2385" i="1"/>
  <c r="Z2385" i="1"/>
  <c r="X2386" i="1"/>
  <c r="Y2386" i="1"/>
  <c r="Z2386" i="1"/>
  <c r="X2387" i="1"/>
  <c r="Y2387" i="1"/>
  <c r="Z2387" i="1"/>
  <c r="X2388" i="1"/>
  <c r="Y2388" i="1"/>
  <c r="Z2388" i="1"/>
  <c r="X2389" i="1"/>
  <c r="Y2389" i="1"/>
  <c r="Z2389" i="1"/>
  <c r="X2390" i="1"/>
  <c r="Y2390" i="1"/>
  <c r="Z2390" i="1"/>
  <c r="X2391" i="1"/>
  <c r="Y2391" i="1"/>
  <c r="Z2391" i="1"/>
  <c r="X2392" i="1"/>
  <c r="Y2392" i="1"/>
  <c r="Z2392" i="1"/>
  <c r="X2393" i="1"/>
  <c r="Y2393" i="1"/>
  <c r="Z2393" i="1"/>
  <c r="X2394" i="1"/>
  <c r="Y2394" i="1"/>
  <c r="Z2394" i="1"/>
  <c r="X2395" i="1"/>
  <c r="Y2395" i="1"/>
  <c r="Z2395" i="1"/>
  <c r="X2396" i="1"/>
  <c r="Y2396" i="1"/>
  <c r="Z2396" i="1"/>
  <c r="X2397" i="1"/>
  <c r="Y2397" i="1"/>
  <c r="Z2397" i="1"/>
  <c r="X2398" i="1"/>
  <c r="Y2398" i="1"/>
  <c r="Z2398" i="1"/>
  <c r="X2399" i="1"/>
  <c r="Y2399" i="1"/>
  <c r="Z2399" i="1"/>
  <c r="X2400" i="1"/>
  <c r="Y2400" i="1"/>
  <c r="Z2400" i="1"/>
  <c r="X2401" i="1"/>
  <c r="Y2401" i="1"/>
  <c r="Z2401" i="1"/>
  <c r="X2402" i="1"/>
  <c r="Y2402" i="1"/>
  <c r="Z2402" i="1"/>
  <c r="X2403" i="1"/>
  <c r="Y2403" i="1"/>
  <c r="Z2403" i="1"/>
  <c r="X2404" i="1"/>
  <c r="Y2404" i="1"/>
  <c r="Z2404" i="1"/>
  <c r="X2405" i="1"/>
  <c r="Y2405" i="1"/>
  <c r="Z2405" i="1"/>
  <c r="X2406" i="1"/>
  <c r="Y2406" i="1"/>
  <c r="Z2406" i="1"/>
  <c r="X2407" i="1"/>
  <c r="Y2407" i="1"/>
  <c r="Z2407" i="1"/>
  <c r="X2408" i="1"/>
  <c r="Y2408" i="1"/>
  <c r="Z2408" i="1"/>
  <c r="X2409" i="1"/>
  <c r="Y2409" i="1"/>
  <c r="Z2409" i="1"/>
  <c r="X2410" i="1"/>
  <c r="Y2410" i="1"/>
  <c r="Z2410" i="1"/>
  <c r="X2411" i="1"/>
  <c r="Y2411" i="1"/>
  <c r="Z2411" i="1"/>
  <c r="X2412" i="1"/>
  <c r="Y2412" i="1"/>
  <c r="Z2412" i="1"/>
  <c r="X2413" i="1"/>
  <c r="Y2413" i="1"/>
  <c r="Z2413" i="1"/>
  <c r="X2414" i="1"/>
  <c r="Y2414" i="1"/>
  <c r="Z2414" i="1"/>
  <c r="X2415" i="1"/>
  <c r="Y2415" i="1"/>
  <c r="Z2415" i="1"/>
  <c r="X2416" i="1"/>
  <c r="Y2416" i="1"/>
  <c r="Z2416" i="1"/>
  <c r="X2417" i="1"/>
  <c r="Y2417" i="1"/>
  <c r="Z2417" i="1"/>
  <c r="X2418" i="1"/>
  <c r="Y2418" i="1"/>
  <c r="Z2418" i="1"/>
  <c r="X2419" i="1"/>
  <c r="Y2419" i="1"/>
  <c r="Z2419" i="1"/>
  <c r="X2420" i="1"/>
  <c r="Y2420" i="1"/>
  <c r="Z2420" i="1"/>
  <c r="X2421" i="1"/>
  <c r="Y2421" i="1"/>
  <c r="Z2421" i="1"/>
  <c r="X2422" i="1"/>
  <c r="Y2422" i="1"/>
  <c r="Z2422" i="1"/>
  <c r="X2423" i="1"/>
  <c r="Y2423" i="1"/>
  <c r="Z2423" i="1"/>
  <c r="X2424" i="1"/>
  <c r="Y2424" i="1"/>
  <c r="Z2424" i="1"/>
  <c r="X2425" i="1"/>
  <c r="Y2425" i="1"/>
  <c r="Z2425" i="1"/>
  <c r="X2426" i="1"/>
  <c r="Y2426" i="1"/>
  <c r="Z2426" i="1"/>
  <c r="X2427" i="1"/>
  <c r="Y2427" i="1"/>
  <c r="Z2427" i="1"/>
  <c r="X2428" i="1"/>
  <c r="Y2428" i="1"/>
  <c r="Z2428" i="1"/>
  <c r="X2429" i="1"/>
  <c r="Y2429" i="1"/>
  <c r="Z2429" i="1"/>
  <c r="X2430" i="1"/>
  <c r="Y2430" i="1"/>
  <c r="Z2430" i="1"/>
  <c r="X2431" i="1"/>
  <c r="Y2431" i="1"/>
  <c r="Z2431" i="1"/>
  <c r="X2432" i="1"/>
  <c r="Y2432" i="1"/>
  <c r="Z2432" i="1"/>
  <c r="X2433" i="1"/>
  <c r="Y2433" i="1"/>
  <c r="Z2433" i="1"/>
  <c r="X2434" i="1"/>
  <c r="Y2434" i="1"/>
  <c r="Z2434" i="1"/>
  <c r="X2435" i="1"/>
  <c r="Y2435" i="1"/>
  <c r="Z2435" i="1"/>
  <c r="X2436" i="1"/>
  <c r="Y2436" i="1"/>
  <c r="Z2436" i="1"/>
  <c r="X2437" i="1"/>
  <c r="Y2437" i="1"/>
  <c r="Z2437" i="1"/>
  <c r="X2438" i="1"/>
  <c r="Y2438" i="1"/>
  <c r="Z2438" i="1"/>
  <c r="X2439" i="1"/>
  <c r="Y2439" i="1"/>
  <c r="Z2439" i="1"/>
  <c r="X2440" i="1"/>
  <c r="Y2440" i="1"/>
  <c r="Z2440" i="1"/>
  <c r="X2441" i="1"/>
  <c r="Y2441" i="1"/>
  <c r="Z2441" i="1"/>
  <c r="X2442" i="1"/>
  <c r="Y2442" i="1"/>
  <c r="Z2442" i="1"/>
  <c r="X2443" i="1"/>
  <c r="Y2443" i="1"/>
  <c r="Z2443" i="1"/>
  <c r="X2444" i="1"/>
  <c r="Y2444" i="1"/>
  <c r="Z2444" i="1"/>
  <c r="X2445" i="1"/>
  <c r="Y2445" i="1"/>
  <c r="Z2445" i="1"/>
  <c r="X2446" i="1"/>
  <c r="Y2446" i="1"/>
  <c r="Z2446" i="1"/>
  <c r="X2447" i="1"/>
  <c r="Y2447" i="1"/>
  <c r="Z2447" i="1"/>
  <c r="X2448" i="1"/>
  <c r="Y2448" i="1"/>
  <c r="Z2448" i="1"/>
  <c r="X2449" i="1"/>
  <c r="Y2449" i="1"/>
  <c r="Z2449" i="1"/>
  <c r="X2450" i="1"/>
  <c r="Y2450" i="1"/>
  <c r="Z2450" i="1"/>
  <c r="X2451" i="1"/>
  <c r="Y2451" i="1"/>
  <c r="Z2451" i="1"/>
  <c r="X2452" i="1"/>
  <c r="Y2452" i="1"/>
  <c r="Z2452" i="1"/>
  <c r="X2453" i="1"/>
  <c r="Y2453" i="1"/>
  <c r="Z2453" i="1"/>
  <c r="X2454" i="1"/>
  <c r="Y2454" i="1"/>
  <c r="Z2454" i="1"/>
  <c r="X2455" i="1"/>
  <c r="Y2455" i="1"/>
  <c r="Z2455" i="1"/>
  <c r="X2456" i="1"/>
  <c r="Y2456" i="1"/>
  <c r="Z2456" i="1"/>
  <c r="X2457" i="1"/>
  <c r="Y2457" i="1"/>
  <c r="Z2457" i="1"/>
  <c r="X2458" i="1"/>
  <c r="Y2458" i="1"/>
  <c r="Z2458" i="1"/>
  <c r="X2459" i="1"/>
  <c r="Y2459" i="1"/>
  <c r="Z2459" i="1"/>
  <c r="X2460" i="1"/>
  <c r="Y2460" i="1"/>
  <c r="Z2460" i="1"/>
  <c r="X2461" i="1"/>
  <c r="Y2461" i="1"/>
  <c r="Z2461" i="1"/>
  <c r="X2462" i="1"/>
  <c r="Y2462" i="1"/>
  <c r="Z2462" i="1"/>
  <c r="X2463" i="1"/>
  <c r="Y2463" i="1"/>
  <c r="Z2463" i="1"/>
  <c r="X2464" i="1"/>
  <c r="Y2464" i="1"/>
  <c r="Z2464" i="1"/>
  <c r="X2465" i="1"/>
  <c r="Y2465" i="1"/>
  <c r="Z2465" i="1"/>
  <c r="X2466" i="1"/>
  <c r="Y2466" i="1"/>
  <c r="Z2466" i="1"/>
  <c r="X2467" i="1"/>
  <c r="Y2467" i="1"/>
  <c r="Z2467" i="1"/>
  <c r="X2468" i="1"/>
  <c r="Y2468" i="1"/>
  <c r="Z2468" i="1"/>
  <c r="X2469" i="1"/>
  <c r="Y2469" i="1"/>
  <c r="Z2469" i="1"/>
  <c r="X2470" i="1"/>
  <c r="Y2470" i="1"/>
  <c r="Z2470" i="1"/>
  <c r="X2471" i="1"/>
  <c r="Y2471" i="1"/>
  <c r="Z2471" i="1"/>
  <c r="X2472" i="1"/>
  <c r="Y2472" i="1"/>
  <c r="Z2472" i="1"/>
  <c r="X2473" i="1"/>
  <c r="Y2473" i="1"/>
  <c r="Z2473" i="1"/>
  <c r="X2474" i="1"/>
  <c r="Y2474" i="1"/>
  <c r="Z2474" i="1"/>
  <c r="X2475" i="1"/>
  <c r="Y2475" i="1"/>
  <c r="Z2475" i="1"/>
  <c r="X2476" i="1"/>
  <c r="Y2476" i="1"/>
  <c r="Z2476" i="1"/>
  <c r="X2477" i="1"/>
  <c r="Y2477" i="1"/>
  <c r="Z2477" i="1"/>
  <c r="X2478" i="1"/>
  <c r="Y2478" i="1"/>
  <c r="Z2478" i="1"/>
  <c r="X2479" i="1"/>
  <c r="Y2479" i="1"/>
  <c r="Z2479" i="1"/>
  <c r="X2480" i="1"/>
  <c r="Y2480" i="1"/>
  <c r="Z2480" i="1"/>
  <c r="X2481" i="1"/>
  <c r="Y2481" i="1"/>
  <c r="Z2481" i="1"/>
  <c r="X2482" i="1"/>
  <c r="Y2482" i="1"/>
  <c r="Z2482" i="1"/>
  <c r="X2483" i="1"/>
  <c r="Y2483" i="1"/>
  <c r="Z2483" i="1"/>
  <c r="X2484" i="1"/>
  <c r="Y2484" i="1"/>
  <c r="Z2484" i="1"/>
  <c r="X2485" i="1"/>
  <c r="Y2485" i="1"/>
  <c r="Z2485" i="1"/>
  <c r="X2486" i="1"/>
  <c r="Y2486" i="1"/>
  <c r="Z2486" i="1"/>
  <c r="X2487" i="1"/>
  <c r="Y2487" i="1"/>
  <c r="Z2487" i="1"/>
  <c r="X2488" i="1"/>
  <c r="Y2488" i="1"/>
  <c r="Z2488" i="1"/>
  <c r="X2489" i="1"/>
  <c r="Y2489" i="1"/>
  <c r="Z2489" i="1"/>
  <c r="X2490" i="1"/>
  <c r="Y2490" i="1"/>
  <c r="Z2490" i="1"/>
  <c r="X2491" i="1"/>
  <c r="Y2491" i="1"/>
  <c r="Z2491" i="1"/>
  <c r="X2492" i="1"/>
  <c r="Y2492" i="1"/>
  <c r="Z2492" i="1"/>
  <c r="X2493" i="1"/>
  <c r="Y2493" i="1"/>
  <c r="Z2493" i="1"/>
  <c r="X2494" i="1"/>
  <c r="Y2494" i="1"/>
  <c r="Z2494" i="1"/>
  <c r="X2495" i="1"/>
  <c r="Y2495" i="1"/>
  <c r="Z2495" i="1"/>
  <c r="X2496" i="1"/>
  <c r="Y2496" i="1"/>
  <c r="Z2496" i="1"/>
  <c r="X2497" i="1"/>
  <c r="Y2497" i="1"/>
  <c r="Z2497" i="1"/>
  <c r="X2498" i="1"/>
  <c r="Y2498" i="1"/>
  <c r="Z2498" i="1"/>
  <c r="X2499" i="1"/>
  <c r="Y2499" i="1"/>
  <c r="Z2499" i="1"/>
  <c r="X2500" i="1"/>
  <c r="Y2500" i="1"/>
  <c r="Z2500" i="1"/>
  <c r="X2501" i="1"/>
  <c r="Y2501" i="1"/>
  <c r="Z2501" i="1"/>
  <c r="X2502" i="1"/>
  <c r="Y2502" i="1"/>
  <c r="Z2502" i="1"/>
  <c r="X2503" i="1"/>
  <c r="Y2503" i="1"/>
  <c r="Z2503" i="1"/>
  <c r="X2504" i="1"/>
  <c r="Y2504" i="1"/>
  <c r="Z2504" i="1"/>
  <c r="X2505" i="1"/>
  <c r="Y2505" i="1"/>
  <c r="Z2505" i="1"/>
  <c r="X2506" i="1"/>
  <c r="Y2506" i="1"/>
  <c r="Z2506" i="1"/>
  <c r="X2507" i="1"/>
  <c r="Y2507" i="1"/>
  <c r="Z2507" i="1"/>
  <c r="X2508" i="1"/>
  <c r="Y2508" i="1"/>
  <c r="Z2508" i="1"/>
  <c r="X2509" i="1"/>
  <c r="Y2509" i="1"/>
  <c r="Z2509" i="1"/>
  <c r="X2510" i="1"/>
  <c r="Y2510" i="1"/>
  <c r="Z2510" i="1"/>
  <c r="X2511" i="1"/>
  <c r="Y2511" i="1"/>
  <c r="Z2511" i="1"/>
  <c r="X2512" i="1"/>
  <c r="Y2512" i="1"/>
  <c r="Z2512" i="1"/>
  <c r="X2513" i="1"/>
  <c r="Y2513" i="1"/>
  <c r="Z2513" i="1"/>
  <c r="X2514" i="1"/>
  <c r="Y2514" i="1"/>
  <c r="Z2514" i="1"/>
  <c r="X2515" i="1"/>
  <c r="Y2515" i="1"/>
  <c r="Z2515" i="1"/>
  <c r="X2516" i="1"/>
  <c r="Y2516" i="1"/>
  <c r="Z2516" i="1"/>
  <c r="X2517" i="1"/>
  <c r="Y2517" i="1"/>
  <c r="Z2517" i="1"/>
  <c r="X2518" i="1"/>
  <c r="Y2518" i="1"/>
  <c r="Z2518" i="1"/>
  <c r="X2519" i="1"/>
  <c r="Y2519" i="1"/>
  <c r="Z2519" i="1"/>
  <c r="X2520" i="1"/>
  <c r="Y2520" i="1"/>
  <c r="Z2520" i="1"/>
  <c r="X2521" i="1"/>
  <c r="Y2521" i="1"/>
  <c r="Z2521" i="1"/>
  <c r="X2522" i="1"/>
  <c r="Y2522" i="1"/>
  <c r="Z2522" i="1"/>
  <c r="X2523" i="1"/>
  <c r="Y2523" i="1"/>
  <c r="Z2523" i="1"/>
  <c r="X2524" i="1"/>
  <c r="Y2524" i="1"/>
  <c r="Z2524" i="1"/>
  <c r="X2525" i="1"/>
  <c r="Y2525" i="1"/>
  <c r="Z2525" i="1"/>
  <c r="X2526" i="1"/>
  <c r="Y2526" i="1"/>
  <c r="Z2526" i="1"/>
  <c r="X2527" i="1"/>
  <c r="Y2527" i="1"/>
  <c r="Z2527" i="1"/>
  <c r="X2528" i="1"/>
  <c r="Y2528" i="1"/>
  <c r="Z2528" i="1"/>
  <c r="X2529" i="1"/>
  <c r="Y2529" i="1"/>
  <c r="Z2529" i="1"/>
  <c r="X2530" i="1"/>
  <c r="Y2530" i="1"/>
  <c r="Z2530" i="1"/>
  <c r="X2531" i="1"/>
  <c r="Y2531" i="1"/>
  <c r="Z2531" i="1"/>
  <c r="X2532" i="1"/>
  <c r="Y2532" i="1"/>
  <c r="Z2532" i="1"/>
  <c r="X2533" i="1"/>
  <c r="Y2533" i="1"/>
  <c r="Z2533" i="1"/>
  <c r="X2534" i="1"/>
  <c r="Y2534" i="1"/>
  <c r="Z2534" i="1"/>
  <c r="X2535" i="1"/>
  <c r="Y2535" i="1"/>
  <c r="Z2535" i="1"/>
  <c r="X2536" i="1"/>
  <c r="Y2536" i="1"/>
  <c r="Z2536" i="1"/>
  <c r="X2537" i="1"/>
  <c r="Y2537" i="1"/>
  <c r="Z2537" i="1"/>
  <c r="X2538" i="1"/>
  <c r="Y2538" i="1"/>
  <c r="Z2538" i="1"/>
  <c r="X2539" i="1"/>
  <c r="Y2539" i="1"/>
  <c r="Z2539" i="1"/>
  <c r="X2540" i="1"/>
  <c r="Y2540" i="1"/>
  <c r="Z2540" i="1"/>
  <c r="X2541" i="1"/>
  <c r="Y2541" i="1"/>
  <c r="Z2541" i="1"/>
  <c r="X2542" i="1"/>
  <c r="Y2542" i="1"/>
  <c r="Z2542" i="1"/>
  <c r="X2543" i="1"/>
  <c r="Y2543" i="1"/>
  <c r="Z2543" i="1"/>
  <c r="X2544" i="1"/>
  <c r="Y2544" i="1"/>
  <c r="Z2544" i="1"/>
  <c r="X2545" i="1"/>
  <c r="Y2545" i="1"/>
  <c r="Z2545" i="1"/>
  <c r="X2546" i="1"/>
  <c r="Y2546" i="1"/>
  <c r="Z2546" i="1"/>
  <c r="X2547" i="1"/>
  <c r="Y2547" i="1"/>
  <c r="Z2547" i="1"/>
  <c r="X2548" i="1"/>
  <c r="Y2548" i="1"/>
  <c r="Z2548" i="1"/>
  <c r="X2549" i="1"/>
  <c r="Y2549" i="1"/>
  <c r="Z2549" i="1"/>
  <c r="X2550" i="1"/>
  <c r="Y2550" i="1"/>
  <c r="Z2550" i="1"/>
  <c r="X2551" i="1"/>
  <c r="Y2551" i="1"/>
  <c r="Z2551" i="1"/>
  <c r="X2552" i="1"/>
  <c r="Y2552" i="1"/>
  <c r="Z2552" i="1"/>
  <c r="X2553" i="1"/>
  <c r="Y2553" i="1"/>
  <c r="Z2553" i="1"/>
  <c r="X2554" i="1"/>
  <c r="Y2554" i="1"/>
  <c r="Z2554" i="1"/>
  <c r="X2555" i="1"/>
  <c r="Y2555" i="1"/>
  <c r="Z2555" i="1"/>
  <c r="X2556" i="1"/>
  <c r="Y2556" i="1"/>
  <c r="Z2556" i="1"/>
  <c r="X2557" i="1"/>
  <c r="Y2557" i="1"/>
  <c r="Z2557" i="1"/>
  <c r="X2558" i="1"/>
  <c r="Y2558" i="1"/>
  <c r="Z2558" i="1"/>
  <c r="X2559" i="1"/>
  <c r="Y2559" i="1"/>
  <c r="Z2559" i="1"/>
  <c r="X2560" i="1"/>
  <c r="Y2560" i="1"/>
  <c r="Z2560" i="1"/>
  <c r="X2561" i="1"/>
  <c r="Y2561" i="1"/>
  <c r="Z2561" i="1"/>
  <c r="X2562" i="1"/>
  <c r="Y2562" i="1"/>
  <c r="Z2562" i="1"/>
  <c r="X2563" i="1"/>
  <c r="Y2563" i="1"/>
  <c r="Z2563" i="1"/>
  <c r="X2564" i="1"/>
  <c r="Y2564" i="1"/>
  <c r="Z2564" i="1"/>
  <c r="X2565" i="1"/>
  <c r="Y2565" i="1"/>
  <c r="Z2565" i="1"/>
  <c r="X2566" i="1"/>
  <c r="Y2566" i="1"/>
  <c r="Z2566" i="1"/>
  <c r="X2567" i="1"/>
  <c r="Y2567" i="1"/>
  <c r="Z2567" i="1"/>
  <c r="X2568" i="1"/>
  <c r="Y2568" i="1"/>
  <c r="Z2568" i="1"/>
  <c r="X2569" i="1"/>
  <c r="Y2569" i="1"/>
  <c r="Z2569" i="1"/>
  <c r="X2570" i="1"/>
  <c r="Y2570" i="1"/>
  <c r="Z2570" i="1"/>
  <c r="X2571" i="1"/>
  <c r="Y2571" i="1"/>
  <c r="Z2571" i="1"/>
  <c r="X2572" i="1"/>
  <c r="Y2572" i="1"/>
  <c r="Z2572" i="1"/>
  <c r="X2573" i="1"/>
  <c r="Y2573" i="1"/>
  <c r="Z2573" i="1"/>
  <c r="X2574" i="1"/>
  <c r="Y2574" i="1"/>
  <c r="Z2574" i="1"/>
  <c r="X2575" i="1"/>
  <c r="Y2575" i="1"/>
  <c r="Z2575" i="1"/>
  <c r="X2576" i="1"/>
  <c r="Y2576" i="1"/>
  <c r="Z2576" i="1"/>
  <c r="X2577" i="1"/>
  <c r="Y2577" i="1"/>
  <c r="Z2577" i="1"/>
  <c r="X2578" i="1"/>
  <c r="Y2578" i="1"/>
  <c r="Z2578" i="1"/>
  <c r="X2579" i="1"/>
  <c r="Y2579" i="1"/>
  <c r="Z2579" i="1"/>
  <c r="X2580" i="1"/>
  <c r="Y2580" i="1"/>
  <c r="Z2580" i="1"/>
  <c r="X2581" i="1"/>
  <c r="Y2581" i="1"/>
  <c r="Z2581" i="1"/>
  <c r="X2582" i="1"/>
  <c r="Y2582" i="1"/>
  <c r="Z2582" i="1"/>
  <c r="X2583" i="1"/>
  <c r="Y2583" i="1"/>
  <c r="Z2583" i="1"/>
  <c r="X2584" i="1"/>
  <c r="Y2584" i="1"/>
  <c r="Z2584" i="1"/>
  <c r="X2585" i="1"/>
  <c r="Y2585" i="1"/>
  <c r="Z2585" i="1"/>
  <c r="X2586" i="1"/>
  <c r="Y2586" i="1"/>
  <c r="Z2586" i="1"/>
  <c r="X2587" i="1"/>
  <c r="Y2587" i="1"/>
  <c r="Z2587" i="1"/>
  <c r="X2588" i="1"/>
  <c r="Y2588" i="1"/>
  <c r="Z2588" i="1"/>
  <c r="X2589" i="1"/>
  <c r="Y2589" i="1"/>
  <c r="Z2589" i="1"/>
  <c r="X2590" i="1"/>
  <c r="Y2590" i="1"/>
  <c r="Z2590" i="1"/>
  <c r="X2591" i="1"/>
  <c r="Y2591" i="1"/>
  <c r="Z2591" i="1"/>
  <c r="X2592" i="1"/>
  <c r="Y2592" i="1"/>
  <c r="Z2592" i="1"/>
  <c r="X2593" i="1"/>
  <c r="Y2593" i="1"/>
  <c r="Z2593" i="1"/>
  <c r="X2594" i="1"/>
  <c r="Y2594" i="1"/>
  <c r="Z2594" i="1"/>
  <c r="X2595" i="1"/>
  <c r="Y2595" i="1"/>
  <c r="Z2595" i="1"/>
  <c r="X2596" i="1"/>
  <c r="Y2596" i="1"/>
  <c r="Z2596" i="1"/>
  <c r="X2597" i="1"/>
  <c r="Y2597" i="1"/>
  <c r="Z2597" i="1"/>
  <c r="X2598" i="1"/>
  <c r="Y2598" i="1"/>
  <c r="Z2598" i="1"/>
  <c r="X2599" i="1"/>
  <c r="Y2599" i="1"/>
  <c r="Z2599" i="1"/>
  <c r="X2600" i="1"/>
  <c r="Y2600" i="1"/>
  <c r="Z2600" i="1"/>
  <c r="X2601" i="1"/>
  <c r="Y2601" i="1"/>
  <c r="Z2601" i="1"/>
  <c r="X2602" i="1"/>
  <c r="Y2602" i="1"/>
  <c r="Z2602" i="1"/>
  <c r="X2603" i="1"/>
  <c r="Y2603" i="1"/>
  <c r="Z2603" i="1"/>
  <c r="X2604" i="1"/>
  <c r="Y2604" i="1"/>
  <c r="Z2604" i="1"/>
  <c r="X2605" i="1"/>
  <c r="Y2605" i="1"/>
  <c r="Z2605" i="1"/>
  <c r="X2606" i="1"/>
  <c r="Y2606" i="1"/>
  <c r="Z2606" i="1"/>
  <c r="X2607" i="1"/>
  <c r="Y2607" i="1"/>
  <c r="Z2607" i="1"/>
  <c r="X2608" i="1"/>
  <c r="Y2608" i="1"/>
  <c r="Z2608" i="1"/>
  <c r="X2609" i="1"/>
  <c r="Y2609" i="1"/>
  <c r="Z2609" i="1"/>
  <c r="X2610" i="1"/>
  <c r="Y2610" i="1"/>
  <c r="Z2610" i="1"/>
  <c r="X2611" i="1"/>
  <c r="Y2611" i="1"/>
  <c r="Z2611" i="1"/>
  <c r="X2612" i="1"/>
  <c r="Y2612" i="1"/>
  <c r="Z2612" i="1"/>
  <c r="X2613" i="1"/>
  <c r="Y2613" i="1"/>
  <c r="Z2613" i="1"/>
  <c r="X2614" i="1"/>
  <c r="Y2614" i="1"/>
  <c r="Z2614" i="1"/>
  <c r="X2615" i="1"/>
  <c r="Y2615" i="1"/>
  <c r="Z2615" i="1"/>
  <c r="X2616" i="1"/>
  <c r="Y2616" i="1"/>
  <c r="Z2616" i="1"/>
  <c r="X2617" i="1"/>
  <c r="Y2617" i="1"/>
  <c r="Z2617" i="1"/>
  <c r="X2618" i="1"/>
  <c r="Y2618" i="1"/>
  <c r="Z2618" i="1"/>
  <c r="X2619" i="1"/>
  <c r="Y2619" i="1"/>
  <c r="Z2619" i="1"/>
  <c r="X2620" i="1"/>
  <c r="Y2620" i="1"/>
  <c r="Z2620" i="1"/>
  <c r="X2621" i="1"/>
  <c r="Y2621" i="1"/>
  <c r="Z2621" i="1"/>
  <c r="X2622" i="1"/>
  <c r="Y2622" i="1"/>
  <c r="Z2622" i="1"/>
  <c r="X2623" i="1"/>
  <c r="Y2623" i="1"/>
  <c r="Z2623" i="1"/>
  <c r="X2624" i="1"/>
  <c r="Y2624" i="1"/>
  <c r="Z2624" i="1"/>
  <c r="X2625" i="1"/>
  <c r="Y2625" i="1"/>
  <c r="Z2625" i="1"/>
  <c r="X2626" i="1"/>
  <c r="Y2626" i="1"/>
  <c r="Z2626" i="1"/>
  <c r="X2627" i="1"/>
  <c r="Y2627" i="1"/>
  <c r="Z2627" i="1"/>
  <c r="X2628" i="1"/>
  <c r="Y2628" i="1"/>
  <c r="Z2628" i="1"/>
  <c r="X2629" i="1"/>
  <c r="Y2629" i="1"/>
  <c r="Z2629" i="1"/>
  <c r="X2630" i="1"/>
  <c r="Y2630" i="1"/>
  <c r="Z2630" i="1"/>
  <c r="X2631" i="1"/>
  <c r="Y2631" i="1"/>
  <c r="Z2631" i="1"/>
  <c r="X2632" i="1"/>
  <c r="Y2632" i="1"/>
  <c r="Z2632" i="1"/>
  <c r="X2633" i="1"/>
  <c r="Y2633" i="1"/>
  <c r="Z2633" i="1"/>
  <c r="X2634" i="1"/>
  <c r="Y2634" i="1"/>
  <c r="Z2634" i="1"/>
  <c r="X2635" i="1"/>
  <c r="Y2635" i="1"/>
  <c r="Z2635" i="1"/>
  <c r="X2636" i="1"/>
  <c r="Y2636" i="1"/>
  <c r="Z2636" i="1"/>
  <c r="X2637" i="1"/>
  <c r="Y2637" i="1"/>
  <c r="Z2637" i="1"/>
  <c r="X2638" i="1"/>
  <c r="Y2638" i="1"/>
  <c r="Z2638" i="1"/>
  <c r="X2639" i="1"/>
  <c r="Y2639" i="1"/>
  <c r="Z2639" i="1"/>
  <c r="X2640" i="1"/>
  <c r="Y2640" i="1"/>
  <c r="Z2640" i="1"/>
  <c r="X2641" i="1"/>
  <c r="Y2641" i="1"/>
  <c r="Z2641" i="1"/>
  <c r="X2642" i="1"/>
  <c r="Y2642" i="1"/>
  <c r="Z2642" i="1"/>
  <c r="X2643" i="1"/>
  <c r="Y2643" i="1"/>
  <c r="Z2643" i="1"/>
  <c r="X2644" i="1"/>
  <c r="Y2644" i="1"/>
  <c r="Z2644" i="1"/>
  <c r="X2645" i="1"/>
  <c r="Y2645" i="1"/>
  <c r="Z2645" i="1"/>
  <c r="X2646" i="1"/>
  <c r="Y2646" i="1"/>
  <c r="Z2646" i="1"/>
  <c r="X2647" i="1"/>
  <c r="Y2647" i="1"/>
  <c r="Z2647" i="1"/>
  <c r="X2648" i="1"/>
  <c r="Y2648" i="1"/>
  <c r="Z2648" i="1"/>
  <c r="X2649" i="1"/>
  <c r="Y2649" i="1"/>
  <c r="Z2649" i="1"/>
  <c r="X2650" i="1"/>
  <c r="Y2650" i="1"/>
  <c r="Z2650" i="1"/>
  <c r="X2651" i="1"/>
  <c r="Y2651" i="1"/>
  <c r="Z2651" i="1"/>
  <c r="X2652" i="1"/>
  <c r="Y2652" i="1"/>
  <c r="Z2652" i="1"/>
  <c r="X2653" i="1"/>
  <c r="Y2653" i="1"/>
  <c r="Z2653" i="1"/>
  <c r="X2654" i="1"/>
  <c r="Y2654" i="1"/>
  <c r="Z2654" i="1"/>
  <c r="X2655" i="1"/>
  <c r="Y2655" i="1"/>
  <c r="Z2655" i="1"/>
  <c r="X2656" i="1"/>
  <c r="Y2656" i="1"/>
  <c r="Z2656" i="1"/>
  <c r="X2657" i="1"/>
  <c r="Y2657" i="1"/>
  <c r="Z2657" i="1"/>
  <c r="X2658" i="1"/>
  <c r="Y2658" i="1"/>
  <c r="Z2658" i="1"/>
  <c r="X2659" i="1"/>
  <c r="Y2659" i="1"/>
  <c r="Z2659" i="1"/>
  <c r="X2660" i="1"/>
  <c r="Y2660" i="1"/>
  <c r="Z2660" i="1"/>
  <c r="X2661" i="1"/>
  <c r="Y2661" i="1"/>
  <c r="Z2661" i="1"/>
  <c r="X2662" i="1"/>
  <c r="Y2662" i="1"/>
  <c r="Z2662" i="1"/>
  <c r="Z7" i="1"/>
  <c r="J17" i="8" l="1"/>
  <c r="J16" i="8"/>
  <c r="J15" i="8"/>
  <c r="F133" i="6" l="1"/>
  <c r="D11" i="12" l="1"/>
  <c r="E11" i="12" s="1"/>
  <c r="AI88" i="10"/>
  <c r="AO290" i="10"/>
  <c r="U109" i="10" l="1"/>
  <c r="T109" i="10"/>
  <c r="U100" i="10"/>
  <c r="U113" i="10" s="1"/>
  <c r="T100" i="10"/>
  <c r="R100" i="10"/>
  <c r="R113" i="10" s="1"/>
  <c r="Q100" i="10"/>
  <c r="V100" i="10" l="1"/>
  <c r="S100" i="10"/>
  <c r="T113" i="10"/>
  <c r="AI100" i="10"/>
  <c r="S113" i="10"/>
  <c r="Q113" i="10"/>
  <c r="V109" i="10"/>
  <c r="V113" i="10" s="1"/>
  <c r="V298" i="10"/>
  <c r="H319" i="6" l="1"/>
  <c r="H39" i="6"/>
  <c r="H21" i="6"/>
  <c r="I303" i="7" l="1"/>
  <c r="I304" i="7"/>
  <c r="I231" i="7"/>
  <c r="I136" i="7"/>
  <c r="U2685" i="1"/>
  <c r="S2685" i="1"/>
  <c r="R2685" i="1"/>
  <c r="Q2685" i="1"/>
  <c r="U2674" i="1"/>
  <c r="S2674" i="1"/>
  <c r="R2674" i="1"/>
  <c r="Q2674" i="1"/>
  <c r="T2685" i="1"/>
  <c r="T2674" i="1"/>
  <c r="G14" i="11" s="1"/>
  <c r="N14" i="11" l="1"/>
  <c r="K14" i="11"/>
  <c r="G26" i="11"/>
  <c r="Q2668" i="1"/>
  <c r="R2668" i="1"/>
  <c r="S2668" i="1"/>
  <c r="T2668" i="1"/>
  <c r="U2668" i="1"/>
  <c r="Q2670" i="1"/>
  <c r="R2670" i="1"/>
  <c r="S2670" i="1"/>
  <c r="T2670" i="1"/>
  <c r="U2670" i="1"/>
  <c r="Q2671" i="1"/>
  <c r="R2671" i="1"/>
  <c r="S2671" i="1"/>
  <c r="T2671" i="1"/>
  <c r="U2671" i="1"/>
  <c r="Q2672" i="1"/>
  <c r="R2672" i="1"/>
  <c r="S2672" i="1"/>
  <c r="T2672" i="1"/>
  <c r="U2672" i="1"/>
  <c r="R2675" i="1"/>
  <c r="S2675" i="1"/>
  <c r="T2675" i="1"/>
  <c r="U2675" i="1"/>
  <c r="Q2676" i="1"/>
  <c r="R2676" i="1"/>
  <c r="S2676" i="1"/>
  <c r="T2676" i="1"/>
  <c r="U2676" i="1"/>
  <c r="Q2677" i="1"/>
  <c r="R2677" i="1"/>
  <c r="S2677" i="1"/>
  <c r="T2677" i="1"/>
  <c r="U2677" i="1"/>
  <c r="Q2678" i="1"/>
  <c r="R2678" i="1"/>
  <c r="S2678" i="1"/>
  <c r="T2678" i="1"/>
  <c r="U2678" i="1"/>
  <c r="Q2679" i="1"/>
  <c r="R2679" i="1"/>
  <c r="S2679" i="1"/>
  <c r="T2679" i="1"/>
  <c r="U2679" i="1"/>
  <c r="Q2680" i="1"/>
  <c r="R2680" i="1"/>
  <c r="S2680" i="1"/>
  <c r="T2680" i="1"/>
  <c r="U2680" i="1"/>
  <c r="Q2681" i="1"/>
  <c r="R2681" i="1"/>
  <c r="S2681" i="1"/>
  <c r="T2681" i="1"/>
  <c r="U2681" i="1"/>
  <c r="Q2682" i="1"/>
  <c r="R2682" i="1"/>
  <c r="S2682" i="1"/>
  <c r="T2682" i="1"/>
  <c r="U2682" i="1"/>
  <c r="Q2684" i="1"/>
  <c r="R2684" i="1"/>
  <c r="S2684" i="1"/>
  <c r="T2684" i="1"/>
  <c r="U2684" i="1"/>
  <c r="Q2686" i="1"/>
  <c r="R2686" i="1"/>
  <c r="S2686" i="1"/>
  <c r="T2686" i="1"/>
  <c r="U2686" i="1"/>
  <c r="Q2687" i="1"/>
  <c r="R2687" i="1"/>
  <c r="S2687" i="1"/>
  <c r="T2687" i="1"/>
  <c r="U2687" i="1"/>
  <c r="Q2688" i="1"/>
  <c r="R2688" i="1"/>
  <c r="S2688" i="1"/>
  <c r="T2688" i="1"/>
  <c r="U2688" i="1"/>
  <c r="Q2689" i="1"/>
  <c r="R2689" i="1"/>
  <c r="S2689" i="1"/>
  <c r="T2689" i="1"/>
  <c r="U2689" i="1"/>
  <c r="Q2690" i="1"/>
  <c r="R2690" i="1"/>
  <c r="S2690" i="1"/>
  <c r="T2690" i="1"/>
  <c r="U2690" i="1"/>
  <c r="Q2691" i="1"/>
  <c r="R2691" i="1"/>
  <c r="S2691" i="1"/>
  <c r="T2691" i="1"/>
  <c r="U2691" i="1"/>
  <c r="Q2695" i="1"/>
  <c r="R2695" i="1"/>
  <c r="S2695" i="1"/>
  <c r="T2695" i="1"/>
  <c r="U2695" i="1"/>
  <c r="Q2696" i="1"/>
  <c r="R2696" i="1"/>
  <c r="S2696" i="1"/>
  <c r="T2696" i="1"/>
  <c r="U2696" i="1"/>
  <c r="Q2697" i="1"/>
  <c r="R2697" i="1"/>
  <c r="S2697" i="1"/>
  <c r="T2697" i="1"/>
  <c r="U2697" i="1"/>
  <c r="Q2699" i="1"/>
  <c r="R2699" i="1"/>
  <c r="S2699" i="1"/>
  <c r="T2699" i="1"/>
  <c r="U2699" i="1"/>
  <c r="Q2700" i="1"/>
  <c r="R2700" i="1"/>
  <c r="S2700" i="1"/>
  <c r="T2700" i="1"/>
  <c r="U2700" i="1"/>
  <c r="Q2701" i="1"/>
  <c r="R2701" i="1"/>
  <c r="S2701" i="1"/>
  <c r="T2701" i="1"/>
  <c r="U2701" i="1"/>
  <c r="Q2702" i="1"/>
  <c r="R2702" i="1"/>
  <c r="S2702" i="1"/>
  <c r="T2702" i="1"/>
  <c r="U2702" i="1"/>
  <c r="Q2703" i="1"/>
  <c r="R2703" i="1"/>
  <c r="S2703" i="1"/>
  <c r="T2703" i="1"/>
  <c r="U2703" i="1"/>
  <c r="Q2704" i="1"/>
  <c r="R2704" i="1"/>
  <c r="S2704" i="1"/>
  <c r="T2704" i="1"/>
  <c r="U2704" i="1"/>
  <c r="Q2705" i="1"/>
  <c r="R2705" i="1"/>
  <c r="S2705" i="1"/>
  <c r="T2705" i="1"/>
  <c r="U2705" i="1"/>
  <c r="Q2706" i="1"/>
  <c r="R2706" i="1"/>
  <c r="S2706" i="1"/>
  <c r="T2706" i="1"/>
  <c r="U2706" i="1"/>
  <c r="Q2707" i="1"/>
  <c r="R2707" i="1"/>
  <c r="S2707" i="1"/>
  <c r="T2707" i="1"/>
  <c r="U2707" i="1"/>
  <c r="Q2709" i="1"/>
  <c r="R2709" i="1"/>
  <c r="S2709" i="1"/>
  <c r="T2709" i="1"/>
  <c r="U2709" i="1"/>
  <c r="Q2710" i="1"/>
  <c r="R2710" i="1"/>
  <c r="S2710" i="1"/>
  <c r="T2710" i="1"/>
  <c r="U2710" i="1"/>
  <c r="Q2711" i="1"/>
  <c r="R2711" i="1"/>
  <c r="S2711" i="1"/>
  <c r="T2711" i="1"/>
  <c r="U2711" i="1"/>
  <c r="Q2712" i="1"/>
  <c r="R2712" i="1"/>
  <c r="S2712" i="1"/>
  <c r="T2712" i="1"/>
  <c r="U2712" i="1"/>
  <c r="Q2713" i="1"/>
  <c r="R2713" i="1"/>
  <c r="S2713" i="1"/>
  <c r="T2713" i="1"/>
  <c r="U2713" i="1"/>
  <c r="Q2714" i="1"/>
  <c r="R2714" i="1"/>
  <c r="S2714" i="1"/>
  <c r="T2714" i="1"/>
  <c r="U2714" i="1"/>
  <c r="Q2715" i="1"/>
  <c r="R2715" i="1"/>
  <c r="S2715" i="1"/>
  <c r="T2715" i="1"/>
  <c r="U2715" i="1"/>
  <c r="Q2716" i="1"/>
  <c r="R2716" i="1"/>
  <c r="S2716" i="1"/>
  <c r="T2716" i="1"/>
  <c r="U2716" i="1"/>
  <c r="Q2720" i="1"/>
  <c r="R2720" i="1"/>
  <c r="S2720" i="1"/>
  <c r="T2720" i="1"/>
  <c r="U2720" i="1"/>
  <c r="Q2721" i="1"/>
  <c r="R2721" i="1"/>
  <c r="S2721" i="1"/>
  <c r="T2721" i="1"/>
  <c r="U2721" i="1"/>
  <c r="Q2722" i="1"/>
  <c r="R2722" i="1"/>
  <c r="S2722" i="1"/>
  <c r="T2722" i="1"/>
  <c r="U2722" i="1"/>
  <c r="Q2723" i="1"/>
  <c r="R2723" i="1"/>
  <c r="S2723" i="1"/>
  <c r="T2723" i="1"/>
  <c r="U2723" i="1"/>
  <c r="Q2724" i="1"/>
  <c r="R2724" i="1"/>
  <c r="S2724" i="1"/>
  <c r="T2724" i="1"/>
  <c r="U2724" i="1"/>
  <c r="Q2725" i="1"/>
  <c r="R2725" i="1"/>
  <c r="S2725" i="1"/>
  <c r="T2725" i="1"/>
  <c r="U2725" i="1"/>
  <c r="Q2726" i="1"/>
  <c r="R2726" i="1"/>
  <c r="S2726" i="1"/>
  <c r="T2726" i="1"/>
  <c r="U2726" i="1"/>
  <c r="Q2727" i="1"/>
  <c r="R2727" i="1"/>
  <c r="S2727" i="1"/>
  <c r="T2727" i="1"/>
  <c r="U2727" i="1"/>
  <c r="Q2728" i="1"/>
  <c r="R2728" i="1"/>
  <c r="S2728" i="1"/>
  <c r="T2728" i="1"/>
  <c r="U2728" i="1"/>
  <c r="Q2729" i="1"/>
  <c r="R2729" i="1"/>
  <c r="S2729" i="1"/>
  <c r="T2729" i="1"/>
  <c r="U2729" i="1"/>
  <c r="Q2730" i="1"/>
  <c r="R2730" i="1"/>
  <c r="S2730" i="1"/>
  <c r="T2730" i="1"/>
  <c r="U2730" i="1"/>
  <c r="Q2731" i="1"/>
  <c r="R2731" i="1"/>
  <c r="S2731" i="1"/>
  <c r="T2731" i="1"/>
  <c r="U2731" i="1"/>
  <c r="Q2732" i="1"/>
  <c r="R2732" i="1"/>
  <c r="S2732" i="1"/>
  <c r="T2732" i="1"/>
  <c r="U2732" i="1"/>
  <c r="Q2734" i="1"/>
  <c r="R2734" i="1"/>
  <c r="S2734" i="1"/>
  <c r="T2734" i="1"/>
  <c r="U2734" i="1"/>
  <c r="Q2735" i="1"/>
  <c r="R2735" i="1"/>
  <c r="S2735" i="1"/>
  <c r="T2735" i="1"/>
  <c r="U2735" i="1"/>
  <c r="Q2736" i="1"/>
  <c r="R2736" i="1"/>
  <c r="S2736" i="1"/>
  <c r="T2736" i="1"/>
  <c r="U2736" i="1"/>
  <c r="Q2737" i="1"/>
  <c r="R2737" i="1"/>
  <c r="S2737" i="1"/>
  <c r="T2737" i="1"/>
  <c r="U2737" i="1"/>
  <c r="Q2738" i="1"/>
  <c r="R2738" i="1"/>
  <c r="S2738" i="1"/>
  <c r="T2738" i="1"/>
  <c r="U2738" i="1"/>
  <c r="Q2739" i="1"/>
  <c r="R2739" i="1"/>
  <c r="S2739" i="1"/>
  <c r="T2739" i="1"/>
  <c r="U2739" i="1"/>
  <c r="Q2740" i="1"/>
  <c r="R2740" i="1"/>
  <c r="S2740" i="1"/>
  <c r="T2740" i="1"/>
  <c r="U2740" i="1"/>
  <c r="Q2741" i="1"/>
  <c r="R2741" i="1"/>
  <c r="S2741" i="1"/>
  <c r="T2741" i="1"/>
  <c r="U2741" i="1"/>
  <c r="Q2745" i="1"/>
  <c r="R2745" i="1"/>
  <c r="S2745" i="1"/>
  <c r="T2745" i="1"/>
  <c r="U2745" i="1"/>
  <c r="Q2746" i="1"/>
  <c r="R2746" i="1"/>
  <c r="S2746" i="1"/>
  <c r="T2746" i="1"/>
  <c r="U2746" i="1"/>
  <c r="Q2747" i="1"/>
  <c r="R2747" i="1"/>
  <c r="S2747" i="1"/>
  <c r="T2747" i="1"/>
  <c r="U2747" i="1"/>
  <c r="Q2748" i="1"/>
  <c r="R2748" i="1"/>
  <c r="S2748" i="1"/>
  <c r="T2748" i="1"/>
  <c r="U2748" i="1"/>
  <c r="Q2749" i="1"/>
  <c r="R2749" i="1"/>
  <c r="S2749" i="1"/>
  <c r="T2749" i="1"/>
  <c r="U2749" i="1"/>
  <c r="Q2750" i="1"/>
  <c r="R2750" i="1"/>
  <c r="S2750" i="1"/>
  <c r="T2750" i="1"/>
  <c r="U2750" i="1"/>
  <c r="Q2751" i="1"/>
  <c r="R2751" i="1"/>
  <c r="S2751" i="1"/>
  <c r="T2751" i="1"/>
  <c r="U2751" i="1"/>
  <c r="Q2752" i="1"/>
  <c r="R2752" i="1"/>
  <c r="S2752" i="1"/>
  <c r="T2752" i="1"/>
  <c r="U2752" i="1"/>
  <c r="Q2753" i="1"/>
  <c r="R2753" i="1"/>
  <c r="S2753" i="1"/>
  <c r="T2753" i="1"/>
  <c r="U2753" i="1"/>
  <c r="Q2754" i="1"/>
  <c r="R2754" i="1"/>
  <c r="S2754" i="1"/>
  <c r="T2754" i="1"/>
  <c r="U2754" i="1"/>
  <c r="Q2755" i="1"/>
  <c r="R2755" i="1"/>
  <c r="S2755" i="1"/>
  <c r="T2755" i="1"/>
  <c r="U2755" i="1"/>
  <c r="Q2756" i="1"/>
  <c r="R2756" i="1"/>
  <c r="S2756" i="1"/>
  <c r="T2756" i="1"/>
  <c r="U2756" i="1"/>
  <c r="Q2757" i="1"/>
  <c r="R2757" i="1"/>
  <c r="S2757" i="1"/>
  <c r="T2757" i="1"/>
  <c r="U2757" i="1"/>
  <c r="Q2759" i="1"/>
  <c r="R2759" i="1"/>
  <c r="S2759" i="1"/>
  <c r="T2759" i="1"/>
  <c r="U2759" i="1"/>
  <c r="Q2760" i="1"/>
  <c r="R2760" i="1"/>
  <c r="S2760" i="1"/>
  <c r="T2760" i="1"/>
  <c r="U2760" i="1"/>
  <c r="Q2761" i="1"/>
  <c r="R2761" i="1"/>
  <c r="S2761" i="1"/>
  <c r="T2761" i="1"/>
  <c r="U2761" i="1"/>
  <c r="Q2762" i="1"/>
  <c r="R2762" i="1"/>
  <c r="S2762" i="1"/>
  <c r="T2762" i="1"/>
  <c r="U2762" i="1"/>
  <c r="Q2763" i="1"/>
  <c r="R2763" i="1"/>
  <c r="S2763" i="1"/>
  <c r="T2763" i="1"/>
  <c r="U2763" i="1"/>
  <c r="Q2764" i="1"/>
  <c r="R2764" i="1"/>
  <c r="S2764" i="1"/>
  <c r="T2764" i="1"/>
  <c r="U2764" i="1"/>
  <c r="Q2765" i="1"/>
  <c r="R2765" i="1"/>
  <c r="S2765" i="1"/>
  <c r="T2765" i="1"/>
  <c r="U2765" i="1"/>
  <c r="Q2766" i="1"/>
  <c r="R2766" i="1"/>
  <c r="S2766" i="1"/>
  <c r="T2766" i="1"/>
  <c r="U2766" i="1"/>
  <c r="Q2770" i="1"/>
  <c r="R2770" i="1"/>
  <c r="S2770" i="1"/>
  <c r="T2770" i="1"/>
  <c r="U2770" i="1"/>
  <c r="Q2771" i="1"/>
  <c r="R2771" i="1"/>
  <c r="S2771" i="1"/>
  <c r="T2771" i="1"/>
  <c r="U2771" i="1"/>
  <c r="Q2772" i="1"/>
  <c r="R2772" i="1"/>
  <c r="S2772" i="1"/>
  <c r="T2772" i="1"/>
  <c r="U2772" i="1"/>
  <c r="Q2774" i="1"/>
  <c r="R2774" i="1"/>
  <c r="S2774" i="1"/>
  <c r="T2774" i="1"/>
  <c r="U2774" i="1"/>
  <c r="Q2775" i="1"/>
  <c r="R2775" i="1"/>
  <c r="S2775" i="1"/>
  <c r="T2775" i="1"/>
  <c r="U2775" i="1"/>
  <c r="Q2776" i="1"/>
  <c r="R2776" i="1"/>
  <c r="S2776" i="1"/>
  <c r="T2776" i="1"/>
  <c r="U2776" i="1"/>
  <c r="Q2777" i="1"/>
  <c r="R2777" i="1"/>
  <c r="S2777" i="1"/>
  <c r="T2777" i="1"/>
  <c r="U2777" i="1"/>
  <c r="Q2778" i="1"/>
  <c r="R2778" i="1"/>
  <c r="S2778" i="1"/>
  <c r="T2778" i="1"/>
  <c r="U2778" i="1"/>
  <c r="Q2779" i="1"/>
  <c r="R2779" i="1"/>
  <c r="S2779" i="1"/>
  <c r="T2779" i="1"/>
  <c r="U2779" i="1"/>
  <c r="Q2780" i="1"/>
  <c r="R2780" i="1"/>
  <c r="S2780" i="1"/>
  <c r="T2780" i="1"/>
  <c r="U2780" i="1"/>
  <c r="Q2781" i="1"/>
  <c r="R2781" i="1"/>
  <c r="S2781" i="1"/>
  <c r="T2781" i="1"/>
  <c r="U2781" i="1"/>
  <c r="Q2782" i="1"/>
  <c r="R2782" i="1"/>
  <c r="S2782" i="1"/>
  <c r="T2782" i="1"/>
  <c r="U2782" i="1"/>
  <c r="Q2784" i="1"/>
  <c r="R2784" i="1"/>
  <c r="S2784" i="1"/>
  <c r="T2784" i="1"/>
  <c r="U2784" i="1"/>
  <c r="Q2785" i="1"/>
  <c r="R2785" i="1"/>
  <c r="S2785" i="1"/>
  <c r="T2785" i="1"/>
  <c r="U2785" i="1"/>
  <c r="Q2786" i="1"/>
  <c r="R2786" i="1"/>
  <c r="S2786" i="1"/>
  <c r="T2786" i="1"/>
  <c r="U2786" i="1"/>
  <c r="Q2787" i="1"/>
  <c r="R2787" i="1"/>
  <c r="S2787" i="1"/>
  <c r="T2787" i="1"/>
  <c r="U2787" i="1"/>
  <c r="Q2788" i="1"/>
  <c r="R2788" i="1"/>
  <c r="S2788" i="1"/>
  <c r="T2788" i="1"/>
  <c r="U2788" i="1"/>
  <c r="Q2789" i="1"/>
  <c r="R2789" i="1"/>
  <c r="S2789" i="1"/>
  <c r="T2789" i="1"/>
  <c r="U2789" i="1"/>
  <c r="Q2790" i="1"/>
  <c r="R2790" i="1"/>
  <c r="S2790" i="1"/>
  <c r="T2790" i="1"/>
  <c r="U2790" i="1"/>
  <c r="Q2791" i="1"/>
  <c r="R2791" i="1"/>
  <c r="S2791" i="1"/>
  <c r="T2791" i="1"/>
  <c r="U2791" i="1"/>
  <c r="Q2795" i="1"/>
  <c r="R2795" i="1"/>
  <c r="S2795" i="1"/>
  <c r="T2795" i="1"/>
  <c r="U2795" i="1"/>
  <c r="Q2796" i="1"/>
  <c r="R2796" i="1"/>
  <c r="S2796" i="1"/>
  <c r="T2796" i="1"/>
  <c r="U2796" i="1"/>
  <c r="Q2797" i="1"/>
  <c r="R2797" i="1"/>
  <c r="S2797" i="1"/>
  <c r="T2797" i="1"/>
  <c r="U2797" i="1"/>
  <c r="Q2798" i="1"/>
  <c r="R2798" i="1"/>
  <c r="S2798" i="1"/>
  <c r="T2798" i="1"/>
  <c r="U2798" i="1"/>
  <c r="Q2799" i="1"/>
  <c r="R2799" i="1"/>
  <c r="S2799" i="1"/>
  <c r="T2799" i="1"/>
  <c r="U2799" i="1"/>
  <c r="Q2800" i="1"/>
  <c r="R2800" i="1"/>
  <c r="S2800" i="1"/>
  <c r="T2800" i="1"/>
  <c r="U2800" i="1"/>
  <c r="Q2801" i="1"/>
  <c r="R2801" i="1"/>
  <c r="S2801" i="1"/>
  <c r="T2801" i="1"/>
  <c r="U2801" i="1"/>
  <c r="Q2802" i="1"/>
  <c r="R2802" i="1"/>
  <c r="S2802" i="1"/>
  <c r="T2802" i="1"/>
  <c r="U2802" i="1"/>
  <c r="Q2803" i="1"/>
  <c r="R2803" i="1"/>
  <c r="S2803" i="1"/>
  <c r="T2803" i="1"/>
  <c r="U2803" i="1"/>
  <c r="Q2804" i="1"/>
  <c r="R2804" i="1"/>
  <c r="S2804" i="1"/>
  <c r="T2804" i="1"/>
  <c r="U2804" i="1"/>
  <c r="Q2805" i="1"/>
  <c r="R2805" i="1"/>
  <c r="S2805" i="1"/>
  <c r="T2805" i="1"/>
  <c r="U2805" i="1"/>
  <c r="Q2806" i="1"/>
  <c r="R2806" i="1"/>
  <c r="S2806" i="1"/>
  <c r="T2806" i="1"/>
  <c r="U2806" i="1"/>
  <c r="Q2807" i="1"/>
  <c r="R2807" i="1"/>
  <c r="S2807" i="1"/>
  <c r="T2807" i="1"/>
  <c r="U2807" i="1"/>
  <c r="Q2809" i="1"/>
  <c r="R2809" i="1"/>
  <c r="S2809" i="1"/>
  <c r="T2809" i="1"/>
  <c r="U2809" i="1"/>
  <c r="Q2810" i="1"/>
  <c r="R2810" i="1"/>
  <c r="S2810" i="1"/>
  <c r="T2810" i="1"/>
  <c r="U2810" i="1"/>
  <c r="Q2811" i="1"/>
  <c r="R2811" i="1"/>
  <c r="S2811" i="1"/>
  <c r="T2811" i="1"/>
  <c r="U2811" i="1"/>
  <c r="Q2812" i="1"/>
  <c r="R2812" i="1"/>
  <c r="S2812" i="1"/>
  <c r="T2812" i="1"/>
  <c r="U2812" i="1"/>
  <c r="Q2813" i="1"/>
  <c r="R2813" i="1"/>
  <c r="S2813" i="1"/>
  <c r="T2813" i="1"/>
  <c r="U2813" i="1"/>
  <c r="Q2814" i="1"/>
  <c r="R2814" i="1"/>
  <c r="S2814" i="1"/>
  <c r="T2814" i="1"/>
  <c r="U2814" i="1"/>
  <c r="Q2815" i="1"/>
  <c r="R2815" i="1"/>
  <c r="S2815" i="1"/>
  <c r="T2815" i="1"/>
  <c r="U2815" i="1"/>
  <c r="Q2816" i="1"/>
  <c r="R2816" i="1"/>
  <c r="S2816" i="1"/>
  <c r="T2816" i="1"/>
  <c r="U2816" i="1"/>
  <c r="Q2820" i="1"/>
  <c r="R2820" i="1"/>
  <c r="S2820" i="1"/>
  <c r="T2820" i="1"/>
  <c r="U2820" i="1"/>
  <c r="Q2821" i="1"/>
  <c r="R2821" i="1"/>
  <c r="S2821" i="1"/>
  <c r="T2821" i="1"/>
  <c r="U2821" i="1"/>
  <c r="Q2822" i="1"/>
  <c r="R2822" i="1"/>
  <c r="S2822" i="1"/>
  <c r="T2822" i="1"/>
  <c r="U2822" i="1"/>
  <c r="Q2823" i="1"/>
  <c r="R2823" i="1"/>
  <c r="S2823" i="1"/>
  <c r="T2823" i="1"/>
  <c r="U2823" i="1"/>
  <c r="Q2824" i="1"/>
  <c r="R2824" i="1"/>
  <c r="S2824" i="1"/>
  <c r="T2824" i="1"/>
  <c r="U2824" i="1"/>
  <c r="Y15" i="8"/>
  <c r="X15" i="8"/>
  <c r="W15" i="8"/>
  <c r="N26" i="11" l="1"/>
  <c r="O26" i="11" s="1"/>
  <c r="K26" i="11"/>
  <c r="L26" i="11" s="1"/>
  <c r="G56" i="11"/>
  <c r="G44" i="11"/>
  <c r="E2725" i="1"/>
  <c r="S2767" i="1"/>
  <c r="E2699" i="1"/>
  <c r="F30" i="13" s="1"/>
  <c r="U2669" i="1"/>
  <c r="Q2767" i="1"/>
  <c r="E2675" i="1"/>
  <c r="F21" i="13" s="1"/>
  <c r="E2700" i="1"/>
  <c r="F33" i="13" s="1"/>
  <c r="Q2742" i="1"/>
  <c r="U2742" i="1"/>
  <c r="T2742" i="1"/>
  <c r="S2742" i="1"/>
  <c r="R2742" i="1"/>
  <c r="E2724" i="1"/>
  <c r="U2817" i="1"/>
  <c r="T2817" i="1"/>
  <c r="S2817" i="1"/>
  <c r="R2817" i="1"/>
  <c r="Q2817" i="1"/>
  <c r="R2767" i="1"/>
  <c r="U2767" i="1"/>
  <c r="T2767" i="1"/>
  <c r="E2674" i="1"/>
  <c r="F18" i="13" s="1"/>
  <c r="Z15" i="8"/>
  <c r="AA15" i="8" s="1"/>
  <c r="N56" i="11" l="1"/>
  <c r="O56" i="11" s="1"/>
  <c r="K56" i="11"/>
  <c r="L56" i="11" s="1"/>
  <c r="K44" i="11"/>
  <c r="N44" i="11"/>
  <c r="V296" i="10" l="1"/>
  <c r="S296" i="10"/>
  <c r="AI188" i="10"/>
  <c r="L273" i="10"/>
  <c r="L274" i="10"/>
  <c r="L275" i="10"/>
  <c r="L276" i="10"/>
  <c r="L277" i="10"/>
  <c r="L278" i="10"/>
  <c r="L279" i="10"/>
  <c r="L280" i="10"/>
  <c r="L282" i="10"/>
  <c r="L283" i="10"/>
  <c r="L284" i="10"/>
  <c r="L285" i="10"/>
  <c r="L286" i="10"/>
  <c r="L287" i="10"/>
  <c r="L288" i="10"/>
  <c r="L289" i="10"/>
  <c r="L271" i="10"/>
  <c r="J273" i="10"/>
  <c r="J274" i="10"/>
  <c r="J275" i="10"/>
  <c r="J276" i="10"/>
  <c r="J277" i="10"/>
  <c r="J278" i="10"/>
  <c r="J279" i="10"/>
  <c r="J280" i="10"/>
  <c r="J282" i="10"/>
  <c r="J283" i="10"/>
  <c r="J284" i="10"/>
  <c r="J285" i="10"/>
  <c r="J286" i="10"/>
  <c r="J287" i="10"/>
  <c r="J288" i="10"/>
  <c r="J289" i="10"/>
  <c r="J271" i="10"/>
  <c r="H273" i="10"/>
  <c r="H274" i="10"/>
  <c r="H275" i="10"/>
  <c r="H276" i="10"/>
  <c r="H277" i="10"/>
  <c r="H278" i="10"/>
  <c r="H279" i="10"/>
  <c r="H280" i="10"/>
  <c r="H282" i="10"/>
  <c r="H283" i="10"/>
  <c r="H284" i="10"/>
  <c r="H285" i="10"/>
  <c r="H286" i="10"/>
  <c r="H287" i="10"/>
  <c r="H288" i="10"/>
  <c r="H289" i="10"/>
  <c r="H271" i="10"/>
  <c r="F273" i="10"/>
  <c r="F274" i="10"/>
  <c r="F275" i="10"/>
  <c r="F276" i="10"/>
  <c r="F277" i="10"/>
  <c r="F278" i="10"/>
  <c r="F279" i="10"/>
  <c r="F280" i="10"/>
  <c r="F282" i="10"/>
  <c r="F283" i="10"/>
  <c r="F284" i="10"/>
  <c r="F285" i="10"/>
  <c r="F286" i="10"/>
  <c r="F287" i="10"/>
  <c r="F288" i="10"/>
  <c r="F289" i="10"/>
  <c r="F271" i="10"/>
  <c r="D289" i="10"/>
  <c r="D288" i="10"/>
  <c r="D287" i="10"/>
  <c r="D286" i="10"/>
  <c r="D285" i="10"/>
  <c r="D284" i="10"/>
  <c r="D283" i="10"/>
  <c r="D282" i="10"/>
  <c r="D280" i="10"/>
  <c r="D279" i="10"/>
  <c r="D278" i="10"/>
  <c r="D277" i="10"/>
  <c r="D276" i="10"/>
  <c r="D275" i="10"/>
  <c r="D274" i="10"/>
  <c r="D273" i="10"/>
  <c r="D271" i="10"/>
  <c r="B289" i="10"/>
  <c r="B288" i="10"/>
  <c r="B287" i="10"/>
  <c r="B286" i="10"/>
  <c r="B285" i="10"/>
  <c r="B284" i="10"/>
  <c r="B283" i="10"/>
  <c r="B282" i="10"/>
  <c r="B280" i="10"/>
  <c r="B279" i="10"/>
  <c r="B278" i="10"/>
  <c r="B277" i="10"/>
  <c r="B276" i="10"/>
  <c r="B275" i="10"/>
  <c r="B274" i="10"/>
  <c r="B273" i="10"/>
  <c r="B271" i="10"/>
  <c r="AQ297" i="10"/>
  <c r="AH296" i="10"/>
  <c r="AE296" i="10"/>
  <c r="AB296" i="10"/>
  <c r="Y296" i="10"/>
  <c r="AO291" i="10"/>
  <c r="AO138" i="10"/>
  <c r="AO265" i="10"/>
  <c r="AI239" i="10"/>
  <c r="AI213" i="10"/>
  <c r="AI163" i="10"/>
  <c r="AI113" i="10"/>
  <c r="H179" i="6"/>
  <c r="I291" i="7" l="1"/>
  <c r="I250" i="7"/>
  <c r="I248" i="7"/>
  <c r="I242" i="7"/>
  <c r="I227" i="7"/>
  <c r="I224" i="7"/>
  <c r="I203" i="7"/>
  <c r="I204" i="7"/>
  <c r="I205" i="7"/>
  <c r="I206" i="7"/>
  <c r="I207" i="7"/>
  <c r="I208" i="7"/>
  <c r="I209" i="7"/>
  <c r="I210" i="7"/>
  <c r="I199" i="7"/>
  <c r="I200" i="7"/>
  <c r="I195" i="7"/>
  <c r="I196" i="7"/>
  <c r="I197" i="7"/>
  <c r="I176" i="7"/>
  <c r="I177" i="7"/>
  <c r="I178" i="7"/>
  <c r="I179" i="7"/>
  <c r="I180" i="7"/>
  <c r="I181" i="7"/>
  <c r="I182" i="7"/>
  <c r="I183" i="7"/>
  <c r="I184" i="7"/>
  <c r="I185" i="7"/>
  <c r="I186" i="7"/>
  <c r="I187" i="7"/>
  <c r="I188" i="7"/>
  <c r="I189" i="7"/>
  <c r="I190" i="7"/>
  <c r="I191" i="7"/>
  <c r="I173" i="7"/>
  <c r="I174" i="7"/>
  <c r="I175" i="7"/>
  <c r="I142" i="7"/>
  <c r="I143" i="7"/>
  <c r="I144" i="7"/>
  <c r="I145" i="7"/>
  <c r="I146" i="7"/>
  <c r="I147" i="7"/>
  <c r="I148" i="7"/>
  <c r="I149" i="7"/>
  <c r="I150" i="7"/>
  <c r="I151" i="7"/>
  <c r="I152" i="7"/>
  <c r="I153" i="7"/>
  <c r="I154" i="7"/>
  <c r="I155" i="7"/>
  <c r="I156" i="7"/>
  <c r="I157" i="7"/>
  <c r="I158" i="7"/>
  <c r="I159" i="7"/>
  <c r="I160" i="7"/>
  <c r="I161" i="7"/>
  <c r="I162" i="7"/>
  <c r="I163" i="7"/>
  <c r="I164" i="7"/>
  <c r="I165" i="7"/>
  <c r="I166" i="7"/>
  <c r="I167" i="7"/>
  <c r="I168" i="7"/>
  <c r="I169" i="7"/>
  <c r="I170" i="7"/>
  <c r="I171" i="7"/>
  <c r="I172" i="7"/>
  <c r="I141" i="7"/>
  <c r="F404" i="7"/>
  <c r="H57" i="6"/>
  <c r="B11" i="9"/>
  <c r="B7" i="9" l="1"/>
  <c r="X7" i="1"/>
  <c r="Y7" i="1"/>
  <c r="Q412" i="6"/>
  <c r="Q415" i="6"/>
  <c r="Q416" i="6"/>
  <c r="Q417" i="6"/>
  <c r="Q418" i="6"/>
  <c r="Q419" i="6"/>
  <c r="Q421" i="6"/>
  <c r="Q423" i="6"/>
  <c r="Q425" i="6"/>
  <c r="Q426" i="6"/>
  <c r="Q427" i="6"/>
  <c r="Q387" i="6"/>
  <c r="Q388" i="6"/>
  <c r="Q391" i="6"/>
  <c r="Q392" i="6"/>
  <c r="Q393" i="6"/>
  <c r="Q394" i="6"/>
  <c r="Q395" i="6"/>
  <c r="Q397" i="6"/>
  <c r="Q399" i="6"/>
  <c r="Q400" i="6"/>
  <c r="Q401" i="6"/>
  <c r="Q402" i="6"/>
  <c r="Q403" i="6"/>
  <c r="Q404" i="6"/>
  <c r="Q364" i="6"/>
  <c r="Q367" i="6"/>
  <c r="Q368" i="6"/>
  <c r="Q369" i="6"/>
  <c r="Q370" i="6"/>
  <c r="Q371" i="6"/>
  <c r="Q375" i="6"/>
  <c r="Q376" i="6"/>
  <c r="Q377" i="6"/>
  <c r="Q379" i="6"/>
  <c r="Q340" i="6"/>
  <c r="Q343" i="6"/>
  <c r="Q344" i="6"/>
  <c r="Q345" i="6"/>
  <c r="Q346" i="6"/>
  <c r="Q347" i="6"/>
  <c r="Q351" i="6"/>
  <c r="Q352" i="6"/>
  <c r="Q353" i="6"/>
  <c r="Q355" i="6"/>
  <c r="Q316" i="6"/>
  <c r="Q319" i="6"/>
  <c r="Q320" i="6"/>
  <c r="F319" i="6" s="1"/>
  <c r="Q321" i="6"/>
  <c r="Q322" i="6"/>
  <c r="Q323" i="6"/>
  <c r="Q327" i="6"/>
  <c r="Q329" i="6"/>
  <c r="Q331" i="6"/>
  <c r="Y2832" i="1"/>
  <c r="X2832" i="1"/>
  <c r="Y2807" i="1"/>
  <c r="X2807" i="1"/>
  <c r="Y2782" i="1"/>
  <c r="X2782" i="1"/>
  <c r="Y2757" i="1"/>
  <c r="X2757" i="1"/>
  <c r="I385" i="7"/>
  <c r="I386" i="7"/>
  <c r="I387" i="7"/>
  <c r="I111" i="7"/>
  <c r="I105" i="7"/>
  <c r="I106" i="7"/>
  <c r="I82" i="7"/>
  <c r="I83" i="7"/>
  <c r="I27" i="7"/>
  <c r="D59" i="16"/>
  <c r="E24" i="8" s="1"/>
  <c r="E33" i="8" s="1"/>
  <c r="I399" i="7"/>
  <c r="I400" i="7"/>
  <c r="I401" i="7"/>
  <c r="I398" i="7"/>
  <c r="I397" i="7"/>
  <c r="I396" i="7"/>
  <c r="I395" i="7"/>
  <c r="I394" i="7"/>
  <c r="I393" i="7"/>
  <c r="I392" i="7"/>
  <c r="I391" i="7"/>
  <c r="I390" i="7"/>
  <c r="I389" i="7"/>
  <c r="I388" i="7"/>
  <c r="I384" i="7"/>
  <c r="I383" i="7"/>
  <c r="I380" i="7"/>
  <c r="I379" i="7"/>
  <c r="I378" i="7"/>
  <c r="I377" i="7"/>
  <c r="I376" i="7"/>
  <c r="I375" i="7"/>
  <c r="I374" i="7"/>
  <c r="I373" i="7"/>
  <c r="I372" i="7"/>
  <c r="I371" i="7"/>
  <c r="I370" i="7"/>
  <c r="I369" i="7"/>
  <c r="I368" i="7"/>
  <c r="I367" i="7"/>
  <c r="I366" i="7"/>
  <c r="I365" i="7"/>
  <c r="I364" i="7"/>
  <c r="I363" i="7"/>
  <c r="I362" i="7"/>
  <c r="I361" i="7"/>
  <c r="I360" i="7"/>
  <c r="I359" i="7"/>
  <c r="I358" i="7"/>
  <c r="I357" i="7"/>
  <c r="I356" i="7"/>
  <c r="I355" i="7"/>
  <c r="I354" i="7"/>
  <c r="I353" i="7"/>
  <c r="I352" i="7"/>
  <c r="I351" i="7"/>
  <c r="I350" i="7"/>
  <c r="I349" i="7"/>
  <c r="I348" i="7"/>
  <c r="I347" i="7"/>
  <c r="I346" i="7"/>
  <c r="I345" i="7"/>
  <c r="I344" i="7"/>
  <c r="I343" i="7"/>
  <c r="I342" i="7"/>
  <c r="I341" i="7"/>
  <c r="I340" i="7"/>
  <c r="I339" i="7"/>
  <c r="I338" i="7"/>
  <c r="I335" i="7"/>
  <c r="I333" i="7"/>
  <c r="I332" i="7"/>
  <c r="I319" i="7"/>
  <c r="I317" i="7"/>
  <c r="I316" i="7"/>
  <c r="I315" i="7"/>
  <c r="I308" i="7"/>
  <c r="I307" i="7"/>
  <c r="I306" i="7"/>
  <c r="I305" i="7"/>
  <c r="I299" i="7"/>
  <c r="I298" i="7"/>
  <c r="I297" i="7"/>
  <c r="I292" i="7"/>
  <c r="I290" i="7"/>
  <c r="I289" i="7"/>
  <c r="I288" i="7"/>
  <c r="I287" i="7"/>
  <c r="I286" i="7"/>
  <c r="I285" i="7"/>
  <c r="I284" i="7"/>
  <c r="I283" i="7"/>
  <c r="I282" i="7"/>
  <c r="I281" i="7"/>
  <c r="I280" i="7"/>
  <c r="I279" i="7"/>
  <c r="I278" i="7"/>
  <c r="I277" i="7"/>
  <c r="I276" i="7"/>
  <c r="I275" i="7"/>
  <c r="I274" i="7"/>
  <c r="I273" i="7"/>
  <c r="I272" i="7"/>
  <c r="I271" i="7"/>
  <c r="I270" i="7"/>
  <c r="I269" i="7"/>
  <c r="I268" i="7"/>
  <c r="I267" i="7"/>
  <c r="I266" i="7"/>
  <c r="I265" i="7"/>
  <c r="I264" i="7"/>
  <c r="I263" i="7"/>
  <c r="I262" i="7"/>
  <c r="I261" i="7"/>
  <c r="I260" i="7"/>
  <c r="I259" i="7"/>
  <c r="I258" i="7"/>
  <c r="I257" i="7"/>
  <c r="I256" i="7"/>
  <c r="I255" i="7"/>
  <c r="I254" i="7"/>
  <c r="I253" i="7"/>
  <c r="I252" i="7"/>
  <c r="I251" i="7"/>
  <c r="I249" i="7"/>
  <c r="I247" i="7"/>
  <c r="I246" i="7"/>
  <c r="I245" i="7"/>
  <c r="I244" i="7"/>
  <c r="I243" i="7"/>
  <c r="I241" i="7"/>
  <c r="I240" i="7"/>
  <c r="I239" i="7"/>
  <c r="I238" i="7"/>
  <c r="I237" i="7"/>
  <c r="I236" i="7"/>
  <c r="I235" i="7"/>
  <c r="I234" i="7"/>
  <c r="I233" i="7"/>
  <c r="I232" i="7"/>
  <c r="I230" i="7"/>
  <c r="I229" i="7"/>
  <c r="I228" i="7"/>
  <c r="I226" i="7"/>
  <c r="I225" i="7"/>
  <c r="I223" i="7"/>
  <c r="I222" i="7"/>
  <c r="I221" i="7"/>
  <c r="I220" i="7"/>
  <c r="I219" i="7"/>
  <c r="I218" i="7"/>
  <c r="I217" i="7"/>
  <c r="I216" i="7"/>
  <c r="I215" i="7"/>
  <c r="I214" i="7"/>
  <c r="I213" i="7"/>
  <c r="I212" i="7"/>
  <c r="I211" i="7"/>
  <c r="I202" i="7"/>
  <c r="I201" i="7"/>
  <c r="I198" i="7"/>
  <c r="I194" i="7"/>
  <c r="I193" i="7"/>
  <c r="I192" i="7"/>
  <c r="I135" i="7"/>
  <c r="I134" i="7"/>
  <c r="I133" i="7"/>
  <c r="I132" i="7"/>
  <c r="I131" i="7"/>
  <c r="I130" i="7"/>
  <c r="I129" i="7"/>
  <c r="I128" i="7"/>
  <c r="I127" i="7"/>
  <c r="I126" i="7"/>
  <c r="I125" i="7"/>
  <c r="I121" i="7"/>
  <c r="I120" i="7"/>
  <c r="I119" i="7"/>
  <c r="I118" i="7"/>
  <c r="I117" i="7"/>
  <c r="I116" i="7"/>
  <c r="I115" i="7"/>
  <c r="I110" i="7"/>
  <c r="I109" i="7"/>
  <c r="I108" i="7"/>
  <c r="I107" i="7"/>
  <c r="I104" i="7"/>
  <c r="I103" i="7"/>
  <c r="I102" i="7"/>
  <c r="I101" i="7"/>
  <c r="I100" i="7"/>
  <c r="I99" i="7"/>
  <c r="I98" i="7"/>
  <c r="I97" i="7"/>
  <c r="I96" i="7"/>
  <c r="I95" i="7"/>
  <c r="I94" i="7"/>
  <c r="I92" i="7"/>
  <c r="I91" i="7"/>
  <c r="I90" i="7"/>
  <c r="I85" i="7"/>
  <c r="I84" i="7"/>
  <c r="I81" i="7"/>
  <c r="I80" i="7"/>
  <c r="I79" i="7"/>
  <c r="I78" i="7"/>
  <c r="I77" i="7"/>
  <c r="I76" i="7"/>
  <c r="I74" i="7"/>
  <c r="I73" i="7"/>
  <c r="I72" i="7"/>
  <c r="I71" i="7"/>
  <c r="I70" i="7"/>
  <c r="I69" i="7"/>
  <c r="I68" i="7"/>
  <c r="I67"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2" i="7"/>
  <c r="I31" i="7"/>
  <c r="I30" i="7"/>
  <c r="I29" i="7"/>
  <c r="I28" i="7"/>
  <c r="I26" i="7"/>
  <c r="I25" i="7"/>
  <c r="I24" i="7"/>
  <c r="I23" i="7"/>
  <c r="I22" i="7"/>
  <c r="I21" i="7"/>
  <c r="I20" i="7"/>
  <c r="I19" i="7"/>
  <c r="I18" i="7"/>
  <c r="I17" i="7"/>
  <c r="I16" i="7"/>
  <c r="I15" i="7"/>
  <c r="I14" i="7"/>
  <c r="I13" i="7"/>
  <c r="I12" i="7"/>
  <c r="I11" i="7"/>
  <c r="I10" i="7"/>
  <c r="I9" i="7"/>
  <c r="I8" i="7"/>
  <c r="I7" i="7"/>
  <c r="I6" i="7"/>
  <c r="I5" i="7"/>
  <c r="I4" i="7"/>
  <c r="I3" i="7"/>
  <c r="I2" i="7"/>
  <c r="G404" i="7"/>
  <c r="H295" i="6"/>
  <c r="Y2847" i="1"/>
  <c r="Y2698" i="1" s="1"/>
  <c r="Y2848" i="1"/>
  <c r="Y2773" i="1" s="1"/>
  <c r="Y2846" i="1"/>
  <c r="Y2673" i="1" s="1"/>
  <c r="X2847" i="1"/>
  <c r="X2698" i="1" s="1"/>
  <c r="X2848" i="1"/>
  <c r="X2773" i="1" s="1"/>
  <c r="X2846" i="1"/>
  <c r="X2673" i="1" s="1"/>
  <c r="R2846" i="1"/>
  <c r="R2673" i="1" s="1"/>
  <c r="R2692" i="1" s="1"/>
  <c r="S2846" i="1"/>
  <c r="S2673" i="1" s="1"/>
  <c r="S2692" i="1" s="1"/>
  <c r="T2846" i="1"/>
  <c r="U2846" i="1"/>
  <c r="Q2846" i="1"/>
  <c r="Q2673" i="1" s="1"/>
  <c r="Q2692" i="1" s="1"/>
  <c r="R2848" i="1"/>
  <c r="R2773" i="1" s="1"/>
  <c r="R2792" i="1" s="1"/>
  <c r="S2848" i="1"/>
  <c r="S2773" i="1" s="1"/>
  <c r="S2792" i="1" s="1"/>
  <c r="T2848" i="1"/>
  <c r="U2848" i="1"/>
  <c r="Q2848" i="1"/>
  <c r="Q2773" i="1" s="1"/>
  <c r="Q2792" i="1" s="1"/>
  <c r="R2847" i="1"/>
  <c r="R2698" i="1" s="1"/>
  <c r="R2717" i="1" s="1"/>
  <c r="S2847" i="1"/>
  <c r="S2698" i="1" s="1"/>
  <c r="S2717" i="1" s="1"/>
  <c r="T2847" i="1"/>
  <c r="U2847" i="1"/>
  <c r="U2698" i="1" s="1"/>
  <c r="U2717" i="1" s="1"/>
  <c r="Q2847" i="1"/>
  <c r="Q2698" i="1" s="1"/>
  <c r="Q2717" i="1" s="1"/>
  <c r="A187" i="11"/>
  <c r="A157" i="11"/>
  <c r="A127" i="11"/>
  <c r="A97" i="11"/>
  <c r="A67" i="11"/>
  <c r="A37" i="11"/>
  <c r="W2778" i="1"/>
  <c r="C79" i="16"/>
  <c r="C84" i="16"/>
  <c r="BR24" i="8" s="1"/>
  <c r="BR33" i="8" s="1"/>
  <c r="Y298" i="10"/>
  <c r="D64" i="16" s="1"/>
  <c r="X24" i="8" s="1"/>
  <c r="X33" i="8" s="1"/>
  <c r="V297" i="10"/>
  <c r="D61" i="16" s="1"/>
  <c r="S297" i="10"/>
  <c r="D56" i="16" s="1"/>
  <c r="CM33" i="8"/>
  <c r="CM24" i="8"/>
  <c r="BQ33" i="8"/>
  <c r="BQ24" i="8"/>
  <c r="V33" i="8"/>
  <c r="V24" i="8"/>
  <c r="C33" i="8"/>
  <c r="C94" i="16"/>
  <c r="C89" i="16"/>
  <c r="H39" i="16" s="1"/>
  <c r="F163" i="6" s="1"/>
  <c r="B161" i="6" s="1"/>
  <c r="D39" i="16" s="1"/>
  <c r="F290" i="6"/>
  <c r="Q292" i="6"/>
  <c r="Q295" i="6"/>
  <c r="Q296" i="6"/>
  <c r="Q297" i="6"/>
  <c r="Q298" i="6"/>
  <c r="Q299" i="6"/>
  <c r="Q303" i="6"/>
  <c r="Q304" i="6"/>
  <c r="Q305" i="6"/>
  <c r="Q307" i="6"/>
  <c r="A313" i="6"/>
  <c r="A409" i="6" s="1"/>
  <c r="A337" i="6"/>
  <c r="F338" i="6"/>
  <c r="A361" i="6"/>
  <c r="F362" i="6"/>
  <c r="A385" i="6"/>
  <c r="F386" i="6"/>
  <c r="F410" i="6"/>
  <c r="B412" i="6"/>
  <c r="B413" i="6"/>
  <c r="B414" i="6"/>
  <c r="A191" i="6"/>
  <c r="A263" i="6" s="1"/>
  <c r="F192" i="6"/>
  <c r="F246" i="6" s="1"/>
  <c r="A209" i="6"/>
  <c r="F210" i="6"/>
  <c r="A227" i="6"/>
  <c r="F228" i="6"/>
  <c r="A245" i="6"/>
  <c r="B266" i="6"/>
  <c r="B267" i="6"/>
  <c r="B268" i="6"/>
  <c r="C85" i="16"/>
  <c r="C95" i="16"/>
  <c r="C90" i="16"/>
  <c r="E80" i="16"/>
  <c r="E75" i="16"/>
  <c r="C74" i="16"/>
  <c r="E70" i="16"/>
  <c r="C69" i="16"/>
  <c r="E65" i="16"/>
  <c r="C64" i="16"/>
  <c r="E55" i="16"/>
  <c r="E60" i="16"/>
  <c r="C54" i="16"/>
  <c r="C59" i="16"/>
  <c r="C39" i="16"/>
  <c r="AH300" i="10"/>
  <c r="F81" i="16" s="1"/>
  <c r="AH299" i="10"/>
  <c r="AE300" i="10"/>
  <c r="F76" i="16" s="1"/>
  <c r="AE299" i="10"/>
  <c r="AB300" i="10"/>
  <c r="F71" i="16" s="1"/>
  <c r="AB299" i="10"/>
  <c r="Y300" i="10"/>
  <c r="F66" i="16" s="1"/>
  <c r="Y299" i="10"/>
  <c r="V299" i="10"/>
  <c r="V300" i="10"/>
  <c r="F61" i="16" s="1"/>
  <c r="S299" i="10"/>
  <c r="S300" i="10"/>
  <c r="F56" i="16" s="1"/>
  <c r="F159" i="6"/>
  <c r="F147" i="6"/>
  <c r="F34" i="6"/>
  <c r="L246" i="10"/>
  <c r="L247" i="10"/>
  <c r="L248" i="10"/>
  <c r="L249" i="10"/>
  <c r="L250" i="10"/>
  <c r="L251" i="10"/>
  <c r="L252" i="10"/>
  <c r="L253" i="10"/>
  <c r="L254" i="10"/>
  <c r="L255" i="10"/>
  <c r="L256" i="10"/>
  <c r="L257" i="10"/>
  <c r="L258" i="10"/>
  <c r="L259" i="10"/>
  <c r="L260" i="10"/>
  <c r="L261" i="10"/>
  <c r="L262" i="10"/>
  <c r="L263" i="10"/>
  <c r="L245" i="10"/>
  <c r="J246" i="10"/>
  <c r="J247" i="10"/>
  <c r="J248" i="10"/>
  <c r="J249" i="10"/>
  <c r="J250" i="10"/>
  <c r="J251" i="10"/>
  <c r="J252" i="10"/>
  <c r="J253" i="10"/>
  <c r="J254" i="10"/>
  <c r="J255" i="10"/>
  <c r="J256" i="10"/>
  <c r="J257" i="10"/>
  <c r="J258" i="10"/>
  <c r="J259" i="10"/>
  <c r="J260" i="10"/>
  <c r="J261" i="10"/>
  <c r="J262" i="10"/>
  <c r="J263" i="10"/>
  <c r="J245" i="10"/>
  <c r="H246" i="10"/>
  <c r="H247" i="10"/>
  <c r="H248" i="10"/>
  <c r="H249" i="10"/>
  <c r="H250" i="10"/>
  <c r="H251" i="10"/>
  <c r="H252" i="10"/>
  <c r="H253" i="10"/>
  <c r="H254" i="10"/>
  <c r="H255" i="10"/>
  <c r="H256" i="10"/>
  <c r="H257" i="10"/>
  <c r="H258" i="10"/>
  <c r="H259" i="10"/>
  <c r="H260" i="10"/>
  <c r="H261" i="10"/>
  <c r="H262" i="10"/>
  <c r="H263" i="10"/>
  <c r="H245" i="10"/>
  <c r="F246" i="10"/>
  <c r="F247" i="10"/>
  <c r="F248" i="10"/>
  <c r="F249" i="10"/>
  <c r="F250" i="10"/>
  <c r="F251" i="10"/>
  <c r="F252" i="10"/>
  <c r="F253" i="10"/>
  <c r="F254" i="10"/>
  <c r="F255" i="10"/>
  <c r="F256" i="10"/>
  <c r="F257" i="10"/>
  <c r="F258" i="10"/>
  <c r="F259" i="10"/>
  <c r="F260" i="10"/>
  <c r="F261" i="10"/>
  <c r="F262" i="10"/>
  <c r="F263" i="10"/>
  <c r="F245" i="10"/>
  <c r="D246" i="10"/>
  <c r="D247" i="10"/>
  <c r="D248" i="10"/>
  <c r="D249" i="10"/>
  <c r="D250" i="10"/>
  <c r="D251" i="10"/>
  <c r="D252" i="10"/>
  <c r="D253" i="10"/>
  <c r="D254" i="10"/>
  <c r="D255" i="10"/>
  <c r="D256" i="10"/>
  <c r="D257" i="10"/>
  <c r="D258" i="10"/>
  <c r="D259" i="10"/>
  <c r="D260" i="10"/>
  <c r="D261" i="10"/>
  <c r="D262" i="10"/>
  <c r="D263" i="10"/>
  <c r="D245" i="10"/>
  <c r="B246" i="10"/>
  <c r="B247" i="10"/>
  <c r="B248" i="10"/>
  <c r="B249" i="10"/>
  <c r="B250" i="10"/>
  <c r="B251" i="10"/>
  <c r="B252" i="10"/>
  <c r="B253" i="10"/>
  <c r="B254" i="10"/>
  <c r="B255" i="10"/>
  <c r="B256" i="10"/>
  <c r="B257" i="10"/>
  <c r="B258" i="10"/>
  <c r="B259" i="10"/>
  <c r="B260" i="10"/>
  <c r="B261" i="10"/>
  <c r="B262" i="10"/>
  <c r="B263" i="10"/>
  <c r="B245" i="10"/>
  <c r="AN297" i="10"/>
  <c r="D91" i="16" s="1"/>
  <c r="D92" i="16" s="1"/>
  <c r="D80" i="16"/>
  <c r="D75" i="16"/>
  <c r="D70" i="16"/>
  <c r="D65" i="16"/>
  <c r="D60" i="16"/>
  <c r="D55" i="16"/>
  <c r="W2822" i="1"/>
  <c r="W2823" i="1"/>
  <c r="W2824" i="1"/>
  <c r="W2825" i="1"/>
  <c r="W2826" i="1"/>
  <c r="W2827" i="1"/>
  <c r="W2828" i="1"/>
  <c r="W2829" i="1"/>
  <c r="W2830" i="1"/>
  <c r="W2831" i="1"/>
  <c r="W2832" i="1"/>
  <c r="W2834" i="1"/>
  <c r="W2835" i="1"/>
  <c r="W2836" i="1"/>
  <c r="W2837" i="1"/>
  <c r="W2838" i="1"/>
  <c r="W2839" i="1"/>
  <c r="W2840" i="1"/>
  <c r="W2841" i="1"/>
  <c r="W2821" i="1"/>
  <c r="W2820" i="1"/>
  <c r="W2797" i="1"/>
  <c r="W2798" i="1"/>
  <c r="W2799" i="1"/>
  <c r="W2800" i="1"/>
  <c r="W2801" i="1"/>
  <c r="W2802" i="1"/>
  <c r="W2803" i="1"/>
  <c r="W2804" i="1"/>
  <c r="W2805" i="1"/>
  <c r="W2806" i="1"/>
  <c r="W2807" i="1"/>
  <c r="W2809" i="1"/>
  <c r="W2810" i="1"/>
  <c r="W2811" i="1"/>
  <c r="W2812" i="1"/>
  <c r="W2813" i="1"/>
  <c r="W2814" i="1"/>
  <c r="W2815" i="1"/>
  <c r="W2816" i="1"/>
  <c r="W2796" i="1"/>
  <c r="W2795" i="1"/>
  <c r="W2772" i="1"/>
  <c r="W2773" i="1"/>
  <c r="W2774" i="1"/>
  <c r="W2775" i="1"/>
  <c r="W2776" i="1"/>
  <c r="W2777" i="1"/>
  <c r="W2779" i="1"/>
  <c r="W2780" i="1"/>
  <c r="W2781" i="1"/>
  <c r="W2782" i="1"/>
  <c r="W2784" i="1"/>
  <c r="W2785" i="1"/>
  <c r="W2786" i="1"/>
  <c r="W2787" i="1"/>
  <c r="W2788" i="1"/>
  <c r="W2789" i="1"/>
  <c r="W2790" i="1"/>
  <c r="W2791" i="1"/>
  <c r="W2771" i="1"/>
  <c r="W2770" i="1"/>
  <c r="W2747" i="1"/>
  <c r="W2748" i="1"/>
  <c r="W2749" i="1"/>
  <c r="W2750" i="1"/>
  <c r="W2751" i="1"/>
  <c r="W2752" i="1"/>
  <c r="W2753" i="1"/>
  <c r="W2754" i="1"/>
  <c r="W2755" i="1"/>
  <c r="W2756" i="1"/>
  <c r="W2757" i="1"/>
  <c r="W2759" i="1"/>
  <c r="W2760" i="1"/>
  <c r="W2761" i="1"/>
  <c r="W2762" i="1"/>
  <c r="W2763" i="1"/>
  <c r="W2764" i="1"/>
  <c r="W2765" i="1"/>
  <c r="W2766" i="1"/>
  <c r="W2746" i="1"/>
  <c r="W2745" i="1"/>
  <c r="W2722" i="1"/>
  <c r="W2723" i="1"/>
  <c r="W2724" i="1"/>
  <c r="W2725" i="1"/>
  <c r="W2726" i="1"/>
  <c r="W2727" i="1"/>
  <c r="W2728" i="1"/>
  <c r="W2729" i="1"/>
  <c r="W2730" i="1"/>
  <c r="W2731" i="1"/>
  <c r="W2732" i="1"/>
  <c r="W2734" i="1"/>
  <c r="W2735" i="1"/>
  <c r="W2736" i="1"/>
  <c r="W2737" i="1"/>
  <c r="W2738" i="1"/>
  <c r="W2739" i="1"/>
  <c r="W2740" i="1"/>
  <c r="W2741" i="1"/>
  <c r="W2721" i="1"/>
  <c r="W2720" i="1"/>
  <c r="W2672" i="1"/>
  <c r="W2673" i="1"/>
  <c r="W2674" i="1"/>
  <c r="F14" i="11" s="1"/>
  <c r="I14" i="11" s="1"/>
  <c r="W2675" i="1"/>
  <c r="W2676" i="1"/>
  <c r="W2677" i="1"/>
  <c r="W2678" i="1"/>
  <c r="W2679" i="1"/>
  <c r="W2680" i="1"/>
  <c r="W2681" i="1"/>
  <c r="W2682" i="1"/>
  <c r="W2684" i="1"/>
  <c r="W2685" i="1"/>
  <c r="F26" i="11" s="1"/>
  <c r="I26" i="11" s="1"/>
  <c r="W2686" i="1"/>
  <c r="W2687" i="1"/>
  <c r="W2688" i="1"/>
  <c r="W2689" i="1"/>
  <c r="W2690" i="1"/>
  <c r="W2691" i="1"/>
  <c r="W2671" i="1"/>
  <c r="W2670" i="1"/>
  <c r="W2709" i="1"/>
  <c r="W2710" i="1"/>
  <c r="F56" i="11" s="1"/>
  <c r="I56" i="11" s="1"/>
  <c r="W2711" i="1"/>
  <c r="W2712" i="1"/>
  <c r="W2713" i="1"/>
  <c r="W2714" i="1"/>
  <c r="W2715" i="1"/>
  <c r="W2716" i="1"/>
  <c r="W2697" i="1"/>
  <c r="W2698" i="1"/>
  <c r="W2699" i="1"/>
  <c r="F44" i="11" s="1"/>
  <c r="I44" i="11" s="1"/>
  <c r="W2700" i="1"/>
  <c r="W2701" i="1"/>
  <c r="W2702" i="1"/>
  <c r="W2703" i="1"/>
  <c r="W2704" i="1"/>
  <c r="W2705" i="1"/>
  <c r="W2706" i="1"/>
  <c r="W2707" i="1"/>
  <c r="W2696" i="1"/>
  <c r="W2695" i="1"/>
  <c r="AK297" i="10"/>
  <c r="D86" i="16" s="1"/>
  <c r="D87" i="16" s="1"/>
  <c r="L121" i="10"/>
  <c r="M121" i="10"/>
  <c r="L124" i="10"/>
  <c r="M124" i="10"/>
  <c r="L125" i="10"/>
  <c r="M125" i="10"/>
  <c r="L126" i="10"/>
  <c r="M126" i="10"/>
  <c r="L127" i="10"/>
  <c r="M127" i="10"/>
  <c r="L128" i="10"/>
  <c r="M128" i="10"/>
  <c r="L132" i="10"/>
  <c r="M132" i="10"/>
  <c r="L133" i="10"/>
  <c r="M133" i="10"/>
  <c r="L134" i="10"/>
  <c r="M134" i="10"/>
  <c r="L136" i="10"/>
  <c r="M136" i="10"/>
  <c r="J121" i="10"/>
  <c r="K121" i="10"/>
  <c r="J124" i="10"/>
  <c r="K124" i="10"/>
  <c r="J125" i="10"/>
  <c r="K125" i="10"/>
  <c r="J126" i="10"/>
  <c r="K126" i="10"/>
  <c r="J127" i="10"/>
  <c r="K127" i="10"/>
  <c r="J128" i="10"/>
  <c r="K128" i="10"/>
  <c r="J132" i="10"/>
  <c r="K132" i="10"/>
  <c r="J133" i="10"/>
  <c r="K133" i="10"/>
  <c r="J134" i="10"/>
  <c r="K134" i="10"/>
  <c r="J136" i="10"/>
  <c r="K136" i="10"/>
  <c r="H121" i="10"/>
  <c r="I121" i="10"/>
  <c r="H124" i="10"/>
  <c r="I124" i="10"/>
  <c r="H125" i="10"/>
  <c r="I125" i="10"/>
  <c r="H126" i="10"/>
  <c r="I126" i="10"/>
  <c r="H127" i="10"/>
  <c r="I127" i="10"/>
  <c r="H128" i="10"/>
  <c r="I128" i="10"/>
  <c r="H132" i="10"/>
  <c r="I132" i="10"/>
  <c r="H133" i="10"/>
  <c r="I133" i="10"/>
  <c r="H134" i="10"/>
  <c r="I134" i="10"/>
  <c r="H136" i="10"/>
  <c r="I136" i="10"/>
  <c r="D121" i="10"/>
  <c r="E121" i="10"/>
  <c r="D124" i="10"/>
  <c r="E124" i="10"/>
  <c r="D125" i="10"/>
  <c r="E125" i="10"/>
  <c r="D126" i="10"/>
  <c r="E126" i="10"/>
  <c r="D127" i="10"/>
  <c r="E127" i="10"/>
  <c r="D128" i="10"/>
  <c r="E128" i="10"/>
  <c r="D132" i="10"/>
  <c r="E132" i="10"/>
  <c r="D133" i="10"/>
  <c r="E133" i="10"/>
  <c r="D134" i="10"/>
  <c r="E134" i="10"/>
  <c r="D136" i="10"/>
  <c r="E136" i="10"/>
  <c r="B121" i="10"/>
  <c r="C121" i="10"/>
  <c r="B124" i="10"/>
  <c r="C124" i="10"/>
  <c r="B125" i="10"/>
  <c r="C125" i="10"/>
  <c r="B126" i="10"/>
  <c r="C126" i="10"/>
  <c r="B127" i="10"/>
  <c r="C127" i="10"/>
  <c r="B128" i="10"/>
  <c r="C128" i="10"/>
  <c r="B132" i="10"/>
  <c r="C132" i="10"/>
  <c r="B133" i="10"/>
  <c r="C133" i="10"/>
  <c r="B134" i="10"/>
  <c r="C134" i="10"/>
  <c r="B136" i="10"/>
  <c r="C136" i="10"/>
  <c r="X2839" i="1"/>
  <c r="Y2839" i="1"/>
  <c r="X2840" i="1"/>
  <c r="Y2840" i="1"/>
  <c r="X2841" i="1"/>
  <c r="Y2841" i="1"/>
  <c r="X2814" i="1"/>
  <c r="Y2814" i="1"/>
  <c r="X2815" i="1"/>
  <c r="Y2815" i="1"/>
  <c r="X2816" i="1"/>
  <c r="Y2816" i="1"/>
  <c r="X2765" i="1"/>
  <c r="Y2765" i="1"/>
  <c r="X2766" i="1"/>
  <c r="Y2766" i="1"/>
  <c r="X2714" i="1"/>
  <c r="Y2714" i="1"/>
  <c r="X2715" i="1"/>
  <c r="Y2715" i="1"/>
  <c r="X2716" i="1"/>
  <c r="Y2716" i="1"/>
  <c r="X2738" i="1"/>
  <c r="Y2738" i="1"/>
  <c r="X2739" i="1"/>
  <c r="Y2739" i="1"/>
  <c r="X2740" i="1"/>
  <c r="Y2740" i="1"/>
  <c r="X2741" i="1"/>
  <c r="Y2741" i="1"/>
  <c r="X2689" i="1"/>
  <c r="Y2689" i="1"/>
  <c r="X2690" i="1"/>
  <c r="Y2690" i="1"/>
  <c r="X2691" i="1"/>
  <c r="Y2691" i="1"/>
  <c r="R2839" i="1"/>
  <c r="S2839" i="1"/>
  <c r="T2839" i="1"/>
  <c r="G210" i="11" s="1"/>
  <c r="N210" i="11" s="1"/>
  <c r="U2839" i="1"/>
  <c r="R2841" i="1"/>
  <c r="S2841" i="1"/>
  <c r="T2841" i="1"/>
  <c r="G212" i="11" s="1"/>
  <c r="N212" i="11" s="1"/>
  <c r="U2841" i="1"/>
  <c r="R2840" i="1"/>
  <c r="S2840" i="1"/>
  <c r="T2840" i="1"/>
  <c r="G211" i="11" s="1"/>
  <c r="K211" i="11" s="1"/>
  <c r="L211" i="11" s="1"/>
  <c r="U2840" i="1"/>
  <c r="R2838" i="1"/>
  <c r="S2838" i="1"/>
  <c r="T2838" i="1"/>
  <c r="G209" i="11" s="1"/>
  <c r="U2838" i="1"/>
  <c r="Q2837" i="1"/>
  <c r="Q2839" i="1"/>
  <c r="Q2841" i="1"/>
  <c r="Q2840" i="1"/>
  <c r="G180" i="11"/>
  <c r="G32" i="11"/>
  <c r="K32" i="11" s="1"/>
  <c r="L32" i="11" s="1"/>
  <c r="G62" i="11"/>
  <c r="G61" i="11"/>
  <c r="N61" i="11" s="1"/>
  <c r="O61" i="11" s="1"/>
  <c r="G148" i="11"/>
  <c r="N148" i="11" s="1"/>
  <c r="G150" i="11"/>
  <c r="G152" i="11"/>
  <c r="K152" i="11" s="1"/>
  <c r="L152" i="11" s="1"/>
  <c r="G151" i="11"/>
  <c r="G122" i="11"/>
  <c r="N122" i="11" s="1"/>
  <c r="G90" i="11"/>
  <c r="G92" i="11"/>
  <c r="K92" i="11" s="1"/>
  <c r="L92" i="11" s="1"/>
  <c r="G91" i="11"/>
  <c r="X2790" i="1"/>
  <c r="Y2790" i="1"/>
  <c r="R2832" i="1"/>
  <c r="S2832" i="1"/>
  <c r="T2832" i="1"/>
  <c r="U2832" i="1"/>
  <c r="Q2832" i="1"/>
  <c r="G172" i="11"/>
  <c r="K172" i="11" s="1"/>
  <c r="L172" i="11" s="1"/>
  <c r="G142" i="11"/>
  <c r="G112" i="11"/>
  <c r="K112" i="11" s="1"/>
  <c r="L112" i="11" s="1"/>
  <c r="Y2732" i="1"/>
  <c r="X2732" i="1"/>
  <c r="G82" i="11"/>
  <c r="N82" i="11" s="1"/>
  <c r="Y2682" i="1"/>
  <c r="X2682" i="1"/>
  <c r="G22" i="11"/>
  <c r="N22" i="11" s="1"/>
  <c r="O22" i="11" s="1"/>
  <c r="A33" i="6"/>
  <c r="A51" i="6" s="1"/>
  <c r="A71" i="6" s="1"/>
  <c r="A89" i="6" s="1"/>
  <c r="A108" i="6" s="1"/>
  <c r="A126" i="6" s="1"/>
  <c r="A146" i="6" s="1"/>
  <c r="A158" i="6" s="1"/>
  <c r="K133" i="12"/>
  <c r="K132" i="12"/>
  <c r="K16" i="12" s="1"/>
  <c r="N16" i="12" s="1"/>
  <c r="O16" i="12" s="1"/>
  <c r="K131" i="12"/>
  <c r="K11" i="12" s="1"/>
  <c r="N11" i="12" s="1"/>
  <c r="O11" i="12" s="1"/>
  <c r="K130" i="12"/>
  <c r="K6" i="12"/>
  <c r="N6" i="12" s="1"/>
  <c r="K127" i="12"/>
  <c r="K13" i="12"/>
  <c r="N13" i="12" s="1"/>
  <c r="K126" i="12"/>
  <c r="K125" i="12"/>
  <c r="K17" i="12" s="1"/>
  <c r="N17" i="12" s="1"/>
  <c r="K124" i="12"/>
  <c r="K12" i="12" s="1"/>
  <c r="N12" i="12" s="1"/>
  <c r="K123" i="12"/>
  <c r="K8" i="12" s="1"/>
  <c r="N8" i="12" s="1"/>
  <c r="K122" i="12"/>
  <c r="K121" i="12"/>
  <c r="K120" i="12"/>
  <c r="K15" i="12" s="1"/>
  <c r="N15" i="12"/>
  <c r="K119" i="12"/>
  <c r="K14" i="12" s="1"/>
  <c r="N14" i="12" s="1"/>
  <c r="K118" i="12"/>
  <c r="K117" i="12"/>
  <c r="K7" i="12" s="1"/>
  <c r="N7" i="12" s="1"/>
  <c r="K116" i="12"/>
  <c r="K5" i="12" s="1"/>
  <c r="N5" i="12" s="1"/>
  <c r="O5" i="12" s="1"/>
  <c r="Y2672" i="1"/>
  <c r="K55" i="12"/>
  <c r="M55" i="12"/>
  <c r="K53" i="12"/>
  <c r="M53" i="12"/>
  <c r="N53" i="12" s="1"/>
  <c r="K51" i="12"/>
  <c r="M51" i="12" s="1"/>
  <c r="K48" i="12"/>
  <c r="M48" i="12" s="1"/>
  <c r="K45" i="12"/>
  <c r="M45" i="12"/>
  <c r="N45" i="12" s="1"/>
  <c r="K43" i="12"/>
  <c r="M43" i="12" s="1"/>
  <c r="K42" i="12"/>
  <c r="M42" i="12"/>
  <c r="K41" i="12"/>
  <c r="M41" i="12"/>
  <c r="K40" i="12"/>
  <c r="M40" i="12"/>
  <c r="K39" i="12"/>
  <c r="M39" i="12" s="1"/>
  <c r="K36" i="12"/>
  <c r="M36" i="12" s="1"/>
  <c r="N36" i="12" s="1"/>
  <c r="K35" i="12"/>
  <c r="M35" i="12"/>
  <c r="K34" i="12"/>
  <c r="M34" i="12"/>
  <c r="K33" i="12"/>
  <c r="M33" i="12" s="1"/>
  <c r="K83" i="12"/>
  <c r="M83" i="12" s="1"/>
  <c r="N83" i="12" s="1"/>
  <c r="K81" i="12"/>
  <c r="M81" i="12"/>
  <c r="K79" i="12"/>
  <c r="M79" i="12"/>
  <c r="K76" i="12"/>
  <c r="M76" i="12" s="1"/>
  <c r="K73" i="12"/>
  <c r="M73" i="12" s="1"/>
  <c r="K71" i="12"/>
  <c r="M71" i="12"/>
  <c r="N71" i="12" s="1"/>
  <c r="K70" i="12"/>
  <c r="M70" i="12"/>
  <c r="K69" i="12"/>
  <c r="M69" i="12" s="1"/>
  <c r="K68" i="12"/>
  <c r="M68" i="12" s="1"/>
  <c r="K67" i="12"/>
  <c r="M67" i="12" s="1"/>
  <c r="K64" i="12"/>
  <c r="M64" i="12" s="1"/>
  <c r="K63" i="12"/>
  <c r="M63" i="12"/>
  <c r="N63" i="12" s="1"/>
  <c r="K62" i="12"/>
  <c r="M62" i="12"/>
  <c r="K61" i="12"/>
  <c r="M61" i="12"/>
  <c r="K223" i="12"/>
  <c r="J83" i="12" s="1"/>
  <c r="K222" i="12"/>
  <c r="J81" i="12" s="1"/>
  <c r="K196" i="12"/>
  <c r="J55" i="12"/>
  <c r="K195" i="12"/>
  <c r="J53" i="12"/>
  <c r="K215" i="12"/>
  <c r="J73" i="12"/>
  <c r="K188" i="12"/>
  <c r="J45" i="12" s="1"/>
  <c r="L27" i="12"/>
  <c r="N27" i="12" s="1"/>
  <c r="K169" i="12"/>
  <c r="J27" i="12" s="1"/>
  <c r="K168" i="12"/>
  <c r="J25" i="12"/>
  <c r="N25" i="12" s="1"/>
  <c r="L17" i="12"/>
  <c r="K203" i="12"/>
  <c r="J62" i="12" s="1"/>
  <c r="K204" i="12"/>
  <c r="J63" i="12" s="1"/>
  <c r="K205" i="12"/>
  <c r="J64" i="12"/>
  <c r="K207" i="12"/>
  <c r="J65" i="12" s="1"/>
  <c r="M65" i="12" s="1"/>
  <c r="K209" i="12"/>
  <c r="J67" i="12"/>
  <c r="K210" i="12"/>
  <c r="J68" i="12" s="1"/>
  <c r="K211" i="12"/>
  <c r="J69" i="12" s="1"/>
  <c r="K212" i="12"/>
  <c r="J70" i="12"/>
  <c r="K213" i="12"/>
  <c r="J71" i="12"/>
  <c r="K214" i="12"/>
  <c r="J72" i="12"/>
  <c r="M72" i="12" s="1"/>
  <c r="K218" i="12"/>
  <c r="J76" i="12"/>
  <c r="K219" i="12"/>
  <c r="J77" i="12"/>
  <c r="M77" i="12" s="1"/>
  <c r="N77" i="12" s="1"/>
  <c r="K220" i="12"/>
  <c r="J82" i="12" s="1"/>
  <c r="M82" i="12" s="1"/>
  <c r="K221" i="12"/>
  <c r="J79" i="12" s="1"/>
  <c r="K202" i="12"/>
  <c r="J61" i="12" s="1"/>
  <c r="K176" i="12"/>
  <c r="J34" i="12"/>
  <c r="K177" i="12"/>
  <c r="J35" i="12" s="1"/>
  <c r="K178" i="12"/>
  <c r="J36" i="12" s="1"/>
  <c r="K180" i="12"/>
  <c r="J37" i="12" s="1"/>
  <c r="M37" i="12"/>
  <c r="N37" i="12" s="1"/>
  <c r="K182" i="12"/>
  <c r="J39" i="12"/>
  <c r="K183" i="12"/>
  <c r="J40" i="12"/>
  <c r="K184" i="12"/>
  <c r="J41" i="12" s="1"/>
  <c r="K185" i="12"/>
  <c r="J42" i="12" s="1"/>
  <c r="K186" i="12"/>
  <c r="J43" i="12"/>
  <c r="K187" i="12"/>
  <c r="J44" i="12"/>
  <c r="M44" i="12" s="1"/>
  <c r="K191" i="12"/>
  <c r="J48" i="12"/>
  <c r="K192" i="12"/>
  <c r="J49" i="12" s="1"/>
  <c r="M49" i="12" s="1"/>
  <c r="K193" i="12"/>
  <c r="J54" i="12"/>
  <c r="M54" i="12" s="1"/>
  <c r="N54" i="12" s="1"/>
  <c r="K194" i="12"/>
  <c r="J51" i="12" s="1"/>
  <c r="K175" i="12"/>
  <c r="J33" i="12"/>
  <c r="L13" i="12"/>
  <c r="L23" i="12"/>
  <c r="N23" i="12" s="1"/>
  <c r="L20" i="12"/>
  <c r="N20" i="12"/>
  <c r="L15" i="12"/>
  <c r="L14" i="12"/>
  <c r="L12" i="12"/>
  <c r="L11" i="12"/>
  <c r="L8" i="12"/>
  <c r="L7" i="12"/>
  <c r="L6" i="12"/>
  <c r="K149" i="12"/>
  <c r="J6" i="12" s="1"/>
  <c r="K151" i="12"/>
  <c r="J8" i="12"/>
  <c r="K153" i="12"/>
  <c r="J9" i="12"/>
  <c r="N9" i="12" s="1"/>
  <c r="K156" i="12"/>
  <c r="J12" i="12"/>
  <c r="K157" i="12"/>
  <c r="J13" i="12" s="1"/>
  <c r="K158" i="12"/>
  <c r="J14" i="12" s="1"/>
  <c r="K159" i="12"/>
  <c r="J15" i="12" s="1"/>
  <c r="K160" i="12"/>
  <c r="J16" i="12"/>
  <c r="K164" i="12"/>
  <c r="J20" i="12" s="1"/>
  <c r="K165" i="12"/>
  <c r="J21" i="12" s="1"/>
  <c r="N21" i="12" s="1"/>
  <c r="O21" i="12" s="1"/>
  <c r="K166" i="12"/>
  <c r="K167" i="12"/>
  <c r="J23" i="12" s="1"/>
  <c r="K148" i="12"/>
  <c r="J5" i="12"/>
  <c r="L5" i="12"/>
  <c r="K52" i="10"/>
  <c r="X2684" i="1"/>
  <c r="Y2684" i="1"/>
  <c r="X2821" i="1"/>
  <c r="Y2821" i="1"/>
  <c r="X2822" i="1"/>
  <c r="Y2822" i="1"/>
  <c r="X2823" i="1"/>
  <c r="Y2823" i="1"/>
  <c r="X2838" i="1"/>
  <c r="Y2838" i="1"/>
  <c r="X2824" i="1"/>
  <c r="Y2824" i="1"/>
  <c r="X2825" i="1"/>
  <c r="Y2825" i="1"/>
  <c r="X2826" i="1"/>
  <c r="Y2826" i="1"/>
  <c r="X2827" i="1"/>
  <c r="Y2827" i="1"/>
  <c r="X2828" i="1"/>
  <c r="Y2828" i="1"/>
  <c r="X2829" i="1"/>
  <c r="Y2829" i="1"/>
  <c r="X2830" i="1"/>
  <c r="Y2830" i="1"/>
  <c r="X2831" i="1"/>
  <c r="Y2831" i="1"/>
  <c r="X2834" i="1"/>
  <c r="Y2834" i="1"/>
  <c r="X2835" i="1"/>
  <c r="Y2835" i="1"/>
  <c r="X2836" i="1"/>
  <c r="Y2836" i="1"/>
  <c r="X2837" i="1"/>
  <c r="Y2837" i="1"/>
  <c r="Y2820" i="1"/>
  <c r="X2820" i="1"/>
  <c r="X2796" i="1"/>
  <c r="Y2796" i="1"/>
  <c r="X2797" i="1"/>
  <c r="Y2797" i="1"/>
  <c r="X2798" i="1"/>
  <c r="Y2798" i="1"/>
  <c r="X2813" i="1"/>
  <c r="Y2813" i="1"/>
  <c r="X2799" i="1"/>
  <c r="Y2799" i="1"/>
  <c r="X2800" i="1"/>
  <c r="Y2800" i="1"/>
  <c r="X2801" i="1"/>
  <c r="Y2801" i="1"/>
  <c r="X2802" i="1"/>
  <c r="Y2802" i="1"/>
  <c r="X2803" i="1"/>
  <c r="Y2803" i="1"/>
  <c r="X2804" i="1"/>
  <c r="Y2804" i="1"/>
  <c r="X2805" i="1"/>
  <c r="Y2805" i="1"/>
  <c r="X2806" i="1"/>
  <c r="Y2806" i="1"/>
  <c r="X2809" i="1"/>
  <c r="Y2809" i="1"/>
  <c r="X2810" i="1"/>
  <c r="Y2810" i="1"/>
  <c r="X2811" i="1"/>
  <c r="Y2811" i="1"/>
  <c r="X2812" i="1"/>
  <c r="Y2812" i="1"/>
  <c r="Y2795" i="1"/>
  <c r="X2795" i="1"/>
  <c r="X2771" i="1"/>
  <c r="Y2771" i="1"/>
  <c r="X2772" i="1"/>
  <c r="Y2772" i="1"/>
  <c r="X2788" i="1"/>
  <c r="Y2788" i="1"/>
  <c r="X2774" i="1"/>
  <c r="Y2774" i="1"/>
  <c r="X2775" i="1"/>
  <c r="Y2775" i="1"/>
  <c r="X2776" i="1"/>
  <c r="Y2776" i="1"/>
  <c r="X2777" i="1"/>
  <c r="Y2777" i="1"/>
  <c r="X2778" i="1"/>
  <c r="Y2778" i="1"/>
  <c r="X2779" i="1"/>
  <c r="Y2779" i="1"/>
  <c r="X2780" i="1"/>
  <c r="Y2780" i="1"/>
  <c r="X2781" i="1"/>
  <c r="Y2781" i="1"/>
  <c r="X2784" i="1"/>
  <c r="Y2784" i="1"/>
  <c r="X2785" i="1"/>
  <c r="Y2785" i="1"/>
  <c r="X2786" i="1"/>
  <c r="Y2786" i="1"/>
  <c r="X2787" i="1"/>
  <c r="Y2787" i="1"/>
  <c r="X2789" i="1"/>
  <c r="Y2789" i="1"/>
  <c r="X2791" i="1"/>
  <c r="Y2791" i="1"/>
  <c r="Y2770" i="1"/>
  <c r="X2770" i="1"/>
  <c r="X2746" i="1"/>
  <c r="Y2746" i="1"/>
  <c r="X2747" i="1"/>
  <c r="Y2747" i="1"/>
  <c r="X2748" i="1"/>
  <c r="Y2748" i="1"/>
  <c r="X2763" i="1"/>
  <c r="Y2763" i="1"/>
  <c r="X2749" i="1"/>
  <c r="Y2749" i="1"/>
  <c r="X2750" i="1"/>
  <c r="Y2750" i="1"/>
  <c r="X2751" i="1"/>
  <c r="Y2751" i="1"/>
  <c r="X2752" i="1"/>
  <c r="Y2752" i="1"/>
  <c r="X2753" i="1"/>
  <c r="Y2753" i="1"/>
  <c r="X2754" i="1"/>
  <c r="Y2754" i="1"/>
  <c r="X2755" i="1"/>
  <c r="Y2755" i="1"/>
  <c r="X2756" i="1"/>
  <c r="Y2756" i="1"/>
  <c r="X2759" i="1"/>
  <c r="Y2759" i="1"/>
  <c r="X2760" i="1"/>
  <c r="Y2760" i="1"/>
  <c r="X2761" i="1"/>
  <c r="Y2761" i="1"/>
  <c r="X2762" i="1"/>
  <c r="Y2762" i="1"/>
  <c r="X2764" i="1"/>
  <c r="Y2764" i="1"/>
  <c r="X2745" i="1"/>
  <c r="Y2745" i="1"/>
  <c r="X2721" i="1"/>
  <c r="Y2721" i="1"/>
  <c r="X2722" i="1"/>
  <c r="Y2722" i="1"/>
  <c r="X2723" i="1"/>
  <c r="Y2723" i="1"/>
  <c r="X2724" i="1"/>
  <c r="Y2724" i="1"/>
  <c r="X2725" i="1"/>
  <c r="Y2725" i="1"/>
  <c r="X2726" i="1"/>
  <c r="Y2726" i="1"/>
  <c r="X2727" i="1"/>
  <c r="Y2727" i="1"/>
  <c r="X2728" i="1"/>
  <c r="Y2728" i="1"/>
  <c r="X2729" i="1"/>
  <c r="Y2729" i="1"/>
  <c r="X2730" i="1"/>
  <c r="Y2730" i="1"/>
  <c r="X2731" i="1"/>
  <c r="Y2731" i="1"/>
  <c r="X2734" i="1"/>
  <c r="Y2734" i="1"/>
  <c r="X2735" i="1"/>
  <c r="Y2735" i="1"/>
  <c r="X2736" i="1"/>
  <c r="Y2736" i="1"/>
  <c r="X2737" i="1"/>
  <c r="Y2737" i="1"/>
  <c r="Y2720" i="1"/>
  <c r="X2720" i="1"/>
  <c r="X2696" i="1"/>
  <c r="Y2696" i="1"/>
  <c r="X2697" i="1"/>
  <c r="Y2697" i="1"/>
  <c r="X2713" i="1"/>
  <c r="Y2713" i="1"/>
  <c r="X2699" i="1"/>
  <c r="Y2699" i="1"/>
  <c r="X2700" i="1"/>
  <c r="Y2700" i="1"/>
  <c r="X2701" i="1"/>
  <c r="Y2701" i="1"/>
  <c r="X2702" i="1"/>
  <c r="Y2702" i="1"/>
  <c r="X2703" i="1"/>
  <c r="Y2703" i="1"/>
  <c r="X2704" i="1"/>
  <c r="Y2704" i="1"/>
  <c r="X2705" i="1"/>
  <c r="Y2705" i="1"/>
  <c r="X2706" i="1"/>
  <c r="Y2706" i="1"/>
  <c r="X2707" i="1"/>
  <c r="Y2707" i="1"/>
  <c r="X2709" i="1"/>
  <c r="Y2709" i="1"/>
  <c r="X2710" i="1"/>
  <c r="Y2710" i="1"/>
  <c r="X2711" i="1"/>
  <c r="Y2711" i="1"/>
  <c r="X2712" i="1"/>
  <c r="Y2712" i="1"/>
  <c r="Y2695" i="1"/>
  <c r="X2695" i="1"/>
  <c r="X2671" i="1"/>
  <c r="Y2671" i="1"/>
  <c r="X2672" i="1"/>
  <c r="X2688" i="1"/>
  <c r="Y2688" i="1"/>
  <c r="X2674" i="1"/>
  <c r="Y2674" i="1"/>
  <c r="X2675" i="1"/>
  <c r="Y2675" i="1"/>
  <c r="X2676" i="1"/>
  <c r="Y2676" i="1"/>
  <c r="X2677" i="1"/>
  <c r="Y2677" i="1"/>
  <c r="X2678" i="1"/>
  <c r="Y2678" i="1"/>
  <c r="X2679" i="1"/>
  <c r="Y2679" i="1"/>
  <c r="X2680" i="1"/>
  <c r="Y2680" i="1"/>
  <c r="X2681" i="1"/>
  <c r="Y2681" i="1"/>
  <c r="X2685" i="1"/>
  <c r="Y2685" i="1"/>
  <c r="X2686" i="1"/>
  <c r="Y2686" i="1"/>
  <c r="X2687" i="1"/>
  <c r="Y2687" i="1"/>
  <c r="Y2670" i="1"/>
  <c r="X2670" i="1"/>
  <c r="G191" i="11"/>
  <c r="K191" i="11" s="1"/>
  <c r="L191" i="11" s="1"/>
  <c r="G193" i="11"/>
  <c r="N193" i="11" s="1"/>
  <c r="Q2838" i="1"/>
  <c r="G194" i="11"/>
  <c r="Q2825" i="1"/>
  <c r="R2825" i="1"/>
  <c r="S2825" i="1"/>
  <c r="T2825" i="1"/>
  <c r="G195" i="11" s="1"/>
  <c r="U2825" i="1"/>
  <c r="Q2826" i="1"/>
  <c r="R2826" i="1"/>
  <c r="S2826" i="1"/>
  <c r="T2826" i="1"/>
  <c r="U2826" i="1"/>
  <c r="Q2827" i="1"/>
  <c r="R2827" i="1"/>
  <c r="S2827" i="1"/>
  <c r="T2827" i="1"/>
  <c r="G197" i="11" s="1"/>
  <c r="U2827" i="1"/>
  <c r="Q2828" i="1"/>
  <c r="R2828" i="1"/>
  <c r="S2828" i="1"/>
  <c r="T2828" i="1"/>
  <c r="U2828" i="1"/>
  <c r="Q2829" i="1"/>
  <c r="R2829" i="1"/>
  <c r="S2829" i="1"/>
  <c r="T2829" i="1"/>
  <c r="U2829" i="1"/>
  <c r="Q2830" i="1"/>
  <c r="R2830" i="1"/>
  <c r="S2830" i="1"/>
  <c r="T2830" i="1"/>
  <c r="U2830" i="1"/>
  <c r="Q2831" i="1"/>
  <c r="R2831" i="1"/>
  <c r="S2831" i="1"/>
  <c r="T2831" i="1"/>
  <c r="G201" i="11" s="1"/>
  <c r="U2831" i="1"/>
  <c r="Q2834" i="1"/>
  <c r="R2834" i="1"/>
  <c r="S2834" i="1"/>
  <c r="T2834" i="1"/>
  <c r="G205" i="11" s="1"/>
  <c r="N205" i="11" s="1"/>
  <c r="U2834" i="1"/>
  <c r="Q2835" i="1"/>
  <c r="R2835" i="1"/>
  <c r="S2835" i="1"/>
  <c r="T2835" i="1"/>
  <c r="G206" i="11" s="1"/>
  <c r="N206" i="11" s="1"/>
  <c r="O206" i="11" s="1"/>
  <c r="U2835" i="1"/>
  <c r="Q2836" i="1"/>
  <c r="R2836" i="1"/>
  <c r="S2836" i="1"/>
  <c r="T2836" i="1"/>
  <c r="U2836" i="1"/>
  <c r="R2837" i="1"/>
  <c r="S2837" i="1"/>
  <c r="T2837" i="1"/>
  <c r="G208" i="11" s="1"/>
  <c r="N208" i="11" s="1"/>
  <c r="U2837" i="1"/>
  <c r="G190" i="11"/>
  <c r="N190" i="11" s="1"/>
  <c r="G161" i="11"/>
  <c r="K161" i="11" s="1"/>
  <c r="L161" i="11" s="1"/>
  <c r="G162" i="11"/>
  <c r="K162" i="11" s="1"/>
  <c r="L162" i="11" s="1"/>
  <c r="G163" i="11"/>
  <c r="N163" i="11" s="1"/>
  <c r="G179" i="11"/>
  <c r="G164" i="11"/>
  <c r="N164" i="11" s="1"/>
  <c r="O164" i="11" s="1"/>
  <c r="G165" i="11"/>
  <c r="G166" i="11"/>
  <c r="N166" i="11" s="1"/>
  <c r="G167" i="11"/>
  <c r="N167" i="11" s="1"/>
  <c r="G169" i="11"/>
  <c r="N169" i="11" s="1"/>
  <c r="G170" i="11"/>
  <c r="N170" i="11" s="1"/>
  <c r="G175" i="11"/>
  <c r="G176" i="11"/>
  <c r="N176" i="11" s="1"/>
  <c r="G178" i="11"/>
  <c r="N178" i="11" s="1"/>
  <c r="O178" i="11" s="1"/>
  <c r="G160" i="11"/>
  <c r="N160" i="11" s="1"/>
  <c r="G132" i="11"/>
  <c r="G134" i="11"/>
  <c r="N134" i="11" s="1"/>
  <c r="G135" i="11"/>
  <c r="G136" i="11"/>
  <c r="N136" i="11" s="1"/>
  <c r="G138" i="11"/>
  <c r="K138" i="11" s="1"/>
  <c r="L138" i="11" s="1"/>
  <c r="G140" i="11"/>
  <c r="N140" i="11" s="1"/>
  <c r="G146" i="11"/>
  <c r="G130" i="11"/>
  <c r="N130" i="11" s="1"/>
  <c r="G102" i="11"/>
  <c r="N102" i="11" s="1"/>
  <c r="G103" i="11"/>
  <c r="N103" i="11" s="1"/>
  <c r="G119" i="11"/>
  <c r="G105" i="11"/>
  <c r="G107" i="11"/>
  <c r="K107" i="11" s="1"/>
  <c r="L107" i="11" s="1"/>
  <c r="G108" i="11"/>
  <c r="G109" i="11"/>
  <c r="K109" i="11" s="1"/>
  <c r="L109" i="11" s="1"/>
  <c r="G110" i="11"/>
  <c r="K110" i="11" s="1"/>
  <c r="L110" i="11" s="1"/>
  <c r="G111" i="11"/>
  <c r="N111" i="11" s="1"/>
  <c r="G115" i="11"/>
  <c r="N115" i="11" s="1"/>
  <c r="G116" i="11"/>
  <c r="N116" i="11" s="1"/>
  <c r="G117" i="11"/>
  <c r="G118" i="11"/>
  <c r="N118" i="11" s="1"/>
  <c r="G72" i="11"/>
  <c r="G89" i="11"/>
  <c r="G77" i="11"/>
  <c r="G78" i="11"/>
  <c r="K78" i="11" s="1"/>
  <c r="L78" i="11" s="1"/>
  <c r="G80" i="11"/>
  <c r="K80" i="11" s="1"/>
  <c r="L80" i="11" s="1"/>
  <c r="G88" i="11"/>
  <c r="N88" i="11" s="1"/>
  <c r="G41" i="11"/>
  <c r="K41" i="11" s="1"/>
  <c r="L41" i="11" s="1"/>
  <c r="G45" i="11"/>
  <c r="K45" i="11" s="1"/>
  <c r="L45" i="11" s="1"/>
  <c r="G46" i="11"/>
  <c r="N46" i="11" s="1"/>
  <c r="G48" i="11"/>
  <c r="G49" i="11"/>
  <c r="K49" i="11" s="1"/>
  <c r="L49" i="11" s="1"/>
  <c r="G50" i="11"/>
  <c r="G55" i="11"/>
  <c r="N55" i="11" s="1"/>
  <c r="G57" i="11"/>
  <c r="G11" i="11"/>
  <c r="N11" i="11" s="1"/>
  <c r="G12" i="11"/>
  <c r="K12" i="11" s="1"/>
  <c r="L12" i="11" s="1"/>
  <c r="G29" i="11"/>
  <c r="G15" i="11"/>
  <c r="G16" i="11"/>
  <c r="N16" i="11" s="1"/>
  <c r="G20" i="11"/>
  <c r="G21" i="11"/>
  <c r="N21" i="11" s="1"/>
  <c r="G27" i="11"/>
  <c r="K27" i="11" s="1"/>
  <c r="L27" i="11" s="1"/>
  <c r="L221" i="10"/>
  <c r="L224" i="10"/>
  <c r="L225" i="10"/>
  <c r="L226" i="10"/>
  <c r="L227" i="10"/>
  <c r="L228" i="10"/>
  <c r="L232" i="10"/>
  <c r="L233" i="10"/>
  <c r="L234" i="10"/>
  <c r="L236" i="10"/>
  <c r="J221" i="10"/>
  <c r="J224" i="10"/>
  <c r="J225" i="10"/>
  <c r="J226" i="10"/>
  <c r="J227" i="10"/>
  <c r="J228" i="10"/>
  <c r="J232" i="10"/>
  <c r="J233" i="10"/>
  <c r="J234" i="10"/>
  <c r="J236" i="10"/>
  <c r="H221" i="10"/>
  <c r="H224" i="10"/>
  <c r="H225" i="10"/>
  <c r="H226" i="10"/>
  <c r="H227" i="10"/>
  <c r="H228" i="10"/>
  <c r="H232" i="10"/>
  <c r="H233" i="10"/>
  <c r="H234" i="10"/>
  <c r="H236" i="10"/>
  <c r="F221" i="10"/>
  <c r="F224" i="10"/>
  <c r="F225" i="10"/>
  <c r="F226" i="10"/>
  <c r="F227" i="10"/>
  <c r="F228" i="10"/>
  <c r="F232" i="10"/>
  <c r="F233" i="10"/>
  <c r="F234" i="10"/>
  <c r="F236" i="10"/>
  <c r="D221" i="10"/>
  <c r="D224" i="10"/>
  <c r="D225" i="10"/>
  <c r="D226" i="10"/>
  <c r="D227" i="10"/>
  <c r="D228" i="10"/>
  <c r="D232" i="10"/>
  <c r="D233" i="10"/>
  <c r="D234" i="10"/>
  <c r="D236" i="10"/>
  <c r="B221" i="10"/>
  <c r="B224" i="10"/>
  <c r="B225" i="10"/>
  <c r="B226" i="10"/>
  <c r="B227" i="10"/>
  <c r="B228" i="10"/>
  <c r="B232" i="10"/>
  <c r="B233" i="10"/>
  <c r="B234" i="10"/>
  <c r="B236" i="10"/>
  <c r="J196" i="10"/>
  <c r="K196" i="10"/>
  <c r="J199" i="10"/>
  <c r="K199" i="10"/>
  <c r="J200" i="10"/>
  <c r="K200" i="10"/>
  <c r="J201" i="10"/>
  <c r="K201" i="10"/>
  <c r="J202" i="10"/>
  <c r="K202" i="10"/>
  <c r="J203" i="10"/>
  <c r="K203" i="10"/>
  <c r="J207" i="10"/>
  <c r="K207" i="10"/>
  <c r="J209" i="10"/>
  <c r="K209" i="10"/>
  <c r="J211" i="10"/>
  <c r="K211" i="10"/>
  <c r="H196" i="10"/>
  <c r="I196" i="10"/>
  <c r="H199" i="10"/>
  <c r="I199" i="10"/>
  <c r="H200" i="10"/>
  <c r="I200" i="10"/>
  <c r="H201" i="10"/>
  <c r="I201" i="10"/>
  <c r="H202" i="10"/>
  <c r="I202" i="10"/>
  <c r="H203" i="10"/>
  <c r="I203" i="10"/>
  <c r="H207" i="10"/>
  <c r="I207" i="10"/>
  <c r="H209" i="10"/>
  <c r="I209" i="10"/>
  <c r="H211" i="10"/>
  <c r="I211" i="10"/>
  <c r="F196" i="10"/>
  <c r="G196" i="10"/>
  <c r="F199" i="10"/>
  <c r="G199" i="10"/>
  <c r="F200" i="10"/>
  <c r="G200" i="10"/>
  <c r="F201" i="10"/>
  <c r="G201" i="10"/>
  <c r="F202" i="10"/>
  <c r="G202" i="10"/>
  <c r="F203" i="10"/>
  <c r="G203" i="10"/>
  <c r="F207" i="10"/>
  <c r="G207" i="10"/>
  <c r="F209" i="10"/>
  <c r="G209" i="10"/>
  <c r="F211" i="10"/>
  <c r="G211" i="10"/>
  <c r="D196" i="10"/>
  <c r="E196" i="10"/>
  <c r="D199" i="10"/>
  <c r="E199" i="10"/>
  <c r="D200" i="10"/>
  <c r="E200" i="10"/>
  <c r="D201" i="10"/>
  <c r="E201" i="10"/>
  <c r="D202" i="10"/>
  <c r="E202" i="10"/>
  <c r="D203" i="10"/>
  <c r="E203" i="10"/>
  <c r="D207" i="10"/>
  <c r="E207" i="10"/>
  <c r="D209" i="10"/>
  <c r="E209" i="10"/>
  <c r="D211" i="10"/>
  <c r="E211" i="10"/>
  <c r="B196" i="10"/>
  <c r="C196" i="10"/>
  <c r="B199" i="10"/>
  <c r="C199" i="10"/>
  <c r="B200" i="10"/>
  <c r="C200" i="10"/>
  <c r="B201" i="10"/>
  <c r="C201" i="10"/>
  <c r="B202" i="10"/>
  <c r="C202" i="10"/>
  <c r="B203" i="10"/>
  <c r="C203" i="10"/>
  <c r="B207" i="10"/>
  <c r="C207" i="10"/>
  <c r="B209" i="10"/>
  <c r="C209" i="10"/>
  <c r="B211" i="10"/>
  <c r="C211" i="10"/>
  <c r="L171" i="10"/>
  <c r="M171" i="10"/>
  <c r="L174" i="10"/>
  <c r="M174" i="10"/>
  <c r="L175" i="10"/>
  <c r="M175" i="10"/>
  <c r="L176" i="10"/>
  <c r="M176" i="10"/>
  <c r="L177" i="10"/>
  <c r="M177" i="10"/>
  <c r="L178" i="10"/>
  <c r="M178" i="10"/>
  <c r="L182" i="10"/>
  <c r="M182" i="10"/>
  <c r="L183" i="10"/>
  <c r="M183" i="10"/>
  <c r="L184" i="10"/>
  <c r="M184" i="10"/>
  <c r="L186" i="10"/>
  <c r="M186" i="10"/>
  <c r="H171" i="10"/>
  <c r="I171" i="10"/>
  <c r="H174" i="10"/>
  <c r="I174" i="10"/>
  <c r="H175" i="10"/>
  <c r="I175" i="10"/>
  <c r="H176" i="10"/>
  <c r="I176" i="10"/>
  <c r="H177" i="10"/>
  <c r="I177" i="10"/>
  <c r="H178" i="10"/>
  <c r="I178" i="10"/>
  <c r="H182" i="10"/>
  <c r="I182" i="10"/>
  <c r="H183" i="10"/>
  <c r="I183" i="10"/>
  <c r="H184" i="10"/>
  <c r="I184" i="10"/>
  <c r="H186" i="10"/>
  <c r="I186" i="10"/>
  <c r="F171" i="10"/>
  <c r="G171" i="10"/>
  <c r="F174" i="10"/>
  <c r="G174" i="10"/>
  <c r="F175" i="10"/>
  <c r="G175" i="10"/>
  <c r="F176" i="10"/>
  <c r="G176" i="10"/>
  <c r="F177" i="10"/>
  <c r="G177" i="10"/>
  <c r="F178" i="10"/>
  <c r="G178" i="10"/>
  <c r="F182" i="10"/>
  <c r="G182" i="10"/>
  <c r="F183" i="10"/>
  <c r="G183" i="10"/>
  <c r="F184" i="10"/>
  <c r="G184" i="10"/>
  <c r="F186" i="10"/>
  <c r="G186" i="10"/>
  <c r="D171" i="10"/>
  <c r="E171" i="10"/>
  <c r="D174" i="10"/>
  <c r="E174" i="10"/>
  <c r="D175" i="10"/>
  <c r="E175" i="10"/>
  <c r="D176" i="10"/>
  <c r="E176" i="10"/>
  <c r="D177" i="10"/>
  <c r="E177" i="10"/>
  <c r="D178" i="10"/>
  <c r="E178" i="10"/>
  <c r="D182" i="10"/>
  <c r="E182" i="10"/>
  <c r="D183" i="10"/>
  <c r="E183" i="10"/>
  <c r="D184" i="10"/>
  <c r="E184" i="10"/>
  <c r="D186" i="10"/>
  <c r="E186" i="10"/>
  <c r="B171" i="10"/>
  <c r="C171" i="10"/>
  <c r="B174" i="10"/>
  <c r="C174" i="10"/>
  <c r="B175" i="10"/>
  <c r="C175" i="10"/>
  <c r="B176" i="10"/>
  <c r="C176" i="10"/>
  <c r="B177" i="10"/>
  <c r="C177" i="10"/>
  <c r="B178" i="10"/>
  <c r="C178" i="10"/>
  <c r="B182" i="10"/>
  <c r="C182" i="10"/>
  <c r="B183" i="10"/>
  <c r="C183" i="10"/>
  <c r="B184" i="10"/>
  <c r="C184" i="10"/>
  <c r="B186" i="10"/>
  <c r="C186" i="10"/>
  <c r="L146" i="10"/>
  <c r="M146" i="10"/>
  <c r="L149" i="10"/>
  <c r="M149" i="10"/>
  <c r="L150" i="10"/>
  <c r="M150" i="10"/>
  <c r="L151" i="10"/>
  <c r="M151" i="10"/>
  <c r="L152" i="10"/>
  <c r="M152" i="10"/>
  <c r="L153" i="10"/>
  <c r="M153" i="10"/>
  <c r="L157" i="10"/>
  <c r="M157" i="10"/>
  <c r="L158" i="10"/>
  <c r="M158" i="10"/>
  <c r="L159" i="10"/>
  <c r="M159" i="10"/>
  <c r="L161" i="10"/>
  <c r="M161" i="10"/>
  <c r="J146" i="10"/>
  <c r="K146" i="10"/>
  <c r="J149" i="10"/>
  <c r="K149" i="10"/>
  <c r="J150" i="10"/>
  <c r="K150" i="10"/>
  <c r="J151" i="10"/>
  <c r="K151" i="10"/>
  <c r="J152" i="10"/>
  <c r="K152" i="10"/>
  <c r="J153" i="10"/>
  <c r="K153" i="10"/>
  <c r="J157" i="10"/>
  <c r="K157" i="10"/>
  <c r="J158" i="10"/>
  <c r="K158" i="10"/>
  <c r="J159" i="10"/>
  <c r="K159" i="10"/>
  <c r="J161" i="10"/>
  <c r="K161" i="10"/>
  <c r="F146" i="10"/>
  <c r="G146" i="10"/>
  <c r="F149" i="10"/>
  <c r="G149" i="10"/>
  <c r="F150" i="10"/>
  <c r="G150" i="10"/>
  <c r="F151" i="10"/>
  <c r="G151" i="10"/>
  <c r="F152" i="10"/>
  <c r="G152" i="10"/>
  <c r="F153" i="10"/>
  <c r="G153" i="10"/>
  <c r="F157" i="10"/>
  <c r="G157" i="10"/>
  <c r="F158" i="10"/>
  <c r="G158" i="10"/>
  <c r="F159" i="10"/>
  <c r="G159" i="10"/>
  <c r="F161" i="10"/>
  <c r="G161" i="10"/>
  <c r="D146" i="10"/>
  <c r="E146" i="10"/>
  <c r="D149" i="10"/>
  <c r="E149" i="10"/>
  <c r="D150" i="10"/>
  <c r="E150" i="10"/>
  <c r="D151" i="10"/>
  <c r="E151" i="10"/>
  <c r="D152" i="10"/>
  <c r="E152" i="10"/>
  <c r="D153" i="10"/>
  <c r="E153" i="10"/>
  <c r="D157" i="10"/>
  <c r="E157" i="10"/>
  <c r="D158" i="10"/>
  <c r="E158" i="10"/>
  <c r="D159" i="10"/>
  <c r="E159" i="10"/>
  <c r="D161" i="10"/>
  <c r="E161" i="10"/>
  <c r="B146" i="10"/>
  <c r="C146" i="10"/>
  <c r="B149" i="10"/>
  <c r="C149" i="10"/>
  <c r="B150" i="10"/>
  <c r="C150" i="10"/>
  <c r="B151" i="10"/>
  <c r="C151" i="10"/>
  <c r="B152" i="10"/>
  <c r="C152" i="10"/>
  <c r="B153" i="10"/>
  <c r="C153" i="10"/>
  <c r="B157" i="10"/>
  <c r="C157" i="10"/>
  <c r="B158" i="10"/>
  <c r="C158" i="10"/>
  <c r="B159" i="10"/>
  <c r="C159" i="10"/>
  <c r="B161" i="10"/>
  <c r="C161" i="10"/>
  <c r="AB297" i="10"/>
  <c r="D71" i="16" s="1"/>
  <c r="L96" i="10"/>
  <c r="M96" i="10"/>
  <c r="L99" i="10"/>
  <c r="M99" i="10"/>
  <c r="L100" i="10"/>
  <c r="M100" i="10"/>
  <c r="L101" i="10"/>
  <c r="M101" i="10"/>
  <c r="L102" i="10"/>
  <c r="M102" i="10"/>
  <c r="L103" i="10"/>
  <c r="M103" i="10"/>
  <c r="L107" i="10"/>
  <c r="M107" i="10"/>
  <c r="L109" i="10"/>
  <c r="M109" i="10"/>
  <c r="L111" i="10"/>
  <c r="M111" i="10"/>
  <c r="J96" i="10"/>
  <c r="K96" i="10"/>
  <c r="J99" i="10"/>
  <c r="K99" i="10"/>
  <c r="J100" i="10"/>
  <c r="K100" i="10"/>
  <c r="J101" i="10"/>
  <c r="K101" i="10"/>
  <c r="J102" i="10"/>
  <c r="K102" i="10"/>
  <c r="J103" i="10"/>
  <c r="K103" i="10"/>
  <c r="J107" i="10"/>
  <c r="K107" i="10"/>
  <c r="J109" i="10"/>
  <c r="K109" i="10"/>
  <c r="J111" i="10"/>
  <c r="K111" i="10"/>
  <c r="H96" i="10"/>
  <c r="I96" i="10"/>
  <c r="H99" i="10"/>
  <c r="I99" i="10"/>
  <c r="H100" i="10"/>
  <c r="I100" i="10"/>
  <c r="H101" i="10"/>
  <c r="I101" i="10"/>
  <c r="H102" i="10"/>
  <c r="I102" i="10"/>
  <c r="H103" i="10"/>
  <c r="I103" i="10"/>
  <c r="H107" i="10"/>
  <c r="I107" i="10"/>
  <c r="H109" i="10"/>
  <c r="I109" i="10"/>
  <c r="H111" i="10"/>
  <c r="I111" i="10"/>
  <c r="L71" i="10"/>
  <c r="M71" i="10"/>
  <c r="L74" i="10"/>
  <c r="M74" i="10"/>
  <c r="L75" i="10"/>
  <c r="M75" i="10"/>
  <c r="L76" i="10"/>
  <c r="M76" i="10"/>
  <c r="L77" i="10"/>
  <c r="M77" i="10"/>
  <c r="L78" i="10"/>
  <c r="M78" i="10"/>
  <c r="L82" i="10"/>
  <c r="M82" i="10"/>
  <c r="L83" i="10"/>
  <c r="M83" i="10"/>
  <c r="L84" i="10"/>
  <c r="M84" i="10"/>
  <c r="L86" i="10"/>
  <c r="M86" i="10"/>
  <c r="J71" i="10"/>
  <c r="K71" i="10"/>
  <c r="J74" i="10"/>
  <c r="K74" i="10"/>
  <c r="J75" i="10"/>
  <c r="K75" i="10"/>
  <c r="J76" i="10"/>
  <c r="K76" i="10"/>
  <c r="J77" i="10"/>
  <c r="K77" i="10"/>
  <c r="J78" i="10"/>
  <c r="K78" i="10"/>
  <c r="J82" i="10"/>
  <c r="K82" i="10"/>
  <c r="J83" i="10"/>
  <c r="K83" i="10"/>
  <c r="J84" i="10"/>
  <c r="K84" i="10"/>
  <c r="J86" i="10"/>
  <c r="K86" i="10"/>
  <c r="H71" i="10"/>
  <c r="I71" i="10"/>
  <c r="H74" i="10"/>
  <c r="I74" i="10"/>
  <c r="H75" i="10"/>
  <c r="I75" i="10"/>
  <c r="H76" i="10"/>
  <c r="I76" i="10"/>
  <c r="H77" i="10"/>
  <c r="I77" i="10"/>
  <c r="H78" i="10"/>
  <c r="I78" i="10"/>
  <c r="H82" i="10"/>
  <c r="I82" i="10"/>
  <c r="H83" i="10"/>
  <c r="I83" i="10"/>
  <c r="H84" i="10"/>
  <c r="I84" i="10"/>
  <c r="H86" i="10"/>
  <c r="I86" i="10"/>
  <c r="F96" i="10"/>
  <c r="G96" i="10"/>
  <c r="F99" i="10"/>
  <c r="G99" i="10"/>
  <c r="F100" i="10"/>
  <c r="G100" i="10"/>
  <c r="F101" i="10"/>
  <c r="G101" i="10"/>
  <c r="F102" i="10"/>
  <c r="G102" i="10"/>
  <c r="F103" i="10"/>
  <c r="G103" i="10"/>
  <c r="F107" i="10"/>
  <c r="G107" i="10"/>
  <c r="F109" i="10"/>
  <c r="G109" i="10"/>
  <c r="F111" i="10"/>
  <c r="G111" i="10"/>
  <c r="B96" i="10"/>
  <c r="C96" i="10"/>
  <c r="B99" i="10"/>
  <c r="C99" i="10"/>
  <c r="B100" i="10"/>
  <c r="C100" i="10"/>
  <c r="B101" i="10"/>
  <c r="C101" i="10"/>
  <c r="B102" i="10"/>
  <c r="C102" i="10"/>
  <c r="B103" i="10"/>
  <c r="C103" i="10"/>
  <c r="B107" i="10"/>
  <c r="C107" i="10"/>
  <c r="B109" i="10"/>
  <c r="C109" i="10"/>
  <c r="B111" i="10"/>
  <c r="C111" i="10"/>
  <c r="F71" i="10"/>
  <c r="G71" i="10"/>
  <c r="F74" i="10"/>
  <c r="G74" i="10"/>
  <c r="F75" i="10"/>
  <c r="G75" i="10"/>
  <c r="F76" i="10"/>
  <c r="G76" i="10"/>
  <c r="F77" i="10"/>
  <c r="G77" i="10"/>
  <c r="F78" i="10"/>
  <c r="G78" i="10"/>
  <c r="F82" i="10"/>
  <c r="G82" i="10"/>
  <c r="F83" i="10"/>
  <c r="G83" i="10"/>
  <c r="F84" i="10"/>
  <c r="G84" i="10"/>
  <c r="F86" i="10"/>
  <c r="G86" i="10"/>
  <c r="D71" i="10"/>
  <c r="E71" i="10"/>
  <c r="D74" i="10"/>
  <c r="E74" i="10"/>
  <c r="D75" i="10"/>
  <c r="E75" i="10"/>
  <c r="D76" i="10"/>
  <c r="E76" i="10"/>
  <c r="D77" i="10"/>
  <c r="E77" i="10"/>
  <c r="D78" i="10"/>
  <c r="E78" i="10"/>
  <c r="D82" i="10"/>
  <c r="E82" i="10"/>
  <c r="D83" i="10"/>
  <c r="E83" i="10"/>
  <c r="D84" i="10"/>
  <c r="E84" i="10"/>
  <c r="D86" i="10"/>
  <c r="E86" i="10"/>
  <c r="F127" i="6"/>
  <c r="F109" i="6"/>
  <c r="F90" i="6"/>
  <c r="F72" i="6"/>
  <c r="F52" i="6"/>
  <c r="B229" i="11"/>
  <c r="C38" i="16" s="1"/>
  <c r="B219" i="11"/>
  <c r="C41" i="16" s="1"/>
  <c r="H41" i="16" s="1"/>
  <c r="F187" i="10"/>
  <c r="L180" i="10"/>
  <c r="F180" i="10"/>
  <c r="M187" i="10"/>
  <c r="E187" i="10"/>
  <c r="H187" i="10"/>
  <c r="I187" i="10"/>
  <c r="H180" i="10"/>
  <c r="C187" i="10"/>
  <c r="L187" i="10"/>
  <c r="D187" i="10"/>
  <c r="G187" i="10"/>
  <c r="E180" i="10"/>
  <c r="B180" i="10"/>
  <c r="I180" i="10"/>
  <c r="G180" i="10"/>
  <c r="D180" i="10"/>
  <c r="M180" i="10"/>
  <c r="C180" i="10"/>
  <c r="B187" i="10"/>
  <c r="F205" i="10"/>
  <c r="H205" i="10"/>
  <c r="B205" i="10"/>
  <c r="G205" i="10"/>
  <c r="I205" i="10"/>
  <c r="E205" i="10"/>
  <c r="K205" i="10"/>
  <c r="B210" i="10"/>
  <c r="J205" i="10"/>
  <c r="C205" i="10"/>
  <c r="D205" i="10"/>
  <c r="C170" i="10"/>
  <c r="I170" i="10"/>
  <c r="E170" i="10"/>
  <c r="B170" i="10"/>
  <c r="H170" i="10"/>
  <c r="M170" i="10"/>
  <c r="D170" i="10"/>
  <c r="G170" i="10"/>
  <c r="F170" i="10"/>
  <c r="L170" i="10"/>
  <c r="H185" i="10"/>
  <c r="F185" i="10"/>
  <c r="G185" i="10"/>
  <c r="L185" i="10"/>
  <c r="B185" i="10"/>
  <c r="E185" i="10"/>
  <c r="M185" i="10"/>
  <c r="C185" i="10"/>
  <c r="D185" i="10"/>
  <c r="I185" i="10"/>
  <c r="E210" i="10"/>
  <c r="F210" i="10"/>
  <c r="H210" i="10"/>
  <c r="G210" i="10"/>
  <c r="J210" i="10"/>
  <c r="K210" i="10"/>
  <c r="D210" i="10"/>
  <c r="C210" i="10"/>
  <c r="I210" i="10"/>
  <c r="AE297" i="10"/>
  <c r="D76" i="16" s="1"/>
  <c r="S298" i="10"/>
  <c r="D54" i="16" s="1"/>
  <c r="AY24" i="8" s="1"/>
  <c r="AY33" i="8" s="1"/>
  <c r="Y297" i="10"/>
  <c r="D66" i="16" s="1"/>
  <c r="AB298" i="10"/>
  <c r="D69" i="16" s="1"/>
  <c r="AG24" i="8" s="1"/>
  <c r="AG33" i="8" s="1"/>
  <c r="AE298" i="10"/>
  <c r="D74" i="16" s="1"/>
  <c r="AH298" i="10"/>
  <c r="D79" i="16" s="1"/>
  <c r="AP24" i="8" s="1"/>
  <c r="AP33" i="8" s="1"/>
  <c r="D96" i="16"/>
  <c r="AH297" i="10"/>
  <c r="D81" i="16" s="1"/>
  <c r="N44" i="12"/>
  <c r="J78" i="12"/>
  <c r="M78" i="12"/>
  <c r="N65" i="12"/>
  <c r="N49" i="12"/>
  <c r="N82" i="12"/>
  <c r="N62" i="12"/>
  <c r="N81" i="12"/>
  <c r="J50" i="12"/>
  <c r="M50" i="12" s="1"/>
  <c r="N69" i="12"/>
  <c r="O25" i="12"/>
  <c r="N67" i="12"/>
  <c r="J26" i="12"/>
  <c r="N26" i="12"/>
  <c r="J22" i="12"/>
  <c r="N22" i="12" s="1"/>
  <c r="O22" i="12" s="1"/>
  <c r="N73" i="12"/>
  <c r="O6" i="12"/>
  <c r="N76" i="12"/>
  <c r="N33" i="12"/>
  <c r="N35" i="12"/>
  <c r="N39" i="12"/>
  <c r="N41" i="12"/>
  <c r="N43" i="12"/>
  <c r="N50" i="12"/>
  <c r="O20" i="12"/>
  <c r="N34" i="12"/>
  <c r="O9" i="12"/>
  <c r="N61" i="12"/>
  <c r="N79" i="12"/>
  <c r="N40" i="12"/>
  <c r="N55" i="12"/>
  <c r="N72" i="12"/>
  <c r="N70" i="12"/>
  <c r="L52" i="12"/>
  <c r="M52" i="12" s="1"/>
  <c r="O23" i="12"/>
  <c r="N51" i="12"/>
  <c r="G31" i="11"/>
  <c r="K31" i="11" s="1"/>
  <c r="L31" i="11" s="1"/>
  <c r="F264" i="6"/>
  <c r="O13" i="12"/>
  <c r="O17" i="12"/>
  <c r="O12" i="12"/>
  <c r="O8" i="12"/>
  <c r="O15" i="12"/>
  <c r="O14" i="12"/>
  <c r="O7" i="12"/>
  <c r="K57" i="11" l="1"/>
  <c r="L57" i="11" s="1"/>
  <c r="N57" i="11"/>
  <c r="O57" i="11" s="1"/>
  <c r="O111" i="11"/>
  <c r="O102" i="11"/>
  <c r="O166" i="11"/>
  <c r="O193" i="11"/>
  <c r="O16" i="11"/>
  <c r="O130" i="11"/>
  <c r="O160" i="11"/>
  <c r="O208" i="11"/>
  <c r="O148" i="11"/>
  <c r="O46" i="11"/>
  <c r="O140" i="11"/>
  <c r="O176" i="11"/>
  <c r="O212" i="11"/>
  <c r="L14" i="11"/>
  <c r="L44" i="11"/>
  <c r="O118" i="11"/>
  <c r="O163" i="11"/>
  <c r="O11" i="11"/>
  <c r="O136" i="11"/>
  <c r="O170" i="11"/>
  <c r="O82" i="11"/>
  <c r="O122" i="11"/>
  <c r="O14" i="11"/>
  <c r="O44" i="11"/>
  <c r="O88" i="11"/>
  <c r="O116" i="11"/>
  <c r="O169" i="11"/>
  <c r="O21" i="11"/>
  <c r="O55" i="11"/>
  <c r="O115" i="11"/>
  <c r="O103" i="11"/>
  <c r="O134" i="11"/>
  <c r="O167" i="11"/>
  <c r="O190" i="11"/>
  <c r="O205" i="11"/>
  <c r="O210" i="11"/>
  <c r="D62" i="16"/>
  <c r="D24" i="8" s="1"/>
  <c r="F149" i="6"/>
  <c r="B14" i="9"/>
  <c r="F14" i="9" s="1"/>
  <c r="Z2807" i="1"/>
  <c r="Z2782" i="1"/>
  <c r="F23" i="11"/>
  <c r="U2673" i="1"/>
  <c r="U2692" i="1" s="1"/>
  <c r="T2673" i="1"/>
  <c r="T2692" i="1" s="1"/>
  <c r="F143" i="11"/>
  <c r="U2773" i="1"/>
  <c r="U2792" i="1" s="1"/>
  <c r="T2773" i="1"/>
  <c r="T2792" i="1" s="1"/>
  <c r="T2698" i="1"/>
  <c r="T2717" i="1" s="1"/>
  <c r="Z2698" i="1"/>
  <c r="C48" i="10" s="1"/>
  <c r="I81" i="10" s="1"/>
  <c r="Z2740" i="1"/>
  <c r="N172" i="11"/>
  <c r="O172" i="11" s="1"/>
  <c r="K212" i="11"/>
  <c r="L212" i="11" s="1"/>
  <c r="F172" i="11"/>
  <c r="I172" i="11" s="1"/>
  <c r="F85" i="11"/>
  <c r="I85" i="11" s="1"/>
  <c r="H38" i="16"/>
  <c r="BZ24" i="8"/>
  <c r="BZ33" i="8" s="1"/>
  <c r="CA33" i="8" s="1"/>
  <c r="F100" i="11"/>
  <c r="I100" i="11" s="1"/>
  <c r="Z2790" i="1"/>
  <c r="Z2691" i="1"/>
  <c r="Z2840" i="1"/>
  <c r="K122" i="11"/>
  <c r="L122" i="11" s="1"/>
  <c r="F201" i="11"/>
  <c r="I201" i="11" s="1"/>
  <c r="K167" i="11"/>
  <c r="L167" i="11" s="1"/>
  <c r="E119" i="13" a="1"/>
  <c r="E119" i="13" s="1"/>
  <c r="H119" i="13" s="1"/>
  <c r="E113" i="13" a="1"/>
  <c r="E113" i="13" s="1"/>
  <c r="H113" i="13" s="1"/>
  <c r="E100" i="13" a="1"/>
  <c r="E100" i="13" s="1"/>
  <c r="H100" i="13" s="1"/>
  <c r="E104" i="13" a="1"/>
  <c r="E104" i="13" s="1"/>
  <c r="H104" i="13" s="1"/>
  <c r="E106" i="13" a="1"/>
  <c r="E106" i="13" s="1"/>
  <c r="H106" i="13" s="1"/>
  <c r="E107" i="13" a="1"/>
  <c r="E107" i="13" s="1"/>
  <c r="H107" i="13" s="1"/>
  <c r="E101" i="13" a="1"/>
  <c r="E101" i="13" s="1"/>
  <c r="H101" i="13" s="1"/>
  <c r="D82" i="16"/>
  <c r="AO24" i="8" s="1"/>
  <c r="AO33" i="8" s="1"/>
  <c r="E70" i="13" a="1"/>
  <c r="E70" i="13" s="1"/>
  <c r="F257" i="6" s="1"/>
  <c r="M257" i="6" s="1"/>
  <c r="N257" i="6" s="1"/>
  <c r="D101" i="16"/>
  <c r="D67" i="16"/>
  <c r="W24" i="8" s="1"/>
  <c r="W33" i="8" s="1"/>
  <c r="D100" i="16"/>
  <c r="D110" i="16" s="1"/>
  <c r="D57" i="16"/>
  <c r="AX24" i="8" s="1"/>
  <c r="AX33" i="8" s="1"/>
  <c r="Z2672" i="1"/>
  <c r="B39" i="10" s="1"/>
  <c r="J97" i="10" s="1"/>
  <c r="C104" i="16"/>
  <c r="F66" i="6"/>
  <c r="H66" i="6" s="1"/>
  <c r="I411" i="7"/>
  <c r="B161" i="11" s="1"/>
  <c r="I412" i="7"/>
  <c r="B191" i="11" s="1"/>
  <c r="I409" i="7"/>
  <c r="B101" i="11" s="1"/>
  <c r="F31" i="11"/>
  <c r="I31" i="11" s="1"/>
  <c r="F164" i="11"/>
  <c r="I164" i="11" s="1"/>
  <c r="F32" i="11"/>
  <c r="I32" i="11" s="1"/>
  <c r="C105" i="16"/>
  <c r="C110" i="16" s="1"/>
  <c r="C99" i="16"/>
  <c r="F199" i="11"/>
  <c r="I199" i="11" s="1"/>
  <c r="F59" i="11"/>
  <c r="F101" i="11"/>
  <c r="I101" i="11" s="1"/>
  <c r="F79" i="11"/>
  <c r="I79" i="11" s="1"/>
  <c r="F106" i="11"/>
  <c r="I106" i="11" s="1"/>
  <c r="F141" i="11"/>
  <c r="I141" i="11" s="1"/>
  <c r="F202" i="11"/>
  <c r="I202" i="11" s="1"/>
  <c r="F177" i="11"/>
  <c r="I177" i="11" s="1"/>
  <c r="F47" i="11"/>
  <c r="I47" i="11" s="1"/>
  <c r="Z2846" i="1"/>
  <c r="K164" i="11"/>
  <c r="L164" i="11" s="1"/>
  <c r="N138" i="11"/>
  <c r="O138" i="11" s="1"/>
  <c r="Z2748" i="1"/>
  <c r="E48" i="10" s="1"/>
  <c r="M156" i="10" s="1"/>
  <c r="F122" i="11"/>
  <c r="I122" i="11" s="1"/>
  <c r="F175" i="11"/>
  <c r="I175" i="11" s="1"/>
  <c r="G202" i="11"/>
  <c r="N202" i="11" s="1"/>
  <c r="O202" i="11" s="1"/>
  <c r="F58" i="11"/>
  <c r="I58" i="11" s="1"/>
  <c r="Z2796" i="1"/>
  <c r="Z2690" i="1"/>
  <c r="Z2739" i="1"/>
  <c r="Z2714" i="1"/>
  <c r="Z2839" i="1"/>
  <c r="F138" i="11"/>
  <c r="I138" i="11" s="1"/>
  <c r="Z2832" i="1"/>
  <c r="F41" i="11"/>
  <c r="I41" i="11" s="1"/>
  <c r="F200" i="11"/>
  <c r="I200" i="11" s="1"/>
  <c r="F192" i="11"/>
  <c r="I192" i="11" s="1"/>
  <c r="F139" i="11"/>
  <c r="I139" i="11" s="1"/>
  <c r="K178" i="11"/>
  <c r="L178" i="11" s="1"/>
  <c r="F167" i="11"/>
  <c r="I167" i="11" s="1"/>
  <c r="K148" i="11"/>
  <c r="L148" i="11" s="1"/>
  <c r="F182" i="11"/>
  <c r="I182" i="11" s="1"/>
  <c r="F52" i="11"/>
  <c r="I52" i="11" s="1"/>
  <c r="Z2770" i="1"/>
  <c r="Z2838" i="1"/>
  <c r="F76" i="11"/>
  <c r="I76" i="11" s="1"/>
  <c r="F148" i="11"/>
  <c r="I148" i="11" s="1"/>
  <c r="F86" i="11"/>
  <c r="I86" i="11" s="1"/>
  <c r="F70" i="11"/>
  <c r="I70" i="11" s="1"/>
  <c r="K170" i="11"/>
  <c r="L170" i="11" s="1"/>
  <c r="F137" i="11"/>
  <c r="I137" i="11" s="1"/>
  <c r="F73" i="11"/>
  <c r="I73" i="11" s="1"/>
  <c r="G106" i="11"/>
  <c r="K106" i="11" s="1"/>
  <c r="L106" i="11" s="1"/>
  <c r="G177" i="11"/>
  <c r="K177" i="11" s="1"/>
  <c r="L177" i="11" s="1"/>
  <c r="F82" i="11"/>
  <c r="I82" i="11" s="1"/>
  <c r="F77" i="11"/>
  <c r="I77" i="11" s="1"/>
  <c r="Z2773" i="1"/>
  <c r="H48" i="10" s="1"/>
  <c r="L231" i="10" s="1"/>
  <c r="C77" i="13" s="1" a="1"/>
  <c r="C77" i="13" s="1"/>
  <c r="G192" i="11"/>
  <c r="N192" i="11" s="1"/>
  <c r="O192" i="11" s="1"/>
  <c r="Z2688" i="1"/>
  <c r="K130" i="11"/>
  <c r="L130" i="11" s="1"/>
  <c r="F132" i="11"/>
  <c r="I132" i="11" s="1"/>
  <c r="Z2697" i="1"/>
  <c r="C39" i="10" s="1"/>
  <c r="L72" i="10" s="1"/>
  <c r="Z2730" i="1"/>
  <c r="Z2726" i="1"/>
  <c r="Z2752" i="1"/>
  <c r="Z2786" i="1"/>
  <c r="Z2780" i="1"/>
  <c r="Z2776" i="1"/>
  <c r="Z2772" i="1"/>
  <c r="H39" i="10" s="1"/>
  <c r="H222" i="10" s="1"/>
  <c r="C52" i="13" s="1" a="1"/>
  <c r="C52" i="13" s="1"/>
  <c r="Z2811" i="1"/>
  <c r="Z2805" i="1"/>
  <c r="Z2801" i="1"/>
  <c r="Z2798" i="1"/>
  <c r="F48" i="10" s="1"/>
  <c r="D181" i="10" s="1"/>
  <c r="Z2831" i="1"/>
  <c r="Z2827" i="1"/>
  <c r="Z2684" i="1"/>
  <c r="B46" i="10" s="1"/>
  <c r="G104" i="10" s="1"/>
  <c r="F61" i="11"/>
  <c r="I61" i="11" s="1"/>
  <c r="F152" i="11"/>
  <c r="I152" i="11" s="1"/>
  <c r="F142" i="11"/>
  <c r="I142" i="11" s="1"/>
  <c r="F178" i="11"/>
  <c r="I178" i="11" s="1"/>
  <c r="F60" i="11"/>
  <c r="I60" i="11" s="1"/>
  <c r="F72" i="11"/>
  <c r="I72" i="11" s="1"/>
  <c r="Z2707" i="1"/>
  <c r="Z2720" i="1"/>
  <c r="Z2734" i="1"/>
  <c r="D46" i="10" s="1"/>
  <c r="Q348" i="6" s="1"/>
  <c r="F347" i="6" s="1"/>
  <c r="J347" i="6" s="1"/>
  <c r="K347" i="6" s="1"/>
  <c r="Z2728" i="1"/>
  <c r="Z2745" i="1"/>
  <c r="Z2754" i="1"/>
  <c r="Z2747" i="1"/>
  <c r="E39" i="10" s="1"/>
  <c r="M147" i="10" s="1"/>
  <c r="Z2789" i="1"/>
  <c r="Z2778" i="1"/>
  <c r="Z2774" i="1"/>
  <c r="H47" i="10" s="1"/>
  <c r="D230" i="10" s="1"/>
  <c r="Z2803" i="1"/>
  <c r="Z2835" i="1"/>
  <c r="Z2829" i="1"/>
  <c r="Z2822" i="1"/>
  <c r="G39" i="10" s="1"/>
  <c r="G197" i="10" s="1"/>
  <c r="F110" i="11"/>
  <c r="I110" i="11" s="1"/>
  <c r="F102" i="11"/>
  <c r="I102" i="11" s="1"/>
  <c r="F136" i="11"/>
  <c r="I136" i="11" s="1"/>
  <c r="K206" i="11"/>
  <c r="L206" i="11" s="1"/>
  <c r="K166" i="11"/>
  <c r="L166" i="11" s="1"/>
  <c r="F195" i="11"/>
  <c r="Z2847" i="1"/>
  <c r="Z2741" i="1"/>
  <c r="Z2716" i="1"/>
  <c r="Z2765" i="1"/>
  <c r="Z2841" i="1"/>
  <c r="N162" i="11"/>
  <c r="O162" i="11" s="1"/>
  <c r="F25" i="11"/>
  <c r="I25" i="11" s="1"/>
  <c r="F18" i="11"/>
  <c r="I18" i="11" s="1"/>
  <c r="Z2757" i="1"/>
  <c r="N49" i="11"/>
  <c r="O49" i="11" s="1"/>
  <c r="F75" i="11"/>
  <c r="F71" i="11"/>
  <c r="I71" i="11" s="1"/>
  <c r="F181" i="11"/>
  <c r="I181" i="11" s="1"/>
  <c r="F53" i="11"/>
  <c r="F51" i="11"/>
  <c r="I51" i="11" s="1"/>
  <c r="F120" i="11"/>
  <c r="I120" i="11" s="1"/>
  <c r="Z2732" i="1"/>
  <c r="I205" i="11"/>
  <c r="F21" i="11"/>
  <c r="I21" i="11" s="1"/>
  <c r="F29" i="11"/>
  <c r="N191" i="11"/>
  <c r="O191" i="11" s="1"/>
  <c r="Z2706" i="1"/>
  <c r="Z2702" i="1"/>
  <c r="Z2737" i="1"/>
  <c r="D54" i="10" s="1"/>
  <c r="Q356" i="6" s="1"/>
  <c r="Z2731" i="1"/>
  <c r="Z2727" i="1"/>
  <c r="Z2723" i="1"/>
  <c r="D48" i="10" s="1"/>
  <c r="J131" i="10" s="1"/>
  <c r="Z2753" i="1"/>
  <c r="Z2749" i="1"/>
  <c r="E47" i="10" s="1"/>
  <c r="D155" i="10" s="1"/>
  <c r="Z2746" i="1"/>
  <c r="Z2787" i="1"/>
  <c r="H54" i="10" s="1"/>
  <c r="H37" i="10" s="1"/>
  <c r="L220" i="10" s="1"/>
  <c r="Z2781" i="1"/>
  <c r="Z2777" i="1"/>
  <c r="Z2788" i="1"/>
  <c r="Z2812" i="1"/>
  <c r="Z2806" i="1"/>
  <c r="Z2802" i="1"/>
  <c r="Z2813" i="1"/>
  <c r="Z2820" i="1"/>
  <c r="Z2834" i="1"/>
  <c r="G46" i="10" s="1"/>
  <c r="I204" i="10" s="1"/>
  <c r="Z2828" i="1"/>
  <c r="Z2824" i="1"/>
  <c r="Z2821" i="1"/>
  <c r="F49" i="11"/>
  <c r="I49" i="11" s="1"/>
  <c r="F118" i="11"/>
  <c r="I118" i="11" s="1"/>
  <c r="F190" i="11"/>
  <c r="I190" i="11" s="1"/>
  <c r="F206" i="11"/>
  <c r="I206" i="11" s="1"/>
  <c r="F191" i="11"/>
  <c r="I191" i="11" s="1"/>
  <c r="F161" i="11"/>
  <c r="I161" i="11" s="1"/>
  <c r="F119" i="11"/>
  <c r="F165" i="11"/>
  <c r="N161" i="11"/>
  <c r="O161" i="11" s="1"/>
  <c r="K176" i="11"/>
  <c r="L176" i="11" s="1"/>
  <c r="K140" i="11"/>
  <c r="L140" i="11" s="1"/>
  <c r="K21" i="11"/>
  <c r="L21" i="11" s="1"/>
  <c r="K118" i="11"/>
  <c r="L118" i="11" s="1"/>
  <c r="F160" i="11"/>
  <c r="I160" i="11" s="1"/>
  <c r="Y2665" i="1"/>
  <c r="G71" i="11"/>
  <c r="N71" i="11" s="1"/>
  <c r="O71" i="11" s="1"/>
  <c r="F45" i="11"/>
  <c r="G86" i="11"/>
  <c r="K86" i="11" s="1"/>
  <c r="L86" i="11" s="1"/>
  <c r="Y2666" i="1"/>
  <c r="I208" i="11"/>
  <c r="Z2689" i="1"/>
  <c r="Z2738" i="1"/>
  <c r="Z2766" i="1"/>
  <c r="Z2814" i="1"/>
  <c r="F11" i="11"/>
  <c r="I11" i="11" s="1"/>
  <c r="G200" i="11"/>
  <c r="N200" i="11" s="1"/>
  <c r="O200" i="11" s="1"/>
  <c r="Z2848" i="1"/>
  <c r="K11" i="11"/>
  <c r="L11" i="11" s="1"/>
  <c r="G25" i="11"/>
  <c r="N25" i="11" s="1"/>
  <c r="O25" i="11" s="1"/>
  <c r="N152" i="11"/>
  <c r="O152" i="11" s="1"/>
  <c r="N80" i="11"/>
  <c r="O80" i="11" s="1"/>
  <c r="F48" i="11"/>
  <c r="I48" i="11" s="1"/>
  <c r="F57" i="11"/>
  <c r="I57" i="11" s="1"/>
  <c r="N112" i="11"/>
  <c r="O112" i="11" s="1"/>
  <c r="F112" i="11"/>
  <c r="I112" i="11" s="1"/>
  <c r="F91" i="11"/>
  <c r="I91" i="11" s="1"/>
  <c r="F196" i="11"/>
  <c r="I196" i="11" s="1"/>
  <c r="Z2725" i="1"/>
  <c r="Z2761" i="1"/>
  <c r="Z2771" i="1"/>
  <c r="Z2797" i="1"/>
  <c r="F39" i="10" s="1"/>
  <c r="Q389" i="6" s="1"/>
  <c r="F388" i="6" s="1"/>
  <c r="M388" i="6" s="1"/>
  <c r="N388" i="6" s="1"/>
  <c r="F16" i="11"/>
  <c r="I16" i="11" s="1"/>
  <c r="F90" i="11"/>
  <c r="I90" i="11" s="1"/>
  <c r="K82" i="11"/>
  <c r="L82" i="11" s="1"/>
  <c r="F80" i="11"/>
  <c r="I80" i="11" s="1"/>
  <c r="Z2670" i="1"/>
  <c r="Z2681" i="1"/>
  <c r="Z2677" i="1"/>
  <c r="Z2712" i="1"/>
  <c r="C54" i="10" s="1"/>
  <c r="C37" i="10" s="1"/>
  <c r="Z2703" i="1"/>
  <c r="Z2699" i="1"/>
  <c r="C47" i="10" s="1"/>
  <c r="G80" i="10" s="1"/>
  <c r="Z2724" i="1"/>
  <c r="D47" i="10" s="1"/>
  <c r="D130" i="10" s="1"/>
  <c r="Z2760" i="1"/>
  <c r="Z2750" i="1"/>
  <c r="Z2809" i="1"/>
  <c r="F46" i="10" s="1"/>
  <c r="L179" i="10" s="1"/>
  <c r="Z2799" i="1"/>
  <c r="Z2825" i="1"/>
  <c r="F169" i="11"/>
  <c r="I169" i="11" s="1"/>
  <c r="G73" i="11"/>
  <c r="N73" i="11" s="1"/>
  <c r="O73" i="11" s="1"/>
  <c r="N12" i="11"/>
  <c r="O12" i="11" s="1"/>
  <c r="F89" i="11"/>
  <c r="G79" i="11"/>
  <c r="N79" i="11" s="1"/>
  <c r="O79" i="11" s="1"/>
  <c r="G76" i="11"/>
  <c r="K76" i="11" s="1"/>
  <c r="L76" i="11" s="1"/>
  <c r="N109" i="11"/>
  <c r="O109" i="11" s="1"/>
  <c r="F116" i="11"/>
  <c r="I116" i="11" s="1"/>
  <c r="G199" i="11"/>
  <c r="N199" i="11" s="1"/>
  <c r="O199" i="11" s="1"/>
  <c r="F12" i="11"/>
  <c r="I12" i="11" s="1"/>
  <c r="F78" i="11"/>
  <c r="I78" i="11" s="1"/>
  <c r="K116" i="11"/>
  <c r="L116" i="11" s="1"/>
  <c r="K103" i="11"/>
  <c r="L103" i="11" s="1"/>
  <c r="Z2715" i="1"/>
  <c r="Z2816" i="1"/>
  <c r="F88" i="11"/>
  <c r="I88" i="11" s="1"/>
  <c r="F115" i="11"/>
  <c r="I115" i="11" s="1"/>
  <c r="F176" i="11"/>
  <c r="I176" i="11" s="1"/>
  <c r="K102" i="11"/>
  <c r="L102" i="11" s="1"/>
  <c r="K134" i="11"/>
  <c r="L134" i="11" s="1"/>
  <c r="F103" i="11"/>
  <c r="I103" i="11" s="1"/>
  <c r="Z2678" i="1"/>
  <c r="Z2674" i="1"/>
  <c r="B47" i="10" s="1"/>
  <c r="B105" i="10" s="1"/>
  <c r="N180" i="11"/>
  <c r="O180" i="11" s="1"/>
  <c r="K180" i="11"/>
  <c r="L180" i="11" s="1"/>
  <c r="B40" i="10"/>
  <c r="I98" i="10" s="1"/>
  <c r="G141" i="11"/>
  <c r="N107" i="11"/>
  <c r="O107" i="11" s="1"/>
  <c r="F194" i="11"/>
  <c r="I194" i="11" s="1"/>
  <c r="F209" i="11"/>
  <c r="F20" i="11"/>
  <c r="I20" i="11" s="1"/>
  <c r="G101" i="11"/>
  <c r="K101" i="11" s="1"/>
  <c r="L101" i="11" s="1"/>
  <c r="F27" i="11"/>
  <c r="I27" i="11" s="1"/>
  <c r="F92" i="11"/>
  <c r="I92" i="11" s="1"/>
  <c r="F146" i="11"/>
  <c r="I146" i="11" s="1"/>
  <c r="F180" i="11"/>
  <c r="I180" i="11" s="1"/>
  <c r="F170" i="11"/>
  <c r="I170" i="11" s="1"/>
  <c r="F162" i="11"/>
  <c r="I162" i="11" s="1"/>
  <c r="F197" i="11"/>
  <c r="I197" i="11" s="1"/>
  <c r="F140" i="11"/>
  <c r="I140" i="11" s="1"/>
  <c r="F107" i="11"/>
  <c r="I107" i="11" s="1"/>
  <c r="G120" i="11"/>
  <c r="G139" i="11"/>
  <c r="N139" i="11" s="1"/>
  <c r="O139" i="11" s="1"/>
  <c r="F46" i="11"/>
  <c r="I46" i="11" s="1"/>
  <c r="F193" i="11"/>
  <c r="I193" i="11" s="1"/>
  <c r="F66" i="13"/>
  <c r="E66" i="13" s="1" a="1"/>
  <c r="E66" i="13" s="1"/>
  <c r="F250" i="6" s="1"/>
  <c r="G75" i="11"/>
  <c r="F212" i="11"/>
  <c r="I212" i="11" s="1"/>
  <c r="G60" i="11"/>
  <c r="N60" i="11" s="1"/>
  <c r="O60" i="11" s="1"/>
  <c r="R2842" i="1"/>
  <c r="Z2686" i="1"/>
  <c r="Z2675" i="1"/>
  <c r="Z2695" i="1"/>
  <c r="Z2704" i="1"/>
  <c r="Z2729" i="1"/>
  <c r="Z2751" i="1"/>
  <c r="Z2791" i="1"/>
  <c r="Z2785" i="1"/>
  <c r="Z2779" i="1"/>
  <c r="Z2810" i="1"/>
  <c r="Z2804" i="1"/>
  <c r="Z2800" i="1"/>
  <c r="Z2836" i="1"/>
  <c r="Z2830" i="1"/>
  <c r="Z2823" i="1"/>
  <c r="G48" i="10" s="1"/>
  <c r="H206" i="10" s="1"/>
  <c r="F10" i="11"/>
  <c r="I10" i="11" s="1"/>
  <c r="G181" i="11"/>
  <c r="Z2673" i="1"/>
  <c r="B48" i="10" s="1"/>
  <c r="B106" i="10" s="1"/>
  <c r="G70" i="11"/>
  <c r="F130" i="11"/>
  <c r="I130" i="11" s="1"/>
  <c r="Q2842" i="1"/>
  <c r="F163" i="11"/>
  <c r="I163" i="11" s="1"/>
  <c r="N41" i="11"/>
  <c r="O41" i="11" s="1"/>
  <c r="K208" i="11"/>
  <c r="L208" i="11" s="1"/>
  <c r="K190" i="11"/>
  <c r="L190" i="11" s="1"/>
  <c r="F105" i="11"/>
  <c r="N48" i="11"/>
  <c r="O48" i="11" s="1"/>
  <c r="K48" i="11"/>
  <c r="L48" i="11" s="1"/>
  <c r="N91" i="11"/>
  <c r="O91" i="11" s="1"/>
  <c r="K91" i="11"/>
  <c r="L91" i="11" s="1"/>
  <c r="N90" i="11"/>
  <c r="O90" i="11" s="1"/>
  <c r="K90" i="11"/>
  <c r="L90" i="11" s="1"/>
  <c r="K62" i="11"/>
  <c r="L62" i="11" s="1"/>
  <c r="N62" i="11"/>
  <c r="O62" i="11" s="1"/>
  <c r="N20" i="11"/>
  <c r="O20" i="11" s="1"/>
  <c r="K20" i="11"/>
  <c r="L20" i="11" s="1"/>
  <c r="N132" i="11"/>
  <c r="O132" i="11" s="1"/>
  <c r="K132" i="11"/>
  <c r="L132" i="11" s="1"/>
  <c r="N151" i="11"/>
  <c r="O151" i="11" s="1"/>
  <c r="K151" i="11"/>
  <c r="L151" i="11" s="1"/>
  <c r="K201" i="11"/>
  <c r="L201" i="11" s="1"/>
  <c r="N201" i="11"/>
  <c r="O201" i="11" s="1"/>
  <c r="K72" i="11"/>
  <c r="L72" i="11" s="1"/>
  <c r="N72" i="11"/>
  <c r="O72" i="11" s="1"/>
  <c r="K108" i="11"/>
  <c r="L108" i="11" s="1"/>
  <c r="N108" i="11"/>
  <c r="O108" i="11" s="1"/>
  <c r="Z2721" i="1"/>
  <c r="Z2775" i="1"/>
  <c r="Z2826" i="1"/>
  <c r="Z2709" i="1"/>
  <c r="C46" i="10" s="1"/>
  <c r="G79" i="10" s="1"/>
  <c r="Z2696" i="1"/>
  <c r="K46" i="11"/>
  <c r="L46" i="11" s="1"/>
  <c r="G100" i="11"/>
  <c r="K100" i="11" s="1"/>
  <c r="L100" i="11" s="1"/>
  <c r="K88" i="11"/>
  <c r="L88" i="11" s="1"/>
  <c r="G85" i="11"/>
  <c r="K193" i="11"/>
  <c r="L193" i="11" s="1"/>
  <c r="F150" i="11"/>
  <c r="I150" i="11" s="1"/>
  <c r="F62" i="11"/>
  <c r="I62" i="11" s="1"/>
  <c r="Z2735" i="1"/>
  <c r="Z2755" i="1"/>
  <c r="K61" i="11"/>
  <c r="L61" i="11" s="1"/>
  <c r="Y2668" i="1"/>
  <c r="Z2784" i="1"/>
  <c r="H46" i="10" s="1"/>
  <c r="B229" i="10" s="1"/>
  <c r="Z2795" i="1"/>
  <c r="Z2682" i="1"/>
  <c r="Z2700" i="1"/>
  <c r="K55" i="11"/>
  <c r="L55" i="11" s="1"/>
  <c r="N32" i="11"/>
  <c r="O32" i="11" s="1"/>
  <c r="F179" i="11"/>
  <c r="K16" i="11"/>
  <c r="L16" i="11" s="1"/>
  <c r="K205" i="11"/>
  <c r="L205" i="11" s="1"/>
  <c r="K210" i="11"/>
  <c r="L210" i="11" s="1"/>
  <c r="G52" i="11"/>
  <c r="K52" i="11" s="1"/>
  <c r="L52" i="11" s="1"/>
  <c r="K115" i="11"/>
  <c r="L115" i="11" s="1"/>
  <c r="G137" i="11"/>
  <c r="K137" i="11" s="1"/>
  <c r="L137" i="11" s="1"/>
  <c r="F151" i="11"/>
  <c r="I151" i="11" s="1"/>
  <c r="G182" i="11"/>
  <c r="K182" i="11" s="1"/>
  <c r="L182" i="11" s="1"/>
  <c r="Y2667" i="1"/>
  <c r="I221" i="11" s="1"/>
  <c r="G59" i="11"/>
  <c r="K59" i="11" s="1"/>
  <c r="L59" i="11" s="1"/>
  <c r="G196" i="11"/>
  <c r="Z2687" i="1"/>
  <c r="B54" i="10" s="1"/>
  <c r="F112" i="10" s="1"/>
  <c r="Z2680" i="1"/>
  <c r="Z2676" i="1"/>
  <c r="Z2711" i="1"/>
  <c r="Z2713" i="1"/>
  <c r="Z2764" i="1"/>
  <c r="Z2759" i="1"/>
  <c r="E46" i="10" s="1"/>
  <c r="D154" i="10" s="1"/>
  <c r="F108" i="11"/>
  <c r="I108" i="11" s="1"/>
  <c r="F211" i="11"/>
  <c r="I211" i="11" s="1"/>
  <c r="G10" i="11"/>
  <c r="K10" i="11" s="1"/>
  <c r="L10" i="11" s="1"/>
  <c r="Z2671" i="1"/>
  <c r="Z2710" i="1"/>
  <c r="Z2705" i="1"/>
  <c r="Z2701" i="1"/>
  <c r="Z2736" i="1"/>
  <c r="Z2722" i="1"/>
  <c r="D39" i="10" s="1"/>
  <c r="Q341" i="6" s="1"/>
  <c r="F340" i="6" s="1"/>
  <c r="Z2762" i="1"/>
  <c r="E54" i="10" s="1"/>
  <c r="D162" i="10" s="1"/>
  <c r="Z2756" i="1"/>
  <c r="Z2763" i="1"/>
  <c r="Z2837" i="1"/>
  <c r="G54" i="10" s="1"/>
  <c r="B212" i="10" s="1"/>
  <c r="F210" i="11"/>
  <c r="I210" i="11" s="1"/>
  <c r="G58" i="11"/>
  <c r="F134" i="11"/>
  <c r="I134" i="11" s="1"/>
  <c r="F111" i="11"/>
  <c r="I111" i="11" s="1"/>
  <c r="F87" i="11"/>
  <c r="I87" i="11" s="1"/>
  <c r="G87" i="11"/>
  <c r="T2842" i="1"/>
  <c r="F55" i="11"/>
  <c r="I55" i="11" s="1"/>
  <c r="G81" i="11"/>
  <c r="F81" i="11"/>
  <c r="I81" i="11" s="1"/>
  <c r="N92" i="11"/>
  <c r="O92" i="11" s="1"/>
  <c r="K146" i="11"/>
  <c r="L146" i="11" s="1"/>
  <c r="N146" i="11"/>
  <c r="O146" i="11" s="1"/>
  <c r="N31" i="11"/>
  <c r="O31" i="11" s="1"/>
  <c r="F42" i="11"/>
  <c r="I42" i="11" s="1"/>
  <c r="G42" i="11"/>
  <c r="K142" i="11"/>
  <c r="L142" i="11" s="1"/>
  <c r="N142" i="11"/>
  <c r="O142" i="11" s="1"/>
  <c r="G18" i="11"/>
  <c r="F28" i="11"/>
  <c r="I28" i="11" s="1"/>
  <c r="G28" i="11"/>
  <c r="K22" i="11"/>
  <c r="L22" i="11" s="1"/>
  <c r="K163" i="11"/>
  <c r="L163" i="11" s="1"/>
  <c r="S2842" i="1"/>
  <c r="G147" i="11"/>
  <c r="N147" i="11" s="1"/>
  <c r="O147" i="11" s="1"/>
  <c r="F147" i="11"/>
  <c r="I147" i="11" s="1"/>
  <c r="F15" i="11"/>
  <c r="F166" i="11"/>
  <c r="I166" i="11" s="1"/>
  <c r="G74" i="11"/>
  <c r="F74" i="11"/>
  <c r="I74" i="11" s="1"/>
  <c r="G104" i="11"/>
  <c r="F104" i="11"/>
  <c r="I104" i="11" s="1"/>
  <c r="U2842" i="1"/>
  <c r="G19" i="11"/>
  <c r="F19" i="11"/>
  <c r="I19" i="11" s="1"/>
  <c r="G149" i="11"/>
  <c r="K149" i="11" s="1"/>
  <c r="L149" i="11" s="1"/>
  <c r="F149" i="11"/>
  <c r="K194" i="11"/>
  <c r="L194" i="11" s="1"/>
  <c r="N194" i="11"/>
  <c r="O194" i="11" s="1"/>
  <c r="F121" i="11"/>
  <c r="I121" i="11" s="1"/>
  <c r="G121" i="11"/>
  <c r="G51" i="11"/>
  <c r="K111" i="11"/>
  <c r="L111" i="11" s="1"/>
  <c r="F109" i="11"/>
  <c r="I109" i="11" s="1"/>
  <c r="K169" i="11"/>
  <c r="L169" i="11" s="1"/>
  <c r="G145" i="11"/>
  <c r="F145" i="11"/>
  <c r="I145" i="11" s="1"/>
  <c r="F131" i="11"/>
  <c r="I131" i="11" s="1"/>
  <c r="G131" i="11"/>
  <c r="N78" i="11"/>
  <c r="O78" i="11" s="1"/>
  <c r="G168" i="11"/>
  <c r="F168" i="11"/>
  <c r="I168" i="11" s="1"/>
  <c r="F198" i="11"/>
  <c r="I198" i="11" s="1"/>
  <c r="G198" i="11"/>
  <c r="F117" i="11"/>
  <c r="I117" i="11" s="1"/>
  <c r="F50" i="11"/>
  <c r="I50" i="11" s="1"/>
  <c r="G47" i="11"/>
  <c r="F135" i="11"/>
  <c r="Z2679" i="1"/>
  <c r="Z2815" i="1"/>
  <c r="Z2685" i="1"/>
  <c r="N197" i="11"/>
  <c r="O197" i="11" s="1"/>
  <c r="K197" i="11"/>
  <c r="L197" i="11" s="1"/>
  <c r="G17" i="11"/>
  <c r="F17" i="11"/>
  <c r="I17" i="11" s="1"/>
  <c r="G171" i="11"/>
  <c r="F171" i="11"/>
  <c r="I171" i="11" s="1"/>
  <c r="K136" i="11"/>
  <c r="L136" i="11" s="1"/>
  <c r="N78" i="12"/>
  <c r="L66" i="12"/>
  <c r="M66" i="12" s="1"/>
  <c r="L80" i="12"/>
  <c r="M80" i="12" s="1"/>
  <c r="N27" i="11"/>
  <c r="O27" i="11" s="1"/>
  <c r="K117" i="11"/>
  <c r="L117" i="11" s="1"/>
  <c r="N117" i="11"/>
  <c r="O117" i="11" s="1"/>
  <c r="D77" i="16"/>
  <c r="BG24" i="8" s="1"/>
  <c r="BH24" i="8"/>
  <c r="E112" i="13" a="1"/>
  <c r="E112" i="13" s="1"/>
  <c r="H112" i="13" s="1"/>
  <c r="N175" i="11"/>
  <c r="O175" i="11" s="1"/>
  <c r="K175" i="11"/>
  <c r="L175" i="11" s="1"/>
  <c r="N52" i="12"/>
  <c r="K89" i="11"/>
  <c r="L89" i="11" s="1"/>
  <c r="K119" i="11"/>
  <c r="L119" i="11" s="1"/>
  <c r="D97" i="16"/>
  <c r="CF24" i="8" s="1"/>
  <c r="D106" i="16"/>
  <c r="D107" i="16" s="1"/>
  <c r="N110" i="11"/>
  <c r="O110" i="11" s="1"/>
  <c r="K209" i="11"/>
  <c r="L209" i="11" s="1"/>
  <c r="O26" i="12"/>
  <c r="M24" i="12"/>
  <c r="N24" i="12" s="1"/>
  <c r="N50" i="11"/>
  <c r="O50" i="11" s="1"/>
  <c r="K50" i="11"/>
  <c r="L50" i="11" s="1"/>
  <c r="D72" i="16"/>
  <c r="AF24" i="8" s="1"/>
  <c r="M10" i="12"/>
  <c r="N10" i="12" s="1"/>
  <c r="L38" i="12"/>
  <c r="M38" i="12" s="1"/>
  <c r="K29" i="11"/>
  <c r="L29" i="11" s="1"/>
  <c r="D99" i="16"/>
  <c r="N77" i="11"/>
  <c r="O77" i="11" s="1"/>
  <c r="K77" i="11"/>
  <c r="L77" i="11" s="1"/>
  <c r="G40" i="11"/>
  <c r="F40" i="11"/>
  <c r="I40" i="11" s="1"/>
  <c r="K165" i="11"/>
  <c r="L165" i="11" s="1"/>
  <c r="N150" i="11"/>
  <c r="O150" i="11" s="1"/>
  <c r="K150" i="11"/>
  <c r="L150" i="11" s="1"/>
  <c r="K179" i="11"/>
  <c r="L179" i="11" s="1"/>
  <c r="K160" i="11"/>
  <c r="L160" i="11" s="1"/>
  <c r="N68" i="12"/>
  <c r="N42" i="12"/>
  <c r="BS24" i="8"/>
  <c r="BT24" i="8" s="1"/>
  <c r="F30" i="11"/>
  <c r="I30" i="11" s="1"/>
  <c r="G30" i="11"/>
  <c r="G207" i="11"/>
  <c r="F207" i="11"/>
  <c r="I207" i="11" s="1"/>
  <c r="N48" i="12"/>
  <c r="F22" i="11"/>
  <c r="I22" i="11" s="1"/>
  <c r="O27" i="12"/>
  <c r="N64" i="12"/>
  <c r="N211" i="11"/>
  <c r="O211" i="11" s="1"/>
  <c r="I408" i="7"/>
  <c r="B71" i="11" s="1"/>
  <c r="I406" i="7"/>
  <c r="I407" i="7"/>
  <c r="B11" i="11" s="1"/>
  <c r="I410" i="7"/>
  <c r="B131" i="11" s="1"/>
  <c r="E19" i="9" l="1"/>
  <c r="H19" i="9"/>
  <c r="CP24" i="8"/>
  <c r="CP33" i="8" s="1"/>
  <c r="B19" i="9"/>
  <c r="C19" i="9"/>
  <c r="D19" i="9"/>
  <c r="G19" i="9"/>
  <c r="F19" i="9"/>
  <c r="C130" i="10"/>
  <c r="Q302" i="6"/>
  <c r="F293" i="6" s="1"/>
  <c r="H293" i="6" s="1"/>
  <c r="F43" i="11"/>
  <c r="I43" i="11" s="1"/>
  <c r="K81" i="10"/>
  <c r="D81" i="10"/>
  <c r="H81" i="10"/>
  <c r="E81" i="10"/>
  <c r="L81" i="10"/>
  <c r="F81" i="10"/>
  <c r="G81" i="10"/>
  <c r="M81" i="10"/>
  <c r="J81" i="10"/>
  <c r="G133" i="11"/>
  <c r="F133" i="11"/>
  <c r="I133" i="11" s="1"/>
  <c r="F13" i="11"/>
  <c r="I13" i="11" s="1"/>
  <c r="G13" i="11"/>
  <c r="G43" i="11"/>
  <c r="B181" i="10"/>
  <c r="I97" i="10"/>
  <c r="D33" i="8"/>
  <c r="E52" i="10"/>
  <c r="Q378" i="6" s="1"/>
  <c r="L155" i="10"/>
  <c r="C104" i="10"/>
  <c r="L97" i="10"/>
  <c r="J230" i="10"/>
  <c r="K155" i="10"/>
  <c r="B36" i="10"/>
  <c r="H94" i="10" s="1"/>
  <c r="Q324" i="6"/>
  <c r="F323" i="6" s="1"/>
  <c r="J323" i="6" s="1"/>
  <c r="K323" i="6" s="1"/>
  <c r="M155" i="10"/>
  <c r="G155" i="10"/>
  <c r="I179" i="11"/>
  <c r="I183" i="11" s="1"/>
  <c r="B174" i="11" s="1"/>
  <c r="C30" i="16" s="1"/>
  <c r="H30" i="16" s="1"/>
  <c r="I149" i="11"/>
  <c r="I153" i="11" s="1"/>
  <c r="B144" i="11" s="1"/>
  <c r="C36" i="16" s="1"/>
  <c r="H36" i="16" s="1"/>
  <c r="I165" i="11"/>
  <c r="I173" i="11" s="1"/>
  <c r="B160" i="11" s="1"/>
  <c r="I59" i="11"/>
  <c r="I63" i="11" s="1"/>
  <c r="B54" i="11" s="1"/>
  <c r="C18" i="16" s="1"/>
  <c r="H18" i="16" s="1"/>
  <c r="H97" i="10"/>
  <c r="B97" i="10"/>
  <c r="Q317" i="6"/>
  <c r="C97" i="10"/>
  <c r="K104" i="10"/>
  <c r="F97" i="10"/>
  <c r="H52" i="10"/>
  <c r="H235" i="10" s="1"/>
  <c r="N106" i="11"/>
  <c r="O106" i="11" s="1"/>
  <c r="L230" i="10"/>
  <c r="Q373" i="6"/>
  <c r="F155" i="10"/>
  <c r="I104" i="10"/>
  <c r="K97" i="10"/>
  <c r="B230" i="10"/>
  <c r="C155" i="10"/>
  <c r="E156" i="10"/>
  <c r="I72" i="10"/>
  <c r="Q374" i="6"/>
  <c r="F365" i="6" s="1"/>
  <c r="M365" i="6" s="1"/>
  <c r="N365" i="6" s="1"/>
  <c r="C109" i="16"/>
  <c r="F161" i="6"/>
  <c r="B160" i="6" s="1"/>
  <c r="D38" i="16" s="1"/>
  <c r="CC24" i="8" s="1"/>
  <c r="F58" i="6"/>
  <c r="CA24" i="8"/>
  <c r="CC33" i="8"/>
  <c r="F222" i="10"/>
  <c r="C40" i="13" s="1" a="1"/>
  <c r="C40" i="13" s="1"/>
  <c r="G97" i="10"/>
  <c r="B231" i="10"/>
  <c r="C29" i="13" s="1" a="1"/>
  <c r="C29" i="13" s="1"/>
  <c r="B50" i="10"/>
  <c r="L108" i="10" s="1"/>
  <c r="M97" i="10"/>
  <c r="D129" i="10"/>
  <c r="D111" i="16"/>
  <c r="H257" i="6"/>
  <c r="J257" i="6"/>
  <c r="K257" i="6" s="1"/>
  <c r="K202" i="11"/>
  <c r="L202" i="11" s="1"/>
  <c r="I413" i="7"/>
  <c r="J137" i="10"/>
  <c r="G40" i="10"/>
  <c r="Q414" i="6" s="1"/>
  <c r="J156" i="10"/>
  <c r="M104" i="10"/>
  <c r="E155" i="10"/>
  <c r="L104" i="10"/>
  <c r="G156" i="10"/>
  <c r="B156" i="10"/>
  <c r="L156" i="10"/>
  <c r="C156" i="10"/>
  <c r="B104" i="10"/>
  <c r="F230" i="10"/>
  <c r="D156" i="10"/>
  <c r="F156" i="10"/>
  <c r="B155" i="10"/>
  <c r="N177" i="11"/>
  <c r="O177" i="11" s="1"/>
  <c r="H230" i="10"/>
  <c r="J155" i="10"/>
  <c r="K156" i="10"/>
  <c r="C129" i="10"/>
  <c r="L129" i="10"/>
  <c r="H231" i="10"/>
  <c r="C53" i="13" s="1" a="1"/>
  <c r="C53" i="13" s="1"/>
  <c r="I79" i="10"/>
  <c r="J104" i="10"/>
  <c r="F181" i="10"/>
  <c r="M72" i="10"/>
  <c r="G72" i="10"/>
  <c r="E79" i="10"/>
  <c r="H72" i="10"/>
  <c r="J72" i="10"/>
  <c r="D79" i="10"/>
  <c r="K72" i="10"/>
  <c r="F72" i="10"/>
  <c r="Q293" i="6"/>
  <c r="F292" i="6" s="1"/>
  <c r="H292" i="6" s="1"/>
  <c r="J79" i="10"/>
  <c r="D72" i="10"/>
  <c r="I87" i="10"/>
  <c r="E72" i="10"/>
  <c r="J231" i="10"/>
  <c r="C65" i="13" s="1" a="1"/>
  <c r="C65" i="13" s="1"/>
  <c r="D147" i="10"/>
  <c r="L147" i="10"/>
  <c r="K200" i="11"/>
  <c r="L200" i="11" s="1"/>
  <c r="M181" i="10"/>
  <c r="C172" i="10"/>
  <c r="J147" i="10"/>
  <c r="I181" i="10"/>
  <c r="F172" i="10"/>
  <c r="Q365" i="6"/>
  <c r="F364" i="6" s="1"/>
  <c r="J364" i="6" s="1"/>
  <c r="K364" i="6" s="1"/>
  <c r="Q398" i="6"/>
  <c r="F389" i="6" s="1"/>
  <c r="M389" i="6" s="1"/>
  <c r="N389" i="6" s="1"/>
  <c r="D231" i="10"/>
  <c r="C17" i="13" s="1" a="1"/>
  <c r="C17" i="13" s="1"/>
  <c r="F231" i="10"/>
  <c r="C41" i="13" s="1" a="1"/>
  <c r="C41" i="13" s="1"/>
  <c r="F147" i="10"/>
  <c r="G181" i="10"/>
  <c r="D40" i="10"/>
  <c r="Q342" i="6" s="1"/>
  <c r="I129" i="10"/>
  <c r="L222" i="10"/>
  <c r="C76" i="13" s="1" a="1"/>
  <c r="C76" i="13" s="1"/>
  <c r="E129" i="10"/>
  <c r="H347" i="6"/>
  <c r="B222" i="10"/>
  <c r="C28" i="13" s="1" a="1"/>
  <c r="C28" i="13" s="1"/>
  <c r="D222" i="10"/>
  <c r="C16" i="13" s="1" a="1"/>
  <c r="C16" i="13" s="1"/>
  <c r="J222" i="10"/>
  <c r="C64" i="13" s="1" a="1"/>
  <c r="C64" i="13" s="1"/>
  <c r="D36" i="10"/>
  <c r="Q338" i="6" s="1"/>
  <c r="H98" i="10"/>
  <c r="L131" i="10"/>
  <c r="K147" i="10"/>
  <c r="H181" i="10"/>
  <c r="I131" i="10"/>
  <c r="B147" i="10"/>
  <c r="C181" i="10"/>
  <c r="G147" i="10"/>
  <c r="B131" i="10"/>
  <c r="K71" i="11"/>
  <c r="L71" i="11" s="1"/>
  <c r="D197" i="10"/>
  <c r="G172" i="10"/>
  <c r="H197" i="10"/>
  <c r="N86" i="11"/>
  <c r="O86" i="11" s="1"/>
  <c r="M87" i="10"/>
  <c r="L229" i="10"/>
  <c r="F197" i="10"/>
  <c r="N52" i="11"/>
  <c r="O52" i="11" s="1"/>
  <c r="H388" i="6"/>
  <c r="H131" i="10"/>
  <c r="K192" i="11"/>
  <c r="L192" i="11" s="1"/>
  <c r="N76" i="11"/>
  <c r="O76" i="11" s="1"/>
  <c r="L172" i="10"/>
  <c r="C197" i="10"/>
  <c r="K131" i="10"/>
  <c r="M172" i="10"/>
  <c r="Q420" i="6"/>
  <c r="F419" i="6" s="1"/>
  <c r="J419" i="6" s="1"/>
  <c r="K419" i="6" s="1"/>
  <c r="E197" i="10"/>
  <c r="E137" i="10"/>
  <c r="E181" i="10"/>
  <c r="G50" i="10"/>
  <c r="B208" i="10" s="1"/>
  <c r="Q396" i="6"/>
  <c r="F395" i="6" s="1"/>
  <c r="J395" i="6" s="1"/>
  <c r="K395" i="6" s="1"/>
  <c r="L181" i="10"/>
  <c r="C131" i="10"/>
  <c r="Q413" i="6"/>
  <c r="E131" i="10"/>
  <c r="I197" i="10"/>
  <c r="D172" i="10"/>
  <c r="Q350" i="6"/>
  <c r="F341" i="6" s="1"/>
  <c r="J341" i="6" s="1"/>
  <c r="K341" i="6" s="1"/>
  <c r="B197" i="10"/>
  <c r="D131" i="10"/>
  <c r="I172" i="10"/>
  <c r="J197" i="10"/>
  <c r="K197" i="10"/>
  <c r="H172" i="10"/>
  <c r="J388" i="6"/>
  <c r="K388" i="6" s="1"/>
  <c r="M131" i="10"/>
  <c r="H104" i="10"/>
  <c r="F104" i="10"/>
  <c r="K137" i="10"/>
  <c r="G36" i="10"/>
  <c r="Q410" i="6" s="1"/>
  <c r="M137" i="10"/>
  <c r="D204" i="10"/>
  <c r="B137" i="10"/>
  <c r="L79" i="10"/>
  <c r="Q300" i="6"/>
  <c r="F299" i="6" s="1"/>
  <c r="H299" i="6" s="1"/>
  <c r="D137" i="10"/>
  <c r="B204" i="10"/>
  <c r="J204" i="10"/>
  <c r="H204" i="10"/>
  <c r="J129" i="10"/>
  <c r="H137" i="10"/>
  <c r="E204" i="10"/>
  <c r="C36" i="10"/>
  <c r="G69" i="10" s="1"/>
  <c r="H129" i="10"/>
  <c r="B129" i="10"/>
  <c r="E172" i="10"/>
  <c r="M347" i="6"/>
  <c r="N347" i="6" s="1"/>
  <c r="Q318" i="6"/>
  <c r="I137" i="10"/>
  <c r="K204" i="10"/>
  <c r="M129" i="10"/>
  <c r="K129" i="10"/>
  <c r="C204" i="10"/>
  <c r="B172" i="10"/>
  <c r="F204" i="10"/>
  <c r="E147" i="10"/>
  <c r="D37" i="10"/>
  <c r="C120" i="10" s="1"/>
  <c r="C147" i="10"/>
  <c r="C137" i="10"/>
  <c r="L137" i="10"/>
  <c r="K147" i="11"/>
  <c r="L147" i="11" s="1"/>
  <c r="H79" i="10"/>
  <c r="G204" i="10"/>
  <c r="E130" i="10"/>
  <c r="G206" i="10"/>
  <c r="K25" i="11"/>
  <c r="L25" i="11" s="1"/>
  <c r="J237" i="10"/>
  <c r="H237" i="10"/>
  <c r="B237" i="10"/>
  <c r="L80" i="10"/>
  <c r="F237" i="10"/>
  <c r="L237" i="10"/>
  <c r="D237" i="10"/>
  <c r="F106" i="10"/>
  <c r="H87" i="10"/>
  <c r="J87" i="10"/>
  <c r="G112" i="10"/>
  <c r="K112" i="10"/>
  <c r="G87" i="10"/>
  <c r="L87" i="10"/>
  <c r="K87" i="10"/>
  <c r="D87" i="10"/>
  <c r="F87" i="10"/>
  <c r="E87" i="10"/>
  <c r="H36" i="10"/>
  <c r="H219" i="10" s="1"/>
  <c r="D206" i="10"/>
  <c r="D229" i="10"/>
  <c r="Q308" i="6"/>
  <c r="B179" i="10"/>
  <c r="F229" i="10"/>
  <c r="J229" i="10"/>
  <c r="K79" i="11"/>
  <c r="L79" i="11" s="1"/>
  <c r="G179" i="10"/>
  <c r="I179" i="10"/>
  <c r="K139" i="11"/>
  <c r="L139" i="11" s="1"/>
  <c r="F206" i="10"/>
  <c r="H179" i="10"/>
  <c r="F40" i="10"/>
  <c r="Q390" i="6" s="1"/>
  <c r="J206" i="10"/>
  <c r="N101" i="11"/>
  <c r="O101" i="11" s="1"/>
  <c r="Q422" i="6"/>
  <c r="F413" i="6" s="1"/>
  <c r="H413" i="6" s="1"/>
  <c r="F179" i="10"/>
  <c r="M98" i="10"/>
  <c r="F36" i="10"/>
  <c r="Q386" i="6" s="1"/>
  <c r="K60" i="11"/>
  <c r="L60" i="11" s="1"/>
  <c r="B206" i="10"/>
  <c r="M179" i="10"/>
  <c r="C206" i="10"/>
  <c r="E179" i="10"/>
  <c r="I206" i="10"/>
  <c r="C179" i="10"/>
  <c r="D179" i="10"/>
  <c r="E206" i="10"/>
  <c r="D220" i="10"/>
  <c r="K199" i="11"/>
  <c r="L199" i="11" s="1"/>
  <c r="L105" i="10"/>
  <c r="H106" i="10"/>
  <c r="H220" i="10"/>
  <c r="G212" i="10"/>
  <c r="I105" i="10"/>
  <c r="B220" i="10"/>
  <c r="H80" i="10"/>
  <c r="K105" i="10"/>
  <c r="C212" i="10"/>
  <c r="M105" i="10"/>
  <c r="J105" i="10"/>
  <c r="E80" i="10"/>
  <c r="C105" i="10"/>
  <c r="N182" i="11"/>
  <c r="O182" i="11" s="1"/>
  <c r="F80" i="10"/>
  <c r="F105" i="10"/>
  <c r="N10" i="11"/>
  <c r="O10" i="11" s="1"/>
  <c r="Q326" i="6"/>
  <c r="F317" i="6" s="1"/>
  <c r="H317" i="6" s="1"/>
  <c r="B52" i="10"/>
  <c r="F220" i="10"/>
  <c r="Q325" i="6"/>
  <c r="G162" i="10"/>
  <c r="G154" i="10"/>
  <c r="H130" i="10"/>
  <c r="K73" i="11"/>
  <c r="L73" i="11" s="1"/>
  <c r="I80" i="10"/>
  <c r="E154" i="10"/>
  <c r="M130" i="10"/>
  <c r="I15" i="11"/>
  <c r="Q301" i="6"/>
  <c r="L130" i="10"/>
  <c r="J106" i="10"/>
  <c r="F390" i="6"/>
  <c r="H390" i="6" s="1"/>
  <c r="J80" i="10"/>
  <c r="D52" i="10"/>
  <c r="D135" i="10" s="1"/>
  <c r="M80" i="10"/>
  <c r="F54" i="13"/>
  <c r="F57" i="13" s="1"/>
  <c r="L106" i="10"/>
  <c r="N100" i="11"/>
  <c r="O100" i="11" s="1"/>
  <c r="I130" i="10"/>
  <c r="K130" i="10"/>
  <c r="L154" i="10"/>
  <c r="G106" i="10"/>
  <c r="F102" i="13" a="1"/>
  <c r="F102" i="13" s="1"/>
  <c r="F105" i="13" s="1"/>
  <c r="E105" i="13" s="1" a="1"/>
  <c r="E105" i="13" s="1"/>
  <c r="H105" i="13" s="1"/>
  <c r="C106" i="10"/>
  <c r="D80" i="10"/>
  <c r="J130" i="10"/>
  <c r="H105" i="10"/>
  <c r="G105" i="10"/>
  <c r="Q372" i="6"/>
  <c r="F371" i="6" s="1"/>
  <c r="H371" i="6" s="1"/>
  <c r="K106" i="10"/>
  <c r="C52" i="10"/>
  <c r="L85" i="10" s="1"/>
  <c r="B130" i="10"/>
  <c r="Q349" i="6"/>
  <c r="K80" i="10"/>
  <c r="M250" i="6"/>
  <c r="N250" i="6" s="1"/>
  <c r="H250" i="6"/>
  <c r="J250" i="6"/>
  <c r="K250" i="6" s="1"/>
  <c r="J112" i="10"/>
  <c r="F90" i="13" a="1"/>
  <c r="F90" i="13" s="1"/>
  <c r="F93" i="13" s="1"/>
  <c r="N120" i="11"/>
  <c r="O120" i="11" s="1"/>
  <c r="K120" i="11"/>
  <c r="L120" i="11" s="1"/>
  <c r="K98" i="10"/>
  <c r="F98" i="10"/>
  <c r="B98" i="10"/>
  <c r="C98" i="10"/>
  <c r="L112" i="10"/>
  <c r="F42" i="13"/>
  <c r="F45" i="13" s="1"/>
  <c r="Q428" i="6"/>
  <c r="K79" i="10"/>
  <c r="F69" i="13"/>
  <c r="N181" i="11"/>
  <c r="O181" i="11" s="1"/>
  <c r="K181" i="11"/>
  <c r="L181" i="11" s="1"/>
  <c r="L183" i="11" s="1"/>
  <c r="B164" i="11" s="1"/>
  <c r="M106" i="10"/>
  <c r="Q332" i="6"/>
  <c r="I106" i="10"/>
  <c r="J220" i="10"/>
  <c r="G98" i="10"/>
  <c r="M112" i="10"/>
  <c r="L98" i="10"/>
  <c r="K70" i="11"/>
  <c r="L70" i="11" s="1"/>
  <c r="N70" i="11"/>
  <c r="O70" i="11" s="1"/>
  <c r="B112" i="10"/>
  <c r="F114" i="13" a="1"/>
  <c r="F114" i="13" s="1"/>
  <c r="E114" i="13" s="1" a="1"/>
  <c r="E114" i="13" s="1"/>
  <c r="H114" i="13" s="1"/>
  <c r="F78" i="13"/>
  <c r="K206" i="10"/>
  <c r="J98" i="10"/>
  <c r="K141" i="11"/>
  <c r="L141" i="11" s="1"/>
  <c r="N141" i="11"/>
  <c r="O141" i="11" s="1"/>
  <c r="H40" i="10"/>
  <c r="H229" i="10"/>
  <c r="C40" i="10"/>
  <c r="F79" i="10"/>
  <c r="M79" i="10"/>
  <c r="J46" i="10"/>
  <c r="I222" i="11"/>
  <c r="I223" i="11" s="1"/>
  <c r="B220" i="11" s="1"/>
  <c r="C42" i="16" s="1"/>
  <c r="H42" i="16" s="1"/>
  <c r="D212" i="10"/>
  <c r="I212" i="10"/>
  <c r="K212" i="10"/>
  <c r="J212" i="10"/>
  <c r="G37" i="10"/>
  <c r="F212" i="10"/>
  <c r="H212" i="10"/>
  <c r="E212" i="10"/>
  <c r="J154" i="10"/>
  <c r="N137" i="11"/>
  <c r="O137" i="11" s="1"/>
  <c r="J37" i="10"/>
  <c r="I112" i="10"/>
  <c r="C112" i="10"/>
  <c r="H112" i="10"/>
  <c r="B37" i="10"/>
  <c r="N58" i="11"/>
  <c r="O58" i="11" s="1"/>
  <c r="K58" i="11"/>
  <c r="L58" i="11" s="1"/>
  <c r="Q380" i="6"/>
  <c r="J162" i="10"/>
  <c r="E162" i="10"/>
  <c r="K162" i="10"/>
  <c r="F162" i="10"/>
  <c r="M162" i="10"/>
  <c r="E37" i="10"/>
  <c r="C162" i="10"/>
  <c r="B162" i="10"/>
  <c r="L162" i="10"/>
  <c r="N196" i="11"/>
  <c r="O196" i="11" s="1"/>
  <c r="K196" i="11"/>
  <c r="L196" i="11" s="1"/>
  <c r="K122" i="10"/>
  <c r="J122" i="10"/>
  <c r="H122" i="10"/>
  <c r="B122" i="10"/>
  <c r="D122" i="10"/>
  <c r="C122" i="10"/>
  <c r="M122" i="10"/>
  <c r="I122" i="10"/>
  <c r="L122" i="10"/>
  <c r="E122" i="10"/>
  <c r="E40" i="10"/>
  <c r="K154" i="10"/>
  <c r="B154" i="10"/>
  <c r="C154" i="10"/>
  <c r="M154" i="10"/>
  <c r="E36" i="10"/>
  <c r="F154" i="10"/>
  <c r="K85" i="11"/>
  <c r="L85" i="11" s="1"/>
  <c r="N85" i="11"/>
  <c r="O85" i="11" s="1"/>
  <c r="N104" i="11"/>
  <c r="O104" i="11" s="1"/>
  <c r="K104" i="11"/>
  <c r="L104" i="11" s="1"/>
  <c r="N18" i="11"/>
  <c r="O18" i="11" s="1"/>
  <c r="K18" i="11"/>
  <c r="L18" i="11" s="1"/>
  <c r="N51" i="11"/>
  <c r="O51" i="11" s="1"/>
  <c r="K51" i="11"/>
  <c r="L51" i="11" s="1"/>
  <c r="N168" i="11"/>
  <c r="O168" i="11" s="1"/>
  <c r="K168" i="11"/>
  <c r="L168" i="11" s="1"/>
  <c r="K28" i="11"/>
  <c r="L28" i="11" s="1"/>
  <c r="N28" i="11"/>
  <c r="O28" i="11" s="1"/>
  <c r="K81" i="11"/>
  <c r="L81" i="11" s="1"/>
  <c r="N81" i="11"/>
  <c r="O81" i="11" s="1"/>
  <c r="N131" i="11"/>
  <c r="O131" i="11" s="1"/>
  <c r="K131" i="11"/>
  <c r="L131" i="11" s="1"/>
  <c r="K74" i="11"/>
  <c r="L74" i="11" s="1"/>
  <c r="N74" i="11"/>
  <c r="O74" i="11" s="1"/>
  <c r="N42" i="11"/>
  <c r="O42" i="11" s="1"/>
  <c r="K42" i="11"/>
  <c r="L42" i="11" s="1"/>
  <c r="N121" i="11"/>
  <c r="O121" i="11" s="1"/>
  <c r="K121" i="11"/>
  <c r="L121" i="11" s="1"/>
  <c r="K198" i="11"/>
  <c r="L198" i="11" s="1"/>
  <c r="N198" i="11"/>
  <c r="O198" i="11" s="1"/>
  <c r="K47" i="11"/>
  <c r="L47" i="11" s="1"/>
  <c r="N47" i="11"/>
  <c r="O47" i="11" s="1"/>
  <c r="K145" i="11"/>
  <c r="L145" i="11" s="1"/>
  <c r="N145" i="11"/>
  <c r="O145" i="11" s="1"/>
  <c r="K19" i="11"/>
  <c r="L19" i="11" s="1"/>
  <c r="N19" i="11"/>
  <c r="O19" i="11" s="1"/>
  <c r="K87" i="11"/>
  <c r="L87" i="11" s="1"/>
  <c r="N87" i="11"/>
  <c r="O87" i="11" s="1"/>
  <c r="K40" i="11"/>
  <c r="L40" i="11" s="1"/>
  <c r="N40" i="11"/>
  <c r="O40" i="11" s="1"/>
  <c r="CO24" i="8"/>
  <c r="D109" i="16"/>
  <c r="D102" i="16"/>
  <c r="CN24" i="8" s="1"/>
  <c r="CN33" i="8" s="1"/>
  <c r="AF33" i="8"/>
  <c r="I135" i="11"/>
  <c r="B41" i="11"/>
  <c r="I105" i="11"/>
  <c r="I113" i="11" s="1"/>
  <c r="B100" i="11" s="1"/>
  <c r="BH33" i="8"/>
  <c r="K171" i="11"/>
  <c r="L171" i="11" s="1"/>
  <c r="N171" i="11"/>
  <c r="O171" i="11" s="1"/>
  <c r="BG33" i="8"/>
  <c r="M340" i="6"/>
  <c r="N340" i="6" s="1"/>
  <c r="J340" i="6"/>
  <c r="K340" i="6" s="1"/>
  <c r="H340" i="6"/>
  <c r="N80" i="12"/>
  <c r="N59" i="11"/>
  <c r="O59" i="11" s="1"/>
  <c r="N179" i="11"/>
  <c r="O179" i="11" s="1"/>
  <c r="N89" i="11"/>
  <c r="O89" i="11" s="1"/>
  <c r="N149" i="11"/>
  <c r="O149" i="11" s="1"/>
  <c r="N119" i="11"/>
  <c r="O119" i="11" s="1"/>
  <c r="N209" i="11"/>
  <c r="O209" i="11" s="1"/>
  <c r="N29" i="11"/>
  <c r="O29" i="11" s="1"/>
  <c r="N195" i="11"/>
  <c r="O195" i="11" s="1"/>
  <c r="N66" i="12"/>
  <c r="N165" i="11"/>
  <c r="O165" i="11" s="1"/>
  <c r="N45" i="11"/>
  <c r="O45" i="11" s="1"/>
  <c r="N15" i="11"/>
  <c r="O15" i="11" s="1"/>
  <c r="N105" i="11"/>
  <c r="O105" i="11" s="1"/>
  <c r="N135" i="11"/>
  <c r="O135" i="11" s="1"/>
  <c r="N75" i="11"/>
  <c r="O75" i="11" s="1"/>
  <c r="N17" i="11"/>
  <c r="O17" i="11" s="1"/>
  <c r="K17" i="11"/>
  <c r="L17" i="11" s="1"/>
  <c r="I209" i="11"/>
  <c r="I213" i="11" s="1"/>
  <c r="B204" i="11" s="1"/>
  <c r="C33" i="16" s="1"/>
  <c r="O24" i="12"/>
  <c r="I89" i="11"/>
  <c r="I93" i="11" s="1"/>
  <c r="B84" i="11" s="1"/>
  <c r="C24" i="16" s="1"/>
  <c r="K207" i="11"/>
  <c r="L207" i="11" s="1"/>
  <c r="L213" i="11" s="1"/>
  <c r="B194" i="11" s="1"/>
  <c r="N207" i="11"/>
  <c r="O207" i="11" s="1"/>
  <c r="K195" i="11"/>
  <c r="L195" i="11" s="1"/>
  <c r="N38" i="12"/>
  <c r="K15" i="11"/>
  <c r="L15" i="11" s="1"/>
  <c r="K105" i="11"/>
  <c r="L105" i="11" s="1"/>
  <c r="K135" i="11"/>
  <c r="L135" i="11" s="1"/>
  <c r="K75" i="11"/>
  <c r="L75" i="11" s="1"/>
  <c r="BS33" i="8"/>
  <c r="BT33" i="8" s="1"/>
  <c r="I29" i="11"/>
  <c r="I33" i="11" s="1"/>
  <c r="B24" i="11" s="1"/>
  <c r="C21" i="16" s="1"/>
  <c r="M70" i="10"/>
  <c r="Q291" i="6"/>
  <c r="F397" i="6"/>
  <c r="J70" i="10"/>
  <c r="I70" i="10"/>
  <c r="E70" i="10"/>
  <c r="H70" i="10"/>
  <c r="F70" i="10"/>
  <c r="G70" i="10"/>
  <c r="K70" i="10"/>
  <c r="D70" i="10"/>
  <c r="L70" i="10"/>
  <c r="I75" i="11"/>
  <c r="I83" i="11" s="1"/>
  <c r="B70" i="11" s="1"/>
  <c r="O10" i="12"/>
  <c r="I195" i="11"/>
  <c r="I203" i="11" s="1"/>
  <c r="B190" i="11" s="1"/>
  <c r="I45" i="11"/>
  <c r="N30" i="11"/>
  <c r="O30" i="11" s="1"/>
  <c r="K30" i="11"/>
  <c r="L30" i="11" s="1"/>
  <c r="CF33" i="8"/>
  <c r="CG24" i="8"/>
  <c r="I119" i="11"/>
  <c r="I123" i="11" s="1"/>
  <c r="B114" i="11" s="1"/>
  <c r="C27" i="16" s="1"/>
  <c r="M293" i="6" l="1"/>
  <c r="N293" i="6" s="1"/>
  <c r="I53" i="11"/>
  <c r="B40" i="11" s="1"/>
  <c r="I23" i="11"/>
  <c r="B10" i="11" s="1"/>
  <c r="E198" i="10"/>
  <c r="I135" i="10"/>
  <c r="F160" i="10"/>
  <c r="J293" i="6"/>
  <c r="K293" i="6" s="1"/>
  <c r="C160" i="10"/>
  <c r="L160" i="10"/>
  <c r="B160" i="10"/>
  <c r="D160" i="10"/>
  <c r="E160" i="10"/>
  <c r="K160" i="10"/>
  <c r="E29" i="13" a="1"/>
  <c r="E29" i="13" s="1"/>
  <c r="F177" i="6" s="1"/>
  <c r="M177" i="6" s="1"/>
  <c r="N177" i="6" s="1"/>
  <c r="H198" i="10"/>
  <c r="I143" i="11"/>
  <c r="B130" i="11" s="1"/>
  <c r="G94" i="10"/>
  <c r="N43" i="11"/>
  <c r="O43" i="11" s="1"/>
  <c r="O53" i="11" s="1"/>
  <c r="B43" i="11" s="1"/>
  <c r="K43" i="11"/>
  <c r="L43" i="11" s="1"/>
  <c r="L53" i="11" s="1"/>
  <c r="B42" i="11" s="1"/>
  <c r="N13" i="11"/>
  <c r="O13" i="11" s="1"/>
  <c r="O23" i="11" s="1"/>
  <c r="B13" i="11" s="1"/>
  <c r="K13" i="11"/>
  <c r="L13" i="11" s="1"/>
  <c r="L23" i="11" s="1"/>
  <c r="B12" i="11" s="1"/>
  <c r="N133" i="11"/>
  <c r="O133" i="11" s="1"/>
  <c r="O143" i="11" s="1"/>
  <c r="B133" i="11" s="1"/>
  <c r="K133" i="11"/>
  <c r="L133" i="11" s="1"/>
  <c r="L143" i="11" s="1"/>
  <c r="B132" i="11" s="1"/>
  <c r="J94" i="10"/>
  <c r="M160" i="10"/>
  <c r="J160" i="10"/>
  <c r="G160" i="10"/>
  <c r="B94" i="10"/>
  <c r="F153" i="6"/>
  <c r="H153" i="6" s="1"/>
  <c r="F141" i="6"/>
  <c r="H141" i="6" s="1"/>
  <c r="L281" i="10"/>
  <c r="C80" i="13" s="1" a="1"/>
  <c r="C80" i="13" s="1"/>
  <c r="F281" i="10"/>
  <c r="D281" i="10"/>
  <c r="C20" i="13" s="1" a="1"/>
  <c r="C20" i="13" s="1"/>
  <c r="J281" i="10"/>
  <c r="C68" i="13" s="1" a="1"/>
  <c r="C68" i="13" s="1"/>
  <c r="H281" i="10"/>
  <c r="C56" i="13" s="1" a="1"/>
  <c r="C56" i="13" s="1"/>
  <c r="B281" i="10"/>
  <c r="C32" i="13" s="1" a="1"/>
  <c r="C32" i="13" s="1"/>
  <c r="J272" i="10"/>
  <c r="C70" i="13" s="1" a="1"/>
  <c r="C70" i="13" s="1"/>
  <c r="L272" i="10"/>
  <c r="C82" i="13" s="1" a="1"/>
  <c r="C82" i="13" s="1"/>
  <c r="F272" i="10"/>
  <c r="C46" i="13" s="1" a="1"/>
  <c r="C46" i="13" s="1"/>
  <c r="B272" i="10"/>
  <c r="C34" i="13" s="1" a="1"/>
  <c r="C34" i="13" s="1"/>
  <c r="D272" i="10"/>
  <c r="C22" i="13" s="1" a="1"/>
  <c r="C22" i="13" s="1"/>
  <c r="H272" i="10"/>
  <c r="C58" i="13" s="1" a="1"/>
  <c r="C58" i="13" s="1"/>
  <c r="F94" i="10"/>
  <c r="Q314" i="6"/>
  <c r="F326" i="6" s="1"/>
  <c r="J326" i="6" s="1"/>
  <c r="K326" i="6" s="1"/>
  <c r="M94" i="10"/>
  <c r="C94" i="10"/>
  <c r="K94" i="10"/>
  <c r="BI24" i="8"/>
  <c r="BI33" i="8" s="1"/>
  <c r="BJ33" i="8" s="1"/>
  <c r="F24" i="8"/>
  <c r="H24" i="8" s="1"/>
  <c r="AH24" i="8"/>
  <c r="AI24" i="8" s="1"/>
  <c r="L94" i="10"/>
  <c r="F235" i="10"/>
  <c r="C45" i="13" s="1" a="1"/>
  <c r="C45" i="13" s="1"/>
  <c r="I94" i="10"/>
  <c r="M323" i="6"/>
  <c r="N323" i="6" s="1"/>
  <c r="H323" i="6"/>
  <c r="B108" i="10"/>
  <c r="B28" i="13" s="1" a="1"/>
  <c r="B28" i="13" s="1"/>
  <c r="I108" i="10"/>
  <c r="F108" i="10"/>
  <c r="H108" i="10"/>
  <c r="J108" i="10"/>
  <c r="M108" i="10"/>
  <c r="D76" i="13" s="1" a="1"/>
  <c r="D76" i="13" s="1"/>
  <c r="Q328" i="6"/>
  <c r="F316" i="6" s="1"/>
  <c r="H316" i="6" s="1"/>
  <c r="D112" i="16"/>
  <c r="G108" i="10"/>
  <c r="K108" i="10"/>
  <c r="C108" i="10"/>
  <c r="D235" i="10"/>
  <c r="C18" i="13" s="1" a="1"/>
  <c r="C18" i="13" s="1"/>
  <c r="L235" i="10"/>
  <c r="C78" i="13" s="1" a="1"/>
  <c r="C78" i="13" s="1"/>
  <c r="J235" i="10"/>
  <c r="C66" i="13" s="1" a="1"/>
  <c r="C66" i="13" s="1"/>
  <c r="B235" i="10"/>
  <c r="C30" i="13" s="1" a="1"/>
  <c r="C30" i="13" s="1"/>
  <c r="F372" i="6"/>
  <c r="J372" i="6" s="1"/>
  <c r="K372" i="6" s="1"/>
  <c r="J365" i="6"/>
  <c r="K365" i="6" s="1"/>
  <c r="H365" i="6"/>
  <c r="K198" i="10"/>
  <c r="B198" i="10"/>
  <c r="J198" i="10"/>
  <c r="D198" i="10"/>
  <c r="F198" i="10"/>
  <c r="C198" i="10"/>
  <c r="G198" i="10"/>
  <c r="I198" i="10"/>
  <c r="G173" i="10"/>
  <c r="K119" i="10"/>
  <c r="M119" i="10"/>
  <c r="I123" i="10"/>
  <c r="C194" i="10"/>
  <c r="M364" i="6"/>
  <c r="N364" i="6" s="1"/>
  <c r="J292" i="6"/>
  <c r="K292" i="6" s="1"/>
  <c r="H419" i="6"/>
  <c r="J194" i="10"/>
  <c r="B194" i="10"/>
  <c r="E194" i="10"/>
  <c r="B53" i="13" a="1"/>
  <c r="B53" i="13" s="1"/>
  <c r="E28" i="13" a="1"/>
  <c r="E28" i="13" s="1"/>
  <c r="F176" i="6" s="1"/>
  <c r="M176" i="6" s="1"/>
  <c r="N176" i="6" s="1"/>
  <c r="F117" i="13"/>
  <c r="E117" i="13" s="1" a="1"/>
  <c r="E117" i="13" s="1"/>
  <c r="H117" i="13" s="1"/>
  <c r="E53" i="13" a="1"/>
  <c r="E53" i="13" s="1"/>
  <c r="F231" i="6" s="1"/>
  <c r="J231" i="6" s="1"/>
  <c r="K231" i="6" s="1"/>
  <c r="F350" i="6"/>
  <c r="H350" i="6" s="1"/>
  <c r="M123" i="10"/>
  <c r="F422" i="6"/>
  <c r="H422" i="6" s="1"/>
  <c r="E65" i="13" a="1"/>
  <c r="E65" i="13" s="1"/>
  <c r="F249" i="6" s="1"/>
  <c r="J249" i="6" s="1"/>
  <c r="K249" i="6" s="1"/>
  <c r="H389" i="6"/>
  <c r="H391" i="6" s="1"/>
  <c r="B388" i="6" s="1"/>
  <c r="J371" i="6"/>
  <c r="K371" i="6" s="1"/>
  <c r="L153" i="11"/>
  <c r="B134" i="11" s="1"/>
  <c r="I173" i="10"/>
  <c r="M292" i="6"/>
  <c r="N292" i="6" s="1"/>
  <c r="J389" i="6"/>
  <c r="K389" i="6" s="1"/>
  <c r="F169" i="10"/>
  <c r="G169" i="10"/>
  <c r="H364" i="6"/>
  <c r="L219" i="10"/>
  <c r="C119" i="10"/>
  <c r="K123" i="10"/>
  <c r="D119" i="10"/>
  <c r="B119" i="10"/>
  <c r="C123" i="10"/>
  <c r="E89" i="13" a="1"/>
  <c r="E89" i="13" s="1"/>
  <c r="H89" i="13" s="1"/>
  <c r="F93" i="6" s="1"/>
  <c r="M93" i="6" s="1"/>
  <c r="N93" i="6" s="1"/>
  <c r="H119" i="10"/>
  <c r="H123" i="10"/>
  <c r="D208" i="10"/>
  <c r="B16" i="13" s="1" a="1"/>
  <c r="B16" i="13" s="1"/>
  <c r="B20" i="13" a="1"/>
  <c r="B20" i="13" s="1"/>
  <c r="I119" i="10"/>
  <c r="D123" i="10"/>
  <c r="E123" i="10"/>
  <c r="J119" i="10"/>
  <c r="L123" i="10"/>
  <c r="B123" i="10"/>
  <c r="E119" i="10"/>
  <c r="L119" i="10"/>
  <c r="J123" i="10"/>
  <c r="E41" i="13" a="1"/>
  <c r="E41" i="13" s="1"/>
  <c r="F213" i="6" s="1"/>
  <c r="J213" i="6" s="1"/>
  <c r="K213" i="6" s="1"/>
  <c r="M169" i="10"/>
  <c r="D56" i="13" a="1"/>
  <c r="D56" i="13" s="1"/>
  <c r="B17" i="13" a="1"/>
  <c r="B17" i="13" s="1"/>
  <c r="E52" i="13" a="1"/>
  <c r="E52" i="13" s="1"/>
  <c r="F230" i="6" s="1"/>
  <c r="M230" i="6" s="1"/>
  <c r="N230" i="6" s="1"/>
  <c r="B29" i="13" a="1"/>
  <c r="B29" i="13" s="1"/>
  <c r="E69" i="10"/>
  <c r="H169" i="10"/>
  <c r="E20" i="13" a="1"/>
  <c r="E20" i="13" s="1"/>
  <c r="F201" i="6" s="1"/>
  <c r="H201" i="6" s="1"/>
  <c r="E88" i="13" a="1"/>
  <c r="E88" i="13" s="1"/>
  <c r="H88" i="13" s="1"/>
  <c r="F92" i="6" s="1"/>
  <c r="J92" i="6" s="1"/>
  <c r="K92" i="6" s="1"/>
  <c r="B120" i="10"/>
  <c r="H120" i="10"/>
  <c r="J120" i="10"/>
  <c r="L120" i="10"/>
  <c r="F398" i="6"/>
  <c r="M398" i="6" s="1"/>
  <c r="N398" i="6" s="1"/>
  <c r="H69" i="10"/>
  <c r="Q424" i="6"/>
  <c r="F412" i="6" s="1"/>
  <c r="H412" i="6" s="1"/>
  <c r="K208" i="10"/>
  <c r="D120" i="10"/>
  <c r="J208" i="10"/>
  <c r="Q290" i="6"/>
  <c r="L69" i="10"/>
  <c r="M299" i="6"/>
  <c r="N299" i="6" s="1"/>
  <c r="M341" i="6"/>
  <c r="N341" i="6" s="1"/>
  <c r="Q339" i="6"/>
  <c r="F349" i="6" s="1"/>
  <c r="J349" i="6" s="1"/>
  <c r="K349" i="6" s="1"/>
  <c r="C208" i="10"/>
  <c r="I208" i="10"/>
  <c r="E208" i="10"/>
  <c r="D16" i="13" s="1" a="1"/>
  <c r="D16" i="13" s="1"/>
  <c r="H395" i="6"/>
  <c r="E80" i="13" a="1"/>
  <c r="E80" i="13" s="1"/>
  <c r="F273" i="6" s="1"/>
  <c r="H273" i="6" s="1"/>
  <c r="I69" i="10"/>
  <c r="J69" i="10"/>
  <c r="J299" i="6"/>
  <c r="K299" i="6" s="1"/>
  <c r="H341" i="6"/>
  <c r="K120" i="10"/>
  <c r="K69" i="10"/>
  <c r="D69" i="10"/>
  <c r="D77" i="13" a="1"/>
  <c r="D77" i="13" s="1"/>
  <c r="F208" i="10"/>
  <c r="E64" i="13" a="1"/>
  <c r="E64" i="13" s="1"/>
  <c r="F248" i="6" s="1"/>
  <c r="J248" i="6" s="1"/>
  <c r="K248" i="6" s="1"/>
  <c r="F69" i="10"/>
  <c r="E120" i="10"/>
  <c r="D41" i="13" a="1"/>
  <c r="D41" i="13" s="1"/>
  <c r="G208" i="10"/>
  <c r="M395" i="6"/>
  <c r="N395" i="6" s="1"/>
  <c r="M69" i="10"/>
  <c r="H208" i="10"/>
  <c r="F194" i="10"/>
  <c r="D173" i="10"/>
  <c r="B169" i="10"/>
  <c r="C173" i="10"/>
  <c r="C169" i="10"/>
  <c r="G194" i="10"/>
  <c r="D29" i="13" a="1"/>
  <c r="D29" i="13" s="1"/>
  <c r="E44" i="13" a="1"/>
  <c r="E44" i="13" s="1"/>
  <c r="F219" i="6" s="1"/>
  <c r="H219" i="6" s="1"/>
  <c r="M173" i="10"/>
  <c r="B173" i="10"/>
  <c r="L169" i="10"/>
  <c r="I194" i="10"/>
  <c r="B68" i="13" a="1"/>
  <c r="B68" i="13" s="1"/>
  <c r="D17" i="13" a="1"/>
  <c r="D17" i="13" s="1"/>
  <c r="E173" i="10"/>
  <c r="F173" i="10"/>
  <c r="D169" i="10"/>
  <c r="K194" i="10"/>
  <c r="B32" i="13" a="1"/>
  <c r="B32" i="13" s="1"/>
  <c r="H173" i="10"/>
  <c r="M419" i="6"/>
  <c r="N419" i="6" s="1"/>
  <c r="E169" i="10"/>
  <c r="D194" i="10"/>
  <c r="L173" i="10"/>
  <c r="I169" i="10"/>
  <c r="H194" i="10"/>
  <c r="B56" i="13" a="1"/>
  <c r="B56" i="13" s="1"/>
  <c r="M317" i="6"/>
  <c r="N317" i="6" s="1"/>
  <c r="M120" i="10"/>
  <c r="I120" i="10"/>
  <c r="E68" i="13" a="1"/>
  <c r="E68" i="13" s="1"/>
  <c r="F255" i="6" s="1"/>
  <c r="H255" i="6" s="1"/>
  <c r="F301" i="6"/>
  <c r="H301" i="6" s="1"/>
  <c r="E32" i="13" a="1"/>
  <c r="E32" i="13" s="1"/>
  <c r="F183" i="6" s="1"/>
  <c r="H183" i="6" s="1"/>
  <c r="J317" i="6"/>
  <c r="K317" i="6" s="1"/>
  <c r="B80" i="13" a="1"/>
  <c r="B80" i="13" s="1"/>
  <c r="D20" i="13" a="1"/>
  <c r="D20" i="13" s="1"/>
  <c r="L33" i="11"/>
  <c r="B14" i="11" s="1"/>
  <c r="J413" i="6"/>
  <c r="K413" i="6" s="1"/>
  <c r="M413" i="6"/>
  <c r="N413" i="6" s="1"/>
  <c r="M371" i="6"/>
  <c r="N371" i="6" s="1"/>
  <c r="H135" i="10"/>
  <c r="K135" i="10"/>
  <c r="L135" i="10"/>
  <c r="C135" i="10"/>
  <c r="M135" i="10"/>
  <c r="Q354" i="6"/>
  <c r="F348" i="6" s="1"/>
  <c r="E17" i="13" a="1"/>
  <c r="E17" i="13" s="1"/>
  <c r="F195" i="6" s="1"/>
  <c r="J195" i="6" s="1"/>
  <c r="K195" i="6" s="1"/>
  <c r="B65" i="13" a="1"/>
  <c r="B65" i="13" s="1"/>
  <c r="E135" i="10"/>
  <c r="B135" i="10"/>
  <c r="B77" i="13" a="1"/>
  <c r="B77" i="13" s="1"/>
  <c r="D219" i="10"/>
  <c r="D32" i="13" a="1"/>
  <c r="D32" i="13" s="1"/>
  <c r="J219" i="10"/>
  <c r="D44" i="13" a="1"/>
  <c r="D44" i="13" s="1"/>
  <c r="D65" i="13" a="1"/>
  <c r="D65" i="13" s="1"/>
  <c r="L203" i="11"/>
  <c r="B192" i="11" s="1"/>
  <c r="F219" i="10"/>
  <c r="O63" i="11"/>
  <c r="B45" i="11" s="1"/>
  <c r="B219" i="10"/>
  <c r="M85" i="10"/>
  <c r="E77" i="13" a="1"/>
  <c r="E77" i="13" s="1"/>
  <c r="F267" i="6" s="1"/>
  <c r="M267" i="6" s="1"/>
  <c r="N267" i="6" s="1"/>
  <c r="I85" i="10"/>
  <c r="L63" i="11"/>
  <c r="B44" i="11" s="1"/>
  <c r="C54" i="13" a="1"/>
  <c r="C54" i="13" s="1"/>
  <c r="J85" i="10"/>
  <c r="F85" i="10"/>
  <c r="L123" i="11"/>
  <c r="B104" i="11" s="1"/>
  <c r="J135" i="10"/>
  <c r="F81" i="13"/>
  <c r="D53" i="13" a="1"/>
  <c r="D53" i="13" s="1"/>
  <c r="L110" i="10"/>
  <c r="H110" i="10"/>
  <c r="K110" i="10"/>
  <c r="C110" i="10"/>
  <c r="F110" i="10"/>
  <c r="Q330" i="6"/>
  <c r="M110" i="10"/>
  <c r="G110" i="10"/>
  <c r="J110" i="10"/>
  <c r="E78" i="13" a="1"/>
  <c r="E78" i="13" s="1"/>
  <c r="F268" i="6" s="1"/>
  <c r="M268" i="6" s="1"/>
  <c r="N268" i="6" s="1"/>
  <c r="H85" i="10"/>
  <c r="D85" i="10"/>
  <c r="E102" i="13" a="1"/>
  <c r="E102" i="13" s="1"/>
  <c r="H102" i="13" s="1"/>
  <c r="F366" i="6"/>
  <c r="M366" i="6" s="1"/>
  <c r="N366" i="6" s="1"/>
  <c r="G85" i="10"/>
  <c r="F414" i="6"/>
  <c r="M414" i="6" s="1"/>
  <c r="N414" i="6" s="1"/>
  <c r="Q306" i="6"/>
  <c r="F300" i="6" s="1"/>
  <c r="E85" i="10"/>
  <c r="B110" i="10"/>
  <c r="K85" i="10"/>
  <c r="I110" i="10"/>
  <c r="E94" i="13" a="1"/>
  <c r="E94" i="13" s="1"/>
  <c r="H94" i="13" s="1"/>
  <c r="F101" i="6" s="1"/>
  <c r="H101" i="6" s="1"/>
  <c r="O83" i="11"/>
  <c r="B73" i="11" s="1"/>
  <c r="L93" i="11"/>
  <c r="B74" i="11" s="1"/>
  <c r="M390" i="6"/>
  <c r="N390" i="6" s="1"/>
  <c r="N391" i="6" s="1"/>
  <c r="B390" i="6" s="1"/>
  <c r="D80" i="13" a="1"/>
  <c r="D80" i="13" s="1"/>
  <c r="O113" i="11"/>
  <c r="B103" i="11" s="1"/>
  <c r="J390" i="6"/>
  <c r="K390" i="6" s="1"/>
  <c r="D68" i="13" a="1"/>
  <c r="D68" i="13" s="1"/>
  <c r="O33" i="11"/>
  <c r="B15" i="11" s="1"/>
  <c r="E69" i="13" a="1"/>
  <c r="E69" i="13" s="1"/>
  <c r="F256" i="6" s="1"/>
  <c r="F396" i="6"/>
  <c r="O123" i="11"/>
  <c r="B105" i="11" s="1"/>
  <c r="B44" i="13" a="1"/>
  <c r="B44" i="13" s="1"/>
  <c r="L113" i="11"/>
  <c r="B102" i="11" s="1"/>
  <c r="O203" i="11"/>
  <c r="B193" i="11" s="1"/>
  <c r="O183" i="11"/>
  <c r="B165" i="11" s="1"/>
  <c r="L173" i="11"/>
  <c r="B162" i="11" s="1"/>
  <c r="J144" i="10"/>
  <c r="K144" i="10"/>
  <c r="F144" i="10"/>
  <c r="L144" i="10"/>
  <c r="C144" i="10"/>
  <c r="Q362" i="6"/>
  <c r="M144" i="10"/>
  <c r="B144" i="10"/>
  <c r="E144" i="10"/>
  <c r="G144" i="10"/>
  <c r="D144" i="10"/>
  <c r="C57" i="13" a="1"/>
  <c r="C57" i="13" s="1"/>
  <c r="E92" i="13" a="1"/>
  <c r="E92" i="13" s="1"/>
  <c r="H92" i="13" s="1"/>
  <c r="F99" i="6" s="1"/>
  <c r="O153" i="11"/>
  <c r="B135" i="11" s="1"/>
  <c r="B76" i="13" a="1"/>
  <c r="B76" i="13" s="1"/>
  <c r="C195" i="10"/>
  <c r="I195" i="10"/>
  <c r="D195" i="10"/>
  <c r="B195" i="10"/>
  <c r="G195" i="10"/>
  <c r="K195" i="10"/>
  <c r="J195" i="10"/>
  <c r="H195" i="10"/>
  <c r="F195" i="10"/>
  <c r="B41" i="13" s="1" a="1"/>
  <c r="B41" i="13" s="1"/>
  <c r="E195" i="10"/>
  <c r="Q411" i="6"/>
  <c r="F421" i="6" s="1"/>
  <c r="M421" i="6" s="1"/>
  <c r="N421" i="6" s="1"/>
  <c r="F223" i="10"/>
  <c r="H223" i="10"/>
  <c r="C59" i="13" s="1" a="1"/>
  <c r="C59" i="13" s="1"/>
  <c r="L223" i="10"/>
  <c r="J223" i="10"/>
  <c r="D223" i="10"/>
  <c r="B223" i="10"/>
  <c r="O93" i="11"/>
  <c r="B75" i="11" s="1"/>
  <c r="E56" i="13" a="1"/>
  <c r="E56" i="13" s="1"/>
  <c r="F237" i="6" s="1"/>
  <c r="E40" i="13" a="1"/>
  <c r="E40" i="13" s="1"/>
  <c r="F212" i="6" s="1"/>
  <c r="J95" i="10"/>
  <c r="B95" i="10"/>
  <c r="C95" i="10"/>
  <c r="F95" i="10"/>
  <c r="L95" i="10"/>
  <c r="H95" i="10"/>
  <c r="G95" i="10"/>
  <c r="Q315" i="6"/>
  <c r="F325" i="6" s="1"/>
  <c r="J325" i="6" s="1"/>
  <c r="K325" i="6" s="1"/>
  <c r="K95" i="10"/>
  <c r="M95" i="10"/>
  <c r="I95" i="10"/>
  <c r="Q366" i="6"/>
  <c r="F148" i="10"/>
  <c r="M148" i="10"/>
  <c r="B148" i="10"/>
  <c r="K148" i="10"/>
  <c r="C148" i="10"/>
  <c r="G148" i="10"/>
  <c r="L148" i="10"/>
  <c r="D148" i="10"/>
  <c r="E148" i="10"/>
  <c r="J148" i="10"/>
  <c r="E73" i="10"/>
  <c r="I73" i="10"/>
  <c r="D73" i="10"/>
  <c r="K73" i="10"/>
  <c r="H73" i="10"/>
  <c r="L73" i="10"/>
  <c r="F73" i="10"/>
  <c r="J73" i="10"/>
  <c r="G73" i="10"/>
  <c r="Q294" i="6"/>
  <c r="M73" i="10"/>
  <c r="L145" i="10"/>
  <c r="E145" i="10"/>
  <c r="K145" i="10"/>
  <c r="C145" i="10"/>
  <c r="F145" i="10"/>
  <c r="G145" i="10"/>
  <c r="Q363" i="6"/>
  <c r="F373" i="6" s="1"/>
  <c r="H373" i="6" s="1"/>
  <c r="D145" i="10"/>
  <c r="B145" i="10"/>
  <c r="M145" i="10"/>
  <c r="J145" i="10"/>
  <c r="O213" i="11"/>
  <c r="B195" i="11" s="1"/>
  <c r="H177" i="6"/>
  <c r="J177" i="6"/>
  <c r="K177" i="6" s="1"/>
  <c r="O173" i="11"/>
  <c r="B163" i="11" s="1"/>
  <c r="L83" i="11"/>
  <c r="B72" i="11" s="1"/>
  <c r="H27" i="16"/>
  <c r="H24" i="16"/>
  <c r="H33" i="16"/>
  <c r="CG33" i="8"/>
  <c r="E34" i="13" a="1"/>
  <c r="E34" i="13" s="1"/>
  <c r="F185" i="6" s="1"/>
  <c r="H21" i="16"/>
  <c r="CO33" i="8"/>
  <c r="CQ33" i="8" s="1"/>
  <c r="CR33" i="8" s="1"/>
  <c r="Y24" i="8"/>
  <c r="AQ24" i="8"/>
  <c r="CQ24" i="8"/>
  <c r="CR24" i="8" s="1"/>
  <c r="AZ24" i="8"/>
  <c r="F140" i="6"/>
  <c r="H140" i="6" s="1"/>
  <c r="F103" i="6"/>
  <c r="H103" i="6" s="1"/>
  <c r="J397" i="6"/>
  <c r="K397" i="6" s="1"/>
  <c r="M397" i="6"/>
  <c r="N397" i="6" s="1"/>
  <c r="H397" i="6"/>
  <c r="E18" i="13" l="1" a="1"/>
  <c r="E18" i="13" s="1"/>
  <c r="B18" i="13" a="1"/>
  <c r="B18" i="13" s="1"/>
  <c r="J398" i="6"/>
  <c r="K398" i="6" s="1"/>
  <c r="F294" i="6"/>
  <c r="J294" i="6" s="1"/>
  <c r="K294" i="6" s="1"/>
  <c r="K295" i="6" s="1"/>
  <c r="B293" i="6" s="1"/>
  <c r="B21" i="13" a="1"/>
  <c r="B21" i="13" s="1"/>
  <c r="F324" i="6"/>
  <c r="J324" i="6" s="1"/>
  <c r="K324" i="6" s="1"/>
  <c r="K327" i="6" s="1"/>
  <c r="B319" i="6" s="1"/>
  <c r="F318" i="6"/>
  <c r="M318" i="6" s="1"/>
  <c r="N318" i="6" s="1"/>
  <c r="E57" i="13" a="1"/>
  <c r="E57" i="13" s="1"/>
  <c r="F238" i="6" s="1"/>
  <c r="H238" i="6" s="1"/>
  <c r="E54" i="13" a="1"/>
  <c r="E54" i="13" s="1"/>
  <c r="F232" i="6" s="1"/>
  <c r="H232" i="6" s="1"/>
  <c r="C42" i="13" a="1"/>
  <c r="C42" i="13" s="1"/>
  <c r="H249" i="6"/>
  <c r="C81" i="13" a="1"/>
  <c r="C81" i="13" s="1"/>
  <c r="M316" i="6"/>
  <c r="N316" i="6" s="1"/>
  <c r="C33" i="13" a="1"/>
  <c r="C33" i="13" s="1"/>
  <c r="E23" i="13" a="1"/>
  <c r="E23" i="13" s="1"/>
  <c r="F204" i="6" s="1"/>
  <c r="H204" i="6" s="1"/>
  <c r="C21" i="13" a="1"/>
  <c r="C21" i="13" s="1"/>
  <c r="D45" i="13" a="1"/>
  <c r="D45" i="13" s="1"/>
  <c r="J422" i="6"/>
  <c r="K422" i="6" s="1"/>
  <c r="D40" i="13" a="1"/>
  <c r="D40" i="13" s="1"/>
  <c r="M422" i="6"/>
  <c r="N422" i="6" s="1"/>
  <c r="BJ24" i="8"/>
  <c r="J316" i="6"/>
  <c r="K316" i="6" s="1"/>
  <c r="I24" i="8"/>
  <c r="J24" i="8" s="1"/>
  <c r="CB24" i="8" s="1"/>
  <c r="B52" i="13" a="1"/>
  <c r="B52" i="13" s="1"/>
  <c r="D52" i="13" a="1"/>
  <c r="D52" i="13" s="1"/>
  <c r="E16" i="13" a="1"/>
  <c r="E16" i="13" s="1"/>
  <c r="F194" i="6" s="1"/>
  <c r="H194" i="6" s="1"/>
  <c r="B40" i="13" a="1"/>
  <c r="B40" i="13" s="1"/>
  <c r="E93" i="13" a="1"/>
  <c r="E93" i="13" s="1"/>
  <c r="H93" i="13" s="1"/>
  <c r="F100" i="6" s="1"/>
  <c r="H100" i="6" s="1"/>
  <c r="E90" i="13" a="1"/>
  <c r="E90" i="13" s="1"/>
  <c r="H90" i="13" s="1"/>
  <c r="F94" i="6" s="1"/>
  <c r="J94" i="6" s="1"/>
  <c r="K94" i="6" s="1"/>
  <c r="M372" i="6"/>
  <c r="N372" i="6" s="1"/>
  <c r="H372" i="6"/>
  <c r="H375" i="6" s="1"/>
  <c r="B370" i="6" s="1"/>
  <c r="E27" i="16" s="1"/>
  <c r="N367" i="6"/>
  <c r="B366" i="6" s="1"/>
  <c r="D28" i="13" a="1"/>
  <c r="D28" i="13" s="1"/>
  <c r="H28" i="13" s="1"/>
  <c r="F36" i="6" s="1"/>
  <c r="M36" i="6" s="1"/>
  <c r="N36" i="6" s="1"/>
  <c r="D64" i="13" a="1"/>
  <c r="D64" i="13" s="1"/>
  <c r="C69" i="13" a="1"/>
  <c r="C69" i="13" s="1"/>
  <c r="M249" i="6"/>
  <c r="N249" i="6" s="1"/>
  <c r="J350" i="6"/>
  <c r="K350" i="6" s="1"/>
  <c r="H53" i="13"/>
  <c r="F75" i="6" s="1"/>
  <c r="J75" i="6" s="1"/>
  <c r="K75" i="6" s="1"/>
  <c r="M350" i="6"/>
  <c r="N350" i="6" s="1"/>
  <c r="C83" i="13" a="1"/>
  <c r="C83" i="13" s="1"/>
  <c r="B30" i="13" a="1"/>
  <c r="B30" i="13" s="1"/>
  <c r="J101" i="6"/>
  <c r="K101" i="6" s="1"/>
  <c r="H231" i="6"/>
  <c r="M231" i="6"/>
  <c r="N231" i="6" s="1"/>
  <c r="J93" i="6"/>
  <c r="K93" i="6" s="1"/>
  <c r="H93" i="6"/>
  <c r="K251" i="6"/>
  <c r="B249" i="6" s="1"/>
  <c r="J176" i="6"/>
  <c r="K176" i="6" s="1"/>
  <c r="H176" i="6"/>
  <c r="M349" i="6"/>
  <c r="N349" i="6" s="1"/>
  <c r="H326" i="6"/>
  <c r="H349" i="6"/>
  <c r="H92" i="6"/>
  <c r="M326" i="6"/>
  <c r="N326" i="6" s="1"/>
  <c r="M92" i="6"/>
  <c r="N92" i="6" s="1"/>
  <c r="K391" i="6"/>
  <c r="B389" i="6" s="1"/>
  <c r="M201" i="6"/>
  <c r="N201" i="6" s="1"/>
  <c r="H398" i="6"/>
  <c r="H41" i="13"/>
  <c r="F55" i="6" s="1"/>
  <c r="H55" i="6" s="1"/>
  <c r="M213" i="6"/>
  <c r="N213" i="6" s="1"/>
  <c r="H29" i="13"/>
  <c r="F37" i="6" s="1"/>
  <c r="J37" i="6" s="1"/>
  <c r="K37" i="6" s="1"/>
  <c r="H20" i="13"/>
  <c r="F25" i="6" s="1"/>
  <c r="J25" i="6" s="1"/>
  <c r="K25" i="6" s="1"/>
  <c r="H213" i="6"/>
  <c r="M248" i="6"/>
  <c r="N248" i="6" s="1"/>
  <c r="M101" i="6"/>
  <c r="N101" i="6" s="1"/>
  <c r="E46" i="13" a="1"/>
  <c r="E46" i="13" s="1"/>
  <c r="F221" i="6" s="1"/>
  <c r="M221" i="6" s="1"/>
  <c r="N221" i="6" s="1"/>
  <c r="E47" i="13" a="1"/>
  <c r="E47" i="13" s="1"/>
  <c r="F222" i="6" s="1"/>
  <c r="H222" i="6" s="1"/>
  <c r="H230" i="6"/>
  <c r="D42" i="13" a="1"/>
  <c r="D42" i="13" s="1"/>
  <c r="J230" i="6"/>
  <c r="K230" i="6" s="1"/>
  <c r="H248" i="6"/>
  <c r="J201" i="6"/>
  <c r="K201" i="6" s="1"/>
  <c r="B78" i="13" a="1"/>
  <c r="B78" i="13" s="1"/>
  <c r="H195" i="6"/>
  <c r="B59" i="13" a="1"/>
  <c r="B59" i="13" s="1"/>
  <c r="F342" i="6"/>
  <c r="J342" i="6" s="1"/>
  <c r="K342" i="6" s="1"/>
  <c r="K343" i="6" s="1"/>
  <c r="B341" i="6" s="1"/>
  <c r="F420" i="6"/>
  <c r="H420" i="6" s="1"/>
  <c r="E83" i="13" a="1"/>
  <c r="E83" i="13" s="1"/>
  <c r="F276" i="6" s="1"/>
  <c r="H276" i="6" s="1"/>
  <c r="F302" i="6"/>
  <c r="M302" i="6" s="1"/>
  <c r="N302" i="6" s="1"/>
  <c r="H77" i="13"/>
  <c r="F130" i="6" s="1"/>
  <c r="M130" i="6" s="1"/>
  <c r="N130" i="6" s="1"/>
  <c r="M273" i="6"/>
  <c r="N273" i="6" s="1"/>
  <c r="J219" i="6"/>
  <c r="K219" i="6" s="1"/>
  <c r="J273" i="6"/>
  <c r="K273" i="6" s="1"/>
  <c r="E76" i="13" a="1"/>
  <c r="E76" i="13" s="1"/>
  <c r="F266" i="6" s="1"/>
  <c r="M266" i="6" s="1"/>
  <c r="N266" i="6" s="1"/>
  <c r="N269" i="6" s="1"/>
  <c r="J301" i="6"/>
  <c r="K301" i="6" s="1"/>
  <c r="M219" i="6"/>
  <c r="N219" i="6" s="1"/>
  <c r="M255" i="6"/>
  <c r="N255" i="6" s="1"/>
  <c r="D59" i="13" a="1"/>
  <c r="D59" i="13" s="1"/>
  <c r="C47" i="13" a="1"/>
  <c r="C47" i="13" s="1"/>
  <c r="J255" i="6"/>
  <c r="K255" i="6" s="1"/>
  <c r="H414" i="6"/>
  <c r="J414" i="6"/>
  <c r="K414" i="6" s="1"/>
  <c r="J412" i="6"/>
  <c r="K412" i="6" s="1"/>
  <c r="D30" i="13" a="1"/>
  <c r="D30" i="13" s="1"/>
  <c r="H68" i="13"/>
  <c r="F118" i="6" s="1"/>
  <c r="H118" i="6" s="1"/>
  <c r="D69" i="13" a="1"/>
  <c r="D69" i="13" s="1"/>
  <c r="E71" i="13" a="1"/>
  <c r="E71" i="13" s="1"/>
  <c r="F258" i="6" s="1"/>
  <c r="M258" i="6" s="1"/>
  <c r="N258" i="6" s="1"/>
  <c r="M412" i="6"/>
  <c r="N412" i="6" s="1"/>
  <c r="N415" i="6" s="1"/>
  <c r="H415" i="6"/>
  <c r="J366" i="6"/>
  <c r="K366" i="6" s="1"/>
  <c r="K367" i="6" s="1"/>
  <c r="B365" i="6" s="1"/>
  <c r="B64" i="13" a="1"/>
  <c r="B64" i="13" s="1"/>
  <c r="D57" i="13" a="1"/>
  <c r="D57" i="13" s="1"/>
  <c r="H32" i="13"/>
  <c r="F43" i="6" s="1"/>
  <c r="M43" i="6" s="1"/>
  <c r="N43" i="6" s="1"/>
  <c r="H268" i="6"/>
  <c r="J183" i="6"/>
  <c r="K183" i="6" s="1"/>
  <c r="M301" i="6"/>
  <c r="N301" i="6" s="1"/>
  <c r="M183" i="6"/>
  <c r="N183" i="6" s="1"/>
  <c r="J268" i="6"/>
  <c r="K268" i="6" s="1"/>
  <c r="D22" i="13" a="1"/>
  <c r="D22" i="13" s="1"/>
  <c r="C23" i="13" a="1"/>
  <c r="C23" i="13" s="1"/>
  <c r="C71" i="13" a="1"/>
  <c r="C71" i="13" s="1"/>
  <c r="D18" i="13" a="1"/>
  <c r="D18" i="13" s="1"/>
  <c r="B57" i="13" a="1"/>
  <c r="B57" i="13" s="1"/>
  <c r="B45" i="13" a="1"/>
  <c r="B45" i="13" s="1"/>
  <c r="B71" i="13" a="1"/>
  <c r="B71" i="13" s="1"/>
  <c r="B54" i="13" a="1"/>
  <c r="B54" i="13" s="1"/>
  <c r="H267" i="6"/>
  <c r="E42" i="13" a="1"/>
  <c r="E42" i="13" s="1"/>
  <c r="F214" i="6" s="1"/>
  <c r="M214" i="6" s="1"/>
  <c r="N214" i="6" s="1"/>
  <c r="E21" i="13" a="1"/>
  <c r="E21" i="13" s="1"/>
  <c r="F202" i="6" s="1"/>
  <c r="J202" i="6" s="1"/>
  <c r="K202" i="6" s="1"/>
  <c r="B83" i="13" a="1"/>
  <c r="B83" i="13" s="1"/>
  <c r="D83" i="13" a="1"/>
  <c r="D83" i="13" s="1"/>
  <c r="E45" i="13" a="1"/>
  <c r="E45" i="13" s="1"/>
  <c r="F220" i="6" s="1"/>
  <c r="M195" i="6"/>
  <c r="N195" i="6" s="1"/>
  <c r="H17" i="13"/>
  <c r="F19" i="6" s="1"/>
  <c r="H19" i="6" s="1"/>
  <c r="D33" i="13" a="1"/>
  <c r="D33" i="13" s="1"/>
  <c r="D54" i="13" a="1"/>
  <c r="D54" i="13" s="1"/>
  <c r="D21" i="13" a="1"/>
  <c r="D21" i="13" s="1"/>
  <c r="H65" i="13"/>
  <c r="F112" i="6" s="1"/>
  <c r="J112" i="6" s="1"/>
  <c r="K112" i="6" s="1"/>
  <c r="B42" i="13" a="1"/>
  <c r="B42" i="13" s="1"/>
  <c r="J267" i="6"/>
  <c r="K267" i="6" s="1"/>
  <c r="E81" i="13" a="1"/>
  <c r="E81" i="13" s="1"/>
  <c r="F274" i="6" s="1"/>
  <c r="J274" i="6" s="1"/>
  <c r="K274" i="6" s="1"/>
  <c r="D81" i="13" a="1"/>
  <c r="D81" i="13" s="1"/>
  <c r="E33" i="13" a="1"/>
  <c r="E33" i="13" s="1"/>
  <c r="F184" i="6" s="1"/>
  <c r="M184" i="6" s="1"/>
  <c r="N184" i="6" s="1"/>
  <c r="D35" i="13" a="1"/>
  <c r="D35" i="13" s="1"/>
  <c r="B35" i="13" a="1"/>
  <c r="B35" i="13" s="1"/>
  <c r="D47" i="13" a="1"/>
  <c r="D47" i="13" s="1"/>
  <c r="M373" i="6"/>
  <c r="N373" i="6" s="1"/>
  <c r="B58" i="13" a="1"/>
  <c r="B58" i="13" s="1"/>
  <c r="J373" i="6"/>
  <c r="K373" i="6" s="1"/>
  <c r="K375" i="6" s="1"/>
  <c r="B367" i="6" s="1"/>
  <c r="H325" i="6"/>
  <c r="E118" i="13" a="1"/>
  <c r="E118" i="13" s="1"/>
  <c r="H118" i="13" s="1"/>
  <c r="F152" i="6" s="1"/>
  <c r="M152" i="6" s="1"/>
  <c r="N152" i="6" s="1"/>
  <c r="D78" i="13" a="1"/>
  <c r="D78" i="13" s="1"/>
  <c r="B99" i="11"/>
  <c r="C26" i="16" s="1"/>
  <c r="H26" i="16" s="1"/>
  <c r="D66" i="13" a="1"/>
  <c r="D66" i="13" s="1"/>
  <c r="B189" i="11"/>
  <c r="C32" i="16" s="1"/>
  <c r="H32" i="16" s="1"/>
  <c r="B66" i="13" a="1"/>
  <c r="B66" i="13" s="1"/>
  <c r="F196" i="6"/>
  <c r="H366" i="6"/>
  <c r="H367" i="6" s="1"/>
  <c r="B364" i="6" s="1"/>
  <c r="H80" i="13"/>
  <c r="F136" i="6" s="1"/>
  <c r="H136" i="6" s="1"/>
  <c r="D23" i="13" a="1"/>
  <c r="D23" i="13" s="1"/>
  <c r="H56" i="13"/>
  <c r="F81" i="6" s="1"/>
  <c r="J81" i="6" s="1"/>
  <c r="K81" i="6" s="1"/>
  <c r="B33" i="13" a="1"/>
  <c r="B33" i="13" s="1"/>
  <c r="B69" i="13" a="1"/>
  <c r="B69" i="13" s="1"/>
  <c r="B81" i="13" a="1"/>
  <c r="B81" i="13" s="1"/>
  <c r="E30" i="13" a="1"/>
  <c r="E30" i="13" s="1"/>
  <c r="F178" i="6" s="1"/>
  <c r="B82" i="13" a="1"/>
  <c r="B82" i="13" s="1"/>
  <c r="B69" i="11"/>
  <c r="C23" i="16" s="1"/>
  <c r="H23" i="16" s="1"/>
  <c r="B22" i="13" a="1"/>
  <c r="B22" i="13" s="1"/>
  <c r="B129" i="11"/>
  <c r="C35" i="16" s="1"/>
  <c r="H35" i="16" s="1"/>
  <c r="F132" i="6" s="1"/>
  <c r="F374" i="6"/>
  <c r="E35" i="13" a="1"/>
  <c r="E35" i="13" s="1"/>
  <c r="F186" i="6" s="1"/>
  <c r="M186" i="6" s="1"/>
  <c r="N186" i="6" s="1"/>
  <c r="B46" i="13" a="1"/>
  <c r="B46" i="13" s="1"/>
  <c r="D58" i="13" a="1"/>
  <c r="D58" i="13" s="1"/>
  <c r="D34" i="13" a="1"/>
  <c r="D34" i="13" s="1"/>
  <c r="M325" i="6"/>
  <c r="N325" i="6" s="1"/>
  <c r="D46" i="13" a="1"/>
  <c r="D46" i="13" s="1"/>
  <c r="M396" i="6"/>
  <c r="N396" i="6" s="1"/>
  <c r="N399" i="6" s="1"/>
  <c r="B392" i="6" s="1"/>
  <c r="J396" i="6"/>
  <c r="K396" i="6" s="1"/>
  <c r="H396" i="6"/>
  <c r="H256" i="6"/>
  <c r="M256" i="6"/>
  <c r="N256" i="6" s="1"/>
  <c r="J256" i="6"/>
  <c r="K256" i="6" s="1"/>
  <c r="H421" i="6"/>
  <c r="D82" i="13" a="1"/>
  <c r="D82" i="13" s="1"/>
  <c r="B47" i="13" a="1"/>
  <c r="B47" i="13" s="1"/>
  <c r="D70" i="13" a="1"/>
  <c r="D70" i="13" s="1"/>
  <c r="B70" i="13" a="1"/>
  <c r="B70" i="13" s="1"/>
  <c r="D71" i="13" a="1"/>
  <c r="D71" i="13" s="1"/>
  <c r="B23" i="13" a="1"/>
  <c r="B23" i="13" s="1"/>
  <c r="B159" i="11"/>
  <c r="C29" i="16" s="1"/>
  <c r="H29" i="16" s="1"/>
  <c r="J421" i="6"/>
  <c r="K421" i="6" s="1"/>
  <c r="M212" i="6"/>
  <c r="N212" i="6" s="1"/>
  <c r="H212" i="6"/>
  <c r="J212" i="6"/>
  <c r="K212" i="6" s="1"/>
  <c r="J237" i="6"/>
  <c r="K237" i="6" s="1"/>
  <c r="H237" i="6"/>
  <c r="M237" i="6"/>
  <c r="N237" i="6" s="1"/>
  <c r="E58" i="13" a="1"/>
  <c r="E58" i="13" s="1"/>
  <c r="F239" i="6" s="1"/>
  <c r="E82" i="13" a="1"/>
  <c r="E82" i="13" s="1"/>
  <c r="F275" i="6" s="1"/>
  <c r="J99" i="6"/>
  <c r="K99" i="6" s="1"/>
  <c r="H99" i="6"/>
  <c r="M99" i="6"/>
  <c r="N99" i="6" s="1"/>
  <c r="C35" i="13" a="1"/>
  <c r="C35" i="13" s="1"/>
  <c r="E95" i="13" a="1"/>
  <c r="E95" i="13" s="1"/>
  <c r="H95" i="13" s="1"/>
  <c r="F102" i="6" s="1"/>
  <c r="E59" i="13" a="1"/>
  <c r="E59" i="13" s="1"/>
  <c r="F240" i="6" s="1"/>
  <c r="E22" i="13" a="1"/>
  <c r="E22" i="13" s="1"/>
  <c r="F203" i="6" s="1"/>
  <c r="B34" i="13" a="1"/>
  <c r="B34" i="13" s="1"/>
  <c r="E116" i="13" a="1"/>
  <c r="E116" i="13" s="1"/>
  <c r="H116" i="13" s="1"/>
  <c r="F151" i="6" s="1"/>
  <c r="C44" i="13" a="1"/>
  <c r="C44" i="13" s="1"/>
  <c r="H44" i="13" s="1"/>
  <c r="F62" i="6" s="1"/>
  <c r="H348" i="6"/>
  <c r="J348" i="6"/>
  <c r="K348" i="6" s="1"/>
  <c r="M348" i="6"/>
  <c r="N348" i="6" s="1"/>
  <c r="B39" i="11"/>
  <c r="C17" i="16" s="1"/>
  <c r="H17" i="16" s="1"/>
  <c r="B9" i="11"/>
  <c r="C20" i="16" s="1"/>
  <c r="H20" i="16" s="1"/>
  <c r="AH33" i="8"/>
  <c r="AI33" i="8" s="1"/>
  <c r="AZ33" i="8"/>
  <c r="BA33" i="8" s="1"/>
  <c r="BA24" i="8"/>
  <c r="AQ33" i="8"/>
  <c r="AR33" i="8" s="1"/>
  <c r="AR24" i="8"/>
  <c r="Y33" i="8"/>
  <c r="Z33" i="8" s="1"/>
  <c r="Z24" i="8"/>
  <c r="F33" i="8"/>
  <c r="H185" i="6"/>
  <c r="J185" i="6"/>
  <c r="K185" i="6" s="1"/>
  <c r="M185" i="6"/>
  <c r="N185" i="6" s="1"/>
  <c r="K399" i="6" l="1"/>
  <c r="B391" i="6" s="1"/>
  <c r="B387" i="6" s="1"/>
  <c r="E29" i="16" s="1"/>
  <c r="M294" i="6"/>
  <c r="N294" i="6" s="1"/>
  <c r="N295" i="6" s="1"/>
  <c r="B294" i="6" s="1"/>
  <c r="H294" i="6"/>
  <c r="H296" i="6" s="1"/>
  <c r="B292" i="6" s="1"/>
  <c r="H18" i="13"/>
  <c r="F20" i="6" s="1"/>
  <c r="H20" i="6" s="1"/>
  <c r="M324" i="6"/>
  <c r="N324" i="6" s="1"/>
  <c r="H324" i="6"/>
  <c r="H327" i="6" s="1"/>
  <c r="B322" i="6" s="1"/>
  <c r="E21" i="16" s="1"/>
  <c r="N319" i="6"/>
  <c r="B318" i="6" s="1"/>
  <c r="H251" i="6"/>
  <c r="B248" i="6" s="1"/>
  <c r="J238" i="6"/>
  <c r="K238" i="6" s="1"/>
  <c r="M238" i="6"/>
  <c r="N238" i="6" s="1"/>
  <c r="J232" i="6"/>
  <c r="K232" i="6" s="1"/>
  <c r="K233" i="6" s="1"/>
  <c r="B231" i="6" s="1"/>
  <c r="M232" i="6"/>
  <c r="N232" i="6" s="1"/>
  <c r="N233" i="6" s="1"/>
  <c r="B232" i="6" s="1"/>
  <c r="H399" i="6"/>
  <c r="B394" i="6" s="1"/>
  <c r="E30" i="16" s="1"/>
  <c r="J204" i="6"/>
  <c r="K204" i="6" s="1"/>
  <c r="J194" i="6"/>
  <c r="K194" i="6" s="1"/>
  <c r="M194" i="6"/>
  <c r="N194" i="6" s="1"/>
  <c r="H16" i="13"/>
  <c r="F18" i="6" s="1"/>
  <c r="H18" i="6" s="1"/>
  <c r="J100" i="6"/>
  <c r="K100" i="6" s="1"/>
  <c r="M204" i="6"/>
  <c r="N204" i="6" s="1"/>
  <c r="K96" i="6"/>
  <c r="B93" i="6" s="1"/>
  <c r="H40" i="13"/>
  <c r="F54" i="6" s="1"/>
  <c r="J54" i="6" s="1"/>
  <c r="K54" i="6" s="1"/>
  <c r="H52" i="13"/>
  <c r="F74" i="6" s="1"/>
  <c r="H74" i="6" s="1"/>
  <c r="M94" i="6"/>
  <c r="N94" i="6" s="1"/>
  <c r="N96" i="6" s="1"/>
  <c r="B94" i="6" s="1"/>
  <c r="K351" i="6"/>
  <c r="B343" i="6" s="1"/>
  <c r="H94" i="6"/>
  <c r="H96" i="6" s="1"/>
  <c r="B92" i="6" s="1"/>
  <c r="H342" i="6"/>
  <c r="H343" i="6" s="1"/>
  <c r="B340" i="6" s="1"/>
  <c r="H75" i="6"/>
  <c r="M75" i="6"/>
  <c r="N75" i="6" s="1"/>
  <c r="N375" i="6"/>
  <c r="B368" i="6" s="1"/>
  <c r="B363" i="6" s="1"/>
  <c r="E26" i="16" s="1"/>
  <c r="M100" i="6"/>
  <c r="N100" i="6" s="1"/>
  <c r="H64" i="13"/>
  <c r="F111" i="6" s="1"/>
  <c r="H111" i="6" s="1"/>
  <c r="N251" i="6"/>
  <c r="B250" i="6" s="1"/>
  <c r="J36" i="6"/>
  <c r="K36" i="6" s="1"/>
  <c r="H36" i="6"/>
  <c r="M222" i="6"/>
  <c r="N222" i="6" s="1"/>
  <c r="N351" i="6"/>
  <c r="B344" i="6" s="1"/>
  <c r="H233" i="6"/>
  <c r="B230" i="6" s="1"/>
  <c r="J222" i="6"/>
  <c r="K222" i="6" s="1"/>
  <c r="M342" i="6"/>
  <c r="N342" i="6" s="1"/>
  <c r="N343" i="6" s="1"/>
  <c r="B342" i="6" s="1"/>
  <c r="H351" i="6"/>
  <c r="B347" i="6" s="1"/>
  <c r="E24" i="16" s="1"/>
  <c r="J55" i="6"/>
  <c r="K55" i="6" s="1"/>
  <c r="M55" i="6"/>
  <c r="N55" i="6" s="1"/>
  <c r="J19" i="6"/>
  <c r="K19" i="6" s="1"/>
  <c r="M420" i="6"/>
  <c r="N420" i="6" s="1"/>
  <c r="N423" i="6" s="1"/>
  <c r="B416" i="6" s="1"/>
  <c r="M25" i="6"/>
  <c r="N25" i="6" s="1"/>
  <c r="H25" i="6"/>
  <c r="M118" i="6"/>
  <c r="N118" i="6" s="1"/>
  <c r="M37" i="6"/>
  <c r="N37" i="6" s="1"/>
  <c r="H37" i="6"/>
  <c r="J118" i="6"/>
  <c r="K118" i="6" s="1"/>
  <c r="H221" i="6"/>
  <c r="J221" i="6"/>
  <c r="K221" i="6" s="1"/>
  <c r="H78" i="13"/>
  <c r="F131" i="6" s="1"/>
  <c r="H131" i="6" s="1"/>
  <c r="J318" i="6"/>
  <c r="K318" i="6" s="1"/>
  <c r="K319" i="6" s="1"/>
  <c r="B317" i="6" s="1"/>
  <c r="H318" i="6"/>
  <c r="H320" i="6" s="1"/>
  <c r="B316" i="6" s="1"/>
  <c r="H71" i="13"/>
  <c r="F121" i="6" s="1"/>
  <c r="M121" i="6" s="1"/>
  <c r="N121" i="6" s="1"/>
  <c r="H130" i="6"/>
  <c r="H302" i="6"/>
  <c r="J302" i="6"/>
  <c r="K302" i="6" s="1"/>
  <c r="J420" i="6"/>
  <c r="K420" i="6" s="1"/>
  <c r="K423" i="6" s="1"/>
  <c r="B415" i="6" s="1"/>
  <c r="M276" i="6"/>
  <c r="N276" i="6" s="1"/>
  <c r="H112" i="6"/>
  <c r="H45" i="13"/>
  <c r="F63" i="6" s="1"/>
  <c r="H63" i="6" s="1"/>
  <c r="J43" i="6"/>
  <c r="K43" i="6" s="1"/>
  <c r="H69" i="13"/>
  <c r="F119" i="6" s="1"/>
  <c r="H119" i="6" s="1"/>
  <c r="H43" i="6"/>
  <c r="H57" i="13"/>
  <c r="F82" i="6" s="1"/>
  <c r="J82" i="6" s="1"/>
  <c r="K82" i="6" s="1"/>
  <c r="J130" i="6"/>
  <c r="K130" i="6" s="1"/>
  <c r="J276" i="6"/>
  <c r="K276" i="6" s="1"/>
  <c r="M112" i="6"/>
  <c r="N112" i="6" s="1"/>
  <c r="J266" i="6"/>
  <c r="K266" i="6" s="1"/>
  <c r="K269" i="6" s="1"/>
  <c r="K415" i="6"/>
  <c r="J258" i="6"/>
  <c r="K258" i="6" s="1"/>
  <c r="K259" i="6" s="1"/>
  <c r="B251" i="6" s="1"/>
  <c r="J184" i="6"/>
  <c r="K184" i="6" s="1"/>
  <c r="H54" i="13"/>
  <c r="F76" i="6" s="1"/>
  <c r="M76" i="6" s="1"/>
  <c r="N76" i="6" s="1"/>
  <c r="H76" i="13"/>
  <c r="F129" i="6" s="1"/>
  <c r="H42" i="13"/>
  <c r="F56" i="6" s="1"/>
  <c r="M56" i="6" s="1"/>
  <c r="N56" i="6" s="1"/>
  <c r="H266" i="6"/>
  <c r="H269" i="6" s="1"/>
  <c r="H35" i="13"/>
  <c r="F46" i="6" s="1"/>
  <c r="H46" i="6" s="1"/>
  <c r="H83" i="13"/>
  <c r="F139" i="6" s="1"/>
  <c r="M139" i="6" s="1"/>
  <c r="N139" i="6" s="1"/>
  <c r="H258" i="6"/>
  <c r="H259" i="6" s="1"/>
  <c r="B254" i="6" s="1"/>
  <c r="F30" i="16" s="1"/>
  <c r="M202" i="6"/>
  <c r="N202" i="6" s="1"/>
  <c r="H21" i="13"/>
  <c r="F26" i="6" s="1"/>
  <c r="J26" i="6" s="1"/>
  <c r="K26" i="6" s="1"/>
  <c r="H202" i="6"/>
  <c r="N327" i="6"/>
  <c r="B320" i="6" s="1"/>
  <c r="M19" i="6"/>
  <c r="N19" i="6" s="1"/>
  <c r="J186" i="6"/>
  <c r="K186" i="6" s="1"/>
  <c r="H152" i="6"/>
  <c r="H33" i="13"/>
  <c r="F44" i="6" s="1"/>
  <c r="H44" i="6" s="1"/>
  <c r="J152" i="6"/>
  <c r="K152" i="6" s="1"/>
  <c r="H214" i="6"/>
  <c r="H215" i="6" s="1"/>
  <c r="B212" i="6" s="1"/>
  <c r="H47" i="13"/>
  <c r="F65" i="6" s="1"/>
  <c r="H65" i="6" s="1"/>
  <c r="J214" i="6"/>
  <c r="K214" i="6" s="1"/>
  <c r="K215" i="6" s="1"/>
  <c r="B213" i="6" s="1"/>
  <c r="N215" i="6"/>
  <c r="B214" i="6" s="1"/>
  <c r="H220" i="6"/>
  <c r="J220" i="6"/>
  <c r="K220" i="6" s="1"/>
  <c r="M220" i="6"/>
  <c r="N220" i="6" s="1"/>
  <c r="M300" i="6"/>
  <c r="N300" i="6" s="1"/>
  <c r="N303" i="6" s="1"/>
  <c r="B296" i="6" s="1"/>
  <c r="H300" i="6"/>
  <c r="J300" i="6"/>
  <c r="K300" i="6" s="1"/>
  <c r="H274" i="6"/>
  <c r="H186" i="6"/>
  <c r="H184" i="6"/>
  <c r="M274" i="6"/>
  <c r="N274" i="6" s="1"/>
  <c r="H81" i="13"/>
  <c r="F137" i="6" s="1"/>
  <c r="M137" i="6" s="1"/>
  <c r="N137" i="6" s="1"/>
  <c r="H66" i="13"/>
  <c r="F113" i="6" s="1"/>
  <c r="J113" i="6" s="1"/>
  <c r="K113" i="6" s="1"/>
  <c r="M81" i="6"/>
  <c r="N81" i="6" s="1"/>
  <c r="H81" i="6"/>
  <c r="H46" i="13"/>
  <c r="F64" i="6" s="1"/>
  <c r="J64" i="6" s="1"/>
  <c r="K64" i="6" s="1"/>
  <c r="M136" i="6"/>
  <c r="N136" i="6" s="1"/>
  <c r="H23" i="13"/>
  <c r="F28" i="6" s="1"/>
  <c r="M28" i="6" s="1"/>
  <c r="N28" i="6" s="1"/>
  <c r="J136" i="6"/>
  <c r="K136" i="6" s="1"/>
  <c r="M196" i="6"/>
  <c r="N196" i="6" s="1"/>
  <c r="J196" i="6"/>
  <c r="K196" i="6" s="1"/>
  <c r="H196" i="6"/>
  <c r="H197" i="6" s="1"/>
  <c r="B194" i="6" s="1"/>
  <c r="J178" i="6"/>
  <c r="K178" i="6" s="1"/>
  <c r="K179" i="6" s="1"/>
  <c r="B177" i="6" s="1"/>
  <c r="M178" i="6"/>
  <c r="N178" i="6" s="1"/>
  <c r="N179" i="6" s="1"/>
  <c r="B178" i="6" s="1"/>
  <c r="H178" i="6"/>
  <c r="B176" i="6" s="1"/>
  <c r="H30" i="13"/>
  <c r="F38" i="6" s="1"/>
  <c r="H70" i="13"/>
  <c r="F120" i="6" s="1"/>
  <c r="J120" i="6" s="1"/>
  <c r="K120" i="6" s="1"/>
  <c r="H374" i="6"/>
  <c r="M374" i="6"/>
  <c r="N374" i="6" s="1"/>
  <c r="F95" i="6"/>
  <c r="J374" i="6"/>
  <c r="K374" i="6" s="1"/>
  <c r="H423" i="6"/>
  <c r="B418" i="6" s="1"/>
  <c r="E33" i="16" s="1"/>
  <c r="H34" i="13"/>
  <c r="F45" i="6" s="1"/>
  <c r="H45" i="6" s="1"/>
  <c r="N187" i="6"/>
  <c r="B180" i="6" s="1"/>
  <c r="N259" i="6"/>
  <c r="B252" i="6" s="1"/>
  <c r="H59" i="13"/>
  <c r="F84" i="6" s="1"/>
  <c r="J84" i="6" s="1"/>
  <c r="K84" i="6" s="1"/>
  <c r="J240" i="6"/>
  <c r="K240" i="6" s="1"/>
  <c r="M240" i="6"/>
  <c r="N240" i="6" s="1"/>
  <c r="H240" i="6"/>
  <c r="M102" i="6"/>
  <c r="N102" i="6" s="1"/>
  <c r="H102" i="6"/>
  <c r="H104" i="6" s="1"/>
  <c r="B98" i="6" s="1"/>
  <c r="D36" i="16" s="1"/>
  <c r="BV33" i="8" s="1"/>
  <c r="BW33" i="8" s="1"/>
  <c r="J102" i="6"/>
  <c r="K102" i="6" s="1"/>
  <c r="H62" i="6"/>
  <c r="M62" i="6"/>
  <c r="N62" i="6" s="1"/>
  <c r="J62" i="6"/>
  <c r="K62" i="6" s="1"/>
  <c r="H22" i="13"/>
  <c r="F27" i="6" s="1"/>
  <c r="J151" i="6"/>
  <c r="K151" i="6" s="1"/>
  <c r="H151" i="6"/>
  <c r="M151" i="6"/>
  <c r="N151" i="6" s="1"/>
  <c r="N154" i="6" s="1"/>
  <c r="B150" i="6" s="1"/>
  <c r="M275" i="6"/>
  <c r="N275" i="6" s="1"/>
  <c r="J275" i="6"/>
  <c r="K275" i="6" s="1"/>
  <c r="H275" i="6"/>
  <c r="H82" i="13"/>
  <c r="F138" i="6" s="1"/>
  <c r="J239" i="6"/>
  <c r="K239" i="6" s="1"/>
  <c r="H239" i="6"/>
  <c r="H241" i="6" s="1"/>
  <c r="B236" i="6" s="1"/>
  <c r="F27" i="16" s="1"/>
  <c r="I27" i="16" s="1"/>
  <c r="AL33" i="8" s="1"/>
  <c r="M239" i="6"/>
  <c r="N239" i="6" s="1"/>
  <c r="H203" i="6"/>
  <c r="J203" i="6"/>
  <c r="K203" i="6" s="1"/>
  <c r="M203" i="6"/>
  <c r="N203" i="6" s="1"/>
  <c r="H58" i="13"/>
  <c r="F83" i="6" s="1"/>
  <c r="H33" i="8"/>
  <c r="H22" i="6" l="1"/>
  <c r="B18" i="6" s="1"/>
  <c r="J20" i="6"/>
  <c r="K20" i="6" s="1"/>
  <c r="K241" i="6"/>
  <c r="B233" i="6" s="1"/>
  <c r="N241" i="6"/>
  <c r="B234" i="6" s="1"/>
  <c r="I30" i="16"/>
  <c r="BM33" i="8" s="1"/>
  <c r="K197" i="6"/>
  <c r="B195" i="6" s="1"/>
  <c r="K205" i="6"/>
  <c r="B197" i="6" s="1"/>
  <c r="N197" i="6"/>
  <c r="B196" i="6" s="1"/>
  <c r="M18" i="6"/>
  <c r="N18" i="6" s="1"/>
  <c r="J18" i="6"/>
  <c r="K18" i="6" s="1"/>
  <c r="K21" i="6" s="1"/>
  <c r="B19" i="6" s="1"/>
  <c r="K104" i="6"/>
  <c r="B95" i="6" s="1"/>
  <c r="M54" i="6"/>
  <c r="N54" i="6" s="1"/>
  <c r="N59" i="6" s="1"/>
  <c r="B56" i="6" s="1"/>
  <c r="H54" i="6"/>
  <c r="H180" i="6"/>
  <c r="J74" i="6"/>
  <c r="K74" i="6" s="1"/>
  <c r="M74" i="6"/>
  <c r="N74" i="6" s="1"/>
  <c r="N77" i="6" s="1"/>
  <c r="B76" i="6" s="1"/>
  <c r="N104" i="6"/>
  <c r="B96" i="6" s="1"/>
  <c r="J111" i="6"/>
  <c r="K111" i="6" s="1"/>
  <c r="K114" i="6" s="1"/>
  <c r="B112" i="6" s="1"/>
  <c r="N223" i="6"/>
  <c r="B216" i="6" s="1"/>
  <c r="H82" i="6"/>
  <c r="M111" i="6"/>
  <c r="N111" i="6" s="1"/>
  <c r="B339" i="6"/>
  <c r="E23" i="16" s="1"/>
  <c r="B411" i="6"/>
  <c r="E32" i="16" s="1"/>
  <c r="K223" i="6"/>
  <c r="B215" i="6" s="1"/>
  <c r="B315" i="6"/>
  <c r="E20" i="16" s="1"/>
  <c r="M131" i="6"/>
  <c r="N131" i="6" s="1"/>
  <c r="H154" i="6"/>
  <c r="B151" i="6" s="1"/>
  <c r="D42" i="16" s="1"/>
  <c r="CI33" i="8" s="1"/>
  <c r="J121" i="6"/>
  <c r="K121" i="6" s="1"/>
  <c r="H121" i="6"/>
  <c r="H223" i="6"/>
  <c r="B219" i="6" s="1"/>
  <c r="F24" i="16" s="1"/>
  <c r="I24" i="16" s="1"/>
  <c r="AC33" i="8" s="1"/>
  <c r="J131" i="6"/>
  <c r="K131" i="6" s="1"/>
  <c r="H303" i="6"/>
  <c r="B298" i="6" s="1"/>
  <c r="E18" i="16" s="1"/>
  <c r="K303" i="6"/>
  <c r="B295" i="6" s="1"/>
  <c r="B291" i="6" s="1"/>
  <c r="E17" i="16" s="1"/>
  <c r="M82" i="6"/>
  <c r="N82" i="6" s="1"/>
  <c r="K187" i="6"/>
  <c r="B179" i="6" s="1"/>
  <c r="B175" i="6" s="1"/>
  <c r="F17" i="16" s="1"/>
  <c r="J63" i="6"/>
  <c r="K63" i="6" s="1"/>
  <c r="M63" i="6"/>
  <c r="N63" i="6" s="1"/>
  <c r="H76" i="6"/>
  <c r="H77" i="6" s="1"/>
  <c r="B74" i="6" s="1"/>
  <c r="M44" i="6"/>
  <c r="N44" i="6" s="1"/>
  <c r="J76" i="6"/>
  <c r="K76" i="6" s="1"/>
  <c r="H56" i="6"/>
  <c r="M20" i="6"/>
  <c r="N20" i="6" s="1"/>
  <c r="H277" i="6"/>
  <c r="B272" i="6" s="1"/>
  <c r="F33" i="16" s="1"/>
  <c r="I33" i="16" s="1"/>
  <c r="AU33" i="8" s="1"/>
  <c r="M119" i="6"/>
  <c r="N119" i="6" s="1"/>
  <c r="N205" i="6"/>
  <c r="B198" i="6" s="1"/>
  <c r="J56" i="6"/>
  <c r="K56" i="6" s="1"/>
  <c r="K59" i="6" s="1"/>
  <c r="B55" i="6" s="1"/>
  <c r="J119" i="6"/>
  <c r="K119" i="6" s="1"/>
  <c r="J46" i="6"/>
  <c r="K46" i="6" s="1"/>
  <c r="K277" i="6"/>
  <c r="B269" i="6" s="1"/>
  <c r="K154" i="6"/>
  <c r="B149" i="6" s="1"/>
  <c r="B148" i="6" s="1"/>
  <c r="D41" i="16" s="1"/>
  <c r="CI24" i="8" s="1"/>
  <c r="CJ24" i="8" s="1"/>
  <c r="M46" i="6"/>
  <c r="N46" i="6" s="1"/>
  <c r="M65" i="6"/>
  <c r="N65" i="6" s="1"/>
  <c r="H139" i="6"/>
  <c r="J139" i="6"/>
  <c r="K139" i="6" s="1"/>
  <c r="J65" i="6"/>
  <c r="K65" i="6" s="1"/>
  <c r="M26" i="6"/>
  <c r="N26" i="6" s="1"/>
  <c r="J44" i="6"/>
  <c r="K44" i="6" s="1"/>
  <c r="M129" i="6"/>
  <c r="N129" i="6" s="1"/>
  <c r="H129" i="6"/>
  <c r="H133" i="6" s="1"/>
  <c r="B129" i="6" s="1"/>
  <c r="J129" i="6"/>
  <c r="K129" i="6" s="1"/>
  <c r="H205" i="6"/>
  <c r="B200" i="6" s="1"/>
  <c r="F21" i="16" s="1"/>
  <c r="I21" i="16" s="1"/>
  <c r="H26" i="6"/>
  <c r="H187" i="6"/>
  <c r="B182" i="6" s="1"/>
  <c r="F18" i="16" s="1"/>
  <c r="M45" i="6"/>
  <c r="N45" i="6" s="1"/>
  <c r="H64" i="6"/>
  <c r="H67" i="6" s="1"/>
  <c r="B61" i="6" s="1"/>
  <c r="D24" i="16" s="1"/>
  <c r="AB33" i="8" s="1"/>
  <c r="M64" i="6"/>
  <c r="N64" i="6" s="1"/>
  <c r="N277" i="6"/>
  <c r="B270" i="6" s="1"/>
  <c r="J45" i="6"/>
  <c r="K45" i="6" s="1"/>
  <c r="M120" i="6"/>
  <c r="N120" i="6" s="1"/>
  <c r="H113" i="6"/>
  <c r="H114" i="6" s="1"/>
  <c r="B111" i="6" s="1"/>
  <c r="M113" i="6"/>
  <c r="N113" i="6" s="1"/>
  <c r="J137" i="6"/>
  <c r="K137" i="6" s="1"/>
  <c r="H137" i="6"/>
  <c r="H120" i="6"/>
  <c r="H84" i="6"/>
  <c r="B247" i="6"/>
  <c r="F29" i="16" s="1"/>
  <c r="I29" i="16" s="1"/>
  <c r="BM24" i="8" s="1"/>
  <c r="BN24" i="8" s="1"/>
  <c r="J28" i="6"/>
  <c r="K28" i="6" s="1"/>
  <c r="H28" i="6"/>
  <c r="H38" i="6"/>
  <c r="H40" i="6" s="1"/>
  <c r="B36" i="6" s="1"/>
  <c r="J38" i="6"/>
  <c r="K38" i="6" s="1"/>
  <c r="K39" i="6" s="1"/>
  <c r="B37" i="6" s="1"/>
  <c r="M38" i="6"/>
  <c r="N38" i="6" s="1"/>
  <c r="N39" i="6" s="1"/>
  <c r="B38" i="6" s="1"/>
  <c r="M84" i="6"/>
  <c r="N84" i="6" s="1"/>
  <c r="H27" i="6"/>
  <c r="M27" i="6"/>
  <c r="N27" i="6" s="1"/>
  <c r="J27" i="6"/>
  <c r="K27" i="6" s="1"/>
  <c r="J138" i="6"/>
  <c r="K138" i="6" s="1"/>
  <c r="H138" i="6"/>
  <c r="M138" i="6"/>
  <c r="N138" i="6" s="1"/>
  <c r="N142" i="6" s="1"/>
  <c r="B133" i="6" s="1"/>
  <c r="H83" i="6"/>
  <c r="J83" i="6"/>
  <c r="K83" i="6" s="1"/>
  <c r="K85" i="6" s="1"/>
  <c r="B77" i="6" s="1"/>
  <c r="M83" i="6"/>
  <c r="N83" i="6" s="1"/>
  <c r="H47" i="6"/>
  <c r="B42" i="6" s="1"/>
  <c r="D18" i="16" s="1"/>
  <c r="BC33" i="8" s="1"/>
  <c r="CD24" i="8"/>
  <c r="CH24" i="8"/>
  <c r="BK24" i="8"/>
  <c r="BU24" i="8"/>
  <c r="AJ24" i="8"/>
  <c r="AA24" i="8"/>
  <c r="AS24" i="8"/>
  <c r="BB24" i="8"/>
  <c r="I33" i="8"/>
  <c r="J33" i="8" s="1"/>
  <c r="B229" i="6" l="1"/>
  <c r="F26" i="16" s="1"/>
  <c r="I26" i="16" s="1"/>
  <c r="AL24" i="8" s="1"/>
  <c r="AM24" i="8" s="1"/>
  <c r="N21" i="6"/>
  <c r="B20" i="6" s="1"/>
  <c r="B193" i="6"/>
  <c r="F20" i="16" s="1"/>
  <c r="I20" i="16" s="1"/>
  <c r="B91" i="6"/>
  <c r="D35" i="16" s="1"/>
  <c r="BV24" i="8" s="1"/>
  <c r="BW24" i="8" s="1"/>
  <c r="BX24" i="8" s="1"/>
  <c r="O24" i="8" s="1"/>
  <c r="P24" i="8"/>
  <c r="H59" i="6"/>
  <c r="B54" i="6" s="1"/>
  <c r="I17" i="16"/>
  <c r="BD24" i="8" s="1"/>
  <c r="BE24" i="8" s="1"/>
  <c r="K24" i="8"/>
  <c r="K77" i="6"/>
  <c r="B75" i="6" s="1"/>
  <c r="N114" i="6"/>
  <c r="B113" i="6" s="1"/>
  <c r="B211" i="6"/>
  <c r="F23" i="16" s="1"/>
  <c r="I23" i="16" s="1"/>
  <c r="AC24" i="8" s="1"/>
  <c r="AD24" i="8" s="1"/>
  <c r="H85" i="6"/>
  <c r="B80" i="6" s="1"/>
  <c r="D27" i="16" s="1"/>
  <c r="AK33" i="8" s="1"/>
  <c r="N85" i="6"/>
  <c r="B78" i="6" s="1"/>
  <c r="N133" i="6"/>
  <c r="B131" i="6" s="1"/>
  <c r="H122" i="6"/>
  <c r="B117" i="6" s="1"/>
  <c r="D30" i="16" s="1"/>
  <c r="BL33" i="8" s="1"/>
  <c r="K122" i="6"/>
  <c r="B114" i="6" s="1"/>
  <c r="I18" i="16"/>
  <c r="BD33" i="8" s="1"/>
  <c r="BE33" i="8" s="1"/>
  <c r="B265" i="6"/>
  <c r="F32" i="16" s="1"/>
  <c r="I32" i="16" s="1"/>
  <c r="AU24" i="8" s="1"/>
  <c r="AV24" i="8" s="1"/>
  <c r="K133" i="6"/>
  <c r="B130" i="6" s="1"/>
  <c r="K67" i="6"/>
  <c r="B57" i="6" s="1"/>
  <c r="L24" i="8"/>
  <c r="N29" i="6"/>
  <c r="B22" i="6" s="1"/>
  <c r="N47" i="6"/>
  <c r="B40" i="6" s="1"/>
  <c r="N122" i="6"/>
  <c r="B115" i="6" s="1"/>
  <c r="K142" i="6"/>
  <c r="B132" i="6" s="1"/>
  <c r="N67" i="6"/>
  <c r="B58" i="6" s="1"/>
  <c r="K47" i="6"/>
  <c r="B39" i="6" s="1"/>
  <c r="H29" i="6"/>
  <c r="K29" i="6"/>
  <c r="B21" i="6" s="1"/>
  <c r="H142" i="6"/>
  <c r="B135" i="6" s="1"/>
  <c r="D33" i="16" s="1"/>
  <c r="AT33" i="8" s="1"/>
  <c r="CJ33" i="8"/>
  <c r="CD33" i="8"/>
  <c r="CB33" i="8"/>
  <c r="BU33" i="8"/>
  <c r="BK33" i="8"/>
  <c r="BX33" i="8"/>
  <c r="O33" i="8" s="1"/>
  <c r="CH33" i="8"/>
  <c r="AA33" i="8"/>
  <c r="AS33" i="8"/>
  <c r="BN33" i="8"/>
  <c r="BB33" i="8"/>
  <c r="AJ33" i="8"/>
  <c r="AD33" i="8"/>
  <c r="AV33" i="8"/>
  <c r="AM33" i="8"/>
  <c r="B17" i="6" l="1"/>
  <c r="D20" i="16" s="1"/>
  <c r="G24" i="8" s="1"/>
  <c r="B24" i="6"/>
  <c r="D21" i="16" s="1"/>
  <c r="G33" i="8" s="1"/>
  <c r="CS33" i="8" s="1"/>
  <c r="Q17" i="8" s="1"/>
  <c r="Q24" i="8"/>
  <c r="P33" i="8"/>
  <c r="Q33" i="8" s="1"/>
  <c r="M24" i="8"/>
  <c r="B73" i="6"/>
  <c r="D26" i="16" s="1"/>
  <c r="AK24" i="8" s="1"/>
  <c r="B110" i="6"/>
  <c r="D29" i="16" s="1"/>
  <c r="BL24" i="8" s="1"/>
  <c r="B128" i="6"/>
  <c r="D32" i="16" s="1"/>
  <c r="AT24" i="8" s="1"/>
  <c r="N24" i="8"/>
  <c r="B35" i="6"/>
  <c r="D17" i="16" s="1"/>
  <c r="BC24" i="8" s="1"/>
  <c r="B53" i="6"/>
  <c r="D23" i="16" s="1"/>
  <c r="AB24" i="8" s="1"/>
  <c r="K33" i="8"/>
  <c r="N33" i="8"/>
  <c r="L33" i="8"/>
  <c r="R24" i="8" l="1"/>
  <c r="R33" i="8"/>
  <c r="CT33" i="8"/>
  <c r="G17" i="8" s="1"/>
  <c r="CS24" i="8"/>
  <c r="M33" i="8"/>
  <c r="CT24" i="8" l="1"/>
  <c r="G16" i="8" s="1"/>
  <c r="Q16" i="8"/>
  <c r="S24" i="8"/>
  <c r="S33" i="8"/>
  <c r="CU33" i="8"/>
  <c r="T33" i="8" l="1"/>
  <c r="F17" i="8" s="1"/>
  <c r="P17" i="8"/>
  <c r="T24" i="8"/>
  <c r="F16" i="8" s="1"/>
  <c r="P16" i="8"/>
  <c r="CU24"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srichardson</author>
  </authors>
  <commentList>
    <comment ref="D60" authorId="0" shapeId="0" xr:uid="{00000000-0006-0000-0100-000001000000}">
      <text>
        <r>
          <rPr>
            <sz val="10"/>
            <rFont val="Arial"/>
            <family val="2"/>
          </rPr>
          <t>includes NYPA</t>
        </r>
      </text>
    </comment>
    <comment ref="C79" authorId="0" shapeId="0" xr:uid="{00000000-0006-0000-0100-000002000000}">
      <text>
        <r>
          <rPr>
            <sz val="10"/>
            <rFont val="Arial"/>
            <family val="2"/>
          </rPr>
          <t>923 Net Generation from Electric Utilities, NAICS Cogen and NAICS non-coogen (MWh) instead of ISO-NE value</t>
        </r>
      </text>
    </comment>
    <comment ref="D86" authorId="0" shapeId="0" xr:uid="{00000000-0006-0000-0100-000003000000}">
      <text>
        <r>
          <rPr>
            <sz val="10"/>
            <rFont val="Arial"/>
            <family val="2"/>
          </rPr>
          <t>includes NYPA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Richardson, Sue Ann (DEP)</author>
    <author>srichardson</author>
  </authors>
  <commentList>
    <comment ref="B7" authorId="0" shapeId="0" xr:uid="{3D888BFA-3FA3-4575-B0E6-D29D9A1E1379}">
      <text>
        <r>
          <rPr>
            <sz val="9"/>
            <color indexed="81"/>
            <rFont val="Tahoma"/>
            <family val="2"/>
          </rPr>
          <t xml:space="preserve">Uses EIA-923 generation value for VT (below).
</t>
        </r>
      </text>
    </comment>
    <comment ref="E7" authorId="1" shapeId="0" xr:uid="{00000000-0006-0000-0200-000001000000}">
      <text>
        <r>
          <rPr>
            <sz val="10"/>
            <color indexed="8"/>
            <rFont val="Arial"/>
            <family val="2"/>
          </rPr>
          <t>Not used. Using 923 MWh (below) instead.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Sharon Weber</author>
    <author>Gentry, Matthew R (DEP)</author>
    <author>srichardson</author>
    <author>Richardson, Sue Ann (DEP)</author>
  </authors>
  <commentList>
    <comment ref="G218" authorId="0" shapeId="0" xr:uid="{00000000-0006-0000-0300-000003000000}">
      <text>
        <r>
          <rPr>
            <sz val="10"/>
            <rFont val="Arial"/>
            <family val="2"/>
          </rPr>
          <t>These MWh are already included in the Environment Canada GWh. They are shown here for purposes of calculating Biogenic CO2.</t>
        </r>
      </text>
    </comment>
    <comment ref="E219" authorId="1" shapeId="0" xr:uid="{BA8E03F8-8B56-47CA-A3D7-AAA7942B29F1}">
      <text>
        <r>
          <rPr>
            <sz val="9"/>
            <color indexed="81"/>
            <rFont val="Tahoma"/>
            <family val="2"/>
          </rPr>
          <t xml:space="preserve">cell V11 of Table A13-6 in EN_Annex13_Electricity_Intensity_2022.xlsx
</t>
        </r>
      </text>
    </comment>
    <comment ref="G221" authorId="2" shapeId="0" xr:uid="{00000000-0006-0000-0300-000004000000}">
      <text>
        <r>
          <rPr>
            <b/>
            <sz val="10"/>
            <color indexed="81"/>
            <rFont val="Arial"/>
            <family val="2"/>
          </rPr>
          <t xml:space="preserve">12/8/23 - Table is now 25-10-0084-01 beginning 2020. Formerly </t>
        </r>
        <r>
          <rPr>
            <sz val="10"/>
            <rFont val="Arial"/>
            <family val="2"/>
          </rPr>
          <t>CANSIM Table 25-10-0019-01 (formerly Table 127-0006)
https://www150.statcan.gc.ca/t1/tbl1/en/tv.action?pid=2510008401&amp;pickMembers%5B0%5D=1.6&amp;pickMembers%5B1%5D=2.2&amp;cubeTimeFrame.startYear=2022&amp;cubeTimeFrame.endYear=2022&amp;referencePeriods=20220101%2C20220101</t>
        </r>
      </text>
    </comment>
    <comment ref="G222" authorId="3" shapeId="0" xr:uid="{00000000-0006-0000-0300-000005000000}">
      <text>
        <r>
          <rPr>
            <b/>
            <sz val="9"/>
            <color indexed="81"/>
            <rFont val="Tahoma"/>
            <family val="2"/>
          </rPr>
          <t>2022 data from same StatCan table as above (methane)</t>
        </r>
      </text>
    </comment>
    <comment ref="E229" authorId="1" shapeId="0" xr:uid="{65D87E9C-952A-4F14-B68D-1A29E2FF699F}">
      <text>
        <r>
          <rPr>
            <sz val="9"/>
            <color indexed="81"/>
            <rFont val="Tahoma"/>
            <family val="2"/>
          </rPr>
          <t>cell V11 of Table A13-5 in EN_Annex13_Electricity_Intensity_2022.xlsx</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Richardson, Sue Ann (DEP)</author>
  </authors>
  <commentList>
    <comment ref="T2674" authorId="0" shapeId="0" xr:uid="{F194C6F3-DC5D-42FA-84BB-A6858B690168}">
      <text>
        <r>
          <rPr>
            <sz val="9"/>
            <color indexed="81"/>
            <rFont val="Tahoma"/>
            <family val="2"/>
          </rPr>
          <t>Formula edited to remove selection by NAICS type to not omit several MWCs listed as Commercial '4'</t>
        </r>
      </text>
    </comment>
    <comment ref="T2685" authorId="0" shapeId="0" xr:uid="{8E4C14B1-2F84-4CE2-A683-8674A6688F69}">
      <text>
        <r>
          <rPr>
            <sz val="9"/>
            <color indexed="81"/>
            <rFont val="Tahoma"/>
            <family val="2"/>
          </rPr>
          <t>Formula edited to remove selection by NAICS type to not omit several MWCs listed as Commercial '4'</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srichardson</author>
  </authors>
  <commentList>
    <comment ref="V296" authorId="0" shapeId="0" xr:uid="{00000000-0006-0000-0800-000001000000}">
      <text>
        <r>
          <rPr>
            <sz val="10"/>
            <color indexed="8"/>
            <rFont val="Arial"/>
            <family val="2"/>
          </rPr>
          <t>includes NYPA from MMWEC Contract, as submitted through AQ31 reports for 2022 [Cell Q46]</t>
        </r>
      </text>
    </comment>
    <comment ref="AK297" authorId="0" shapeId="0" xr:uid="{00000000-0006-0000-0800-000002000000}">
      <text>
        <r>
          <rPr>
            <sz val="10"/>
            <color indexed="8"/>
            <rFont val="Arial"/>
            <family val="2"/>
          </rPr>
          <t>includes NYPA from MMWEC Contract, as submitted through AQ31 reports for 2022 [Cell Q46]</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Sharon Weber</author>
  </authors>
  <commentList>
    <comment ref="J3" authorId="0" shapeId="0" xr:uid="{00000000-0006-0000-0900-000001000000}">
      <text>
        <r>
          <rPr>
            <sz val="10"/>
            <rFont val="Arial"/>
            <family val="2"/>
          </rPr>
          <t>http://epa.gov/climatechange/emissions/downloads10/US-GHG-Inventory-2010-Annex-2-CO2-Fossil-Fuel-Combustion.pdf
"consumption data in the U.S. inventory are presented using higher heating values (HHV)1 rather than the
lower heating values (LHV)2 reflected in the IPCC emission inventory methodology. This convention is followed because data obtained from EIA are based on HHV. Of note, however, is that EIA renewable energy statistics are often published using LHV. The difference between the two conventions relates to the treatment of the heat energy that is consumed in the process of evaporating the water contained in the fuel. The simplified convention used by the International Energy Agency for converting from HHV to LHV is to multiply the energy content by 0.95 for petroleum and coal and by 0.9 for natural gas."</t>
        </r>
      </text>
    </comment>
  </commentList>
</comments>
</file>

<file path=xl/sharedStrings.xml><?xml version="1.0" encoding="utf-8"?>
<sst xmlns="http://schemas.openxmlformats.org/spreadsheetml/2006/main" count="37751" uniqueCount="4008">
  <si>
    <t>SEMASS Resource Recovery</t>
  </si>
  <si>
    <t>SEMASS Partnership</t>
  </si>
  <si>
    <t>Bethpage Power Plant</t>
  </si>
  <si>
    <t>Calpine Eastern Corp</t>
  </si>
  <si>
    <t>William F Wyman</t>
  </si>
  <si>
    <t>FPL Energy Wyman LLC</t>
  </si>
  <si>
    <t>Wyman Hydro</t>
  </si>
  <si>
    <t>Mystic Generating Station</t>
  </si>
  <si>
    <t>Kendall Square Station</t>
  </si>
  <si>
    <t>Canal</t>
  </si>
  <si>
    <t>Cabot</t>
  </si>
  <si>
    <t>CO2 (tons)</t>
  </si>
  <si>
    <t>Potter Station 2</t>
  </si>
  <si>
    <t>Waters River</t>
  </si>
  <si>
    <t>Cleary Flood</t>
  </si>
  <si>
    <t>City of Taunton</t>
  </si>
  <si>
    <t>MSB</t>
  </si>
  <si>
    <t>MSN</t>
  </si>
  <si>
    <t>Rensselaer Cogen</t>
  </si>
  <si>
    <t>Lockport Energy Associates LP</t>
  </si>
  <si>
    <t>Great Lakes Hydro America - ME</t>
  </si>
  <si>
    <t>Great Lakes Hydro America LLC</t>
  </si>
  <si>
    <t>Ocean State Power II</t>
  </si>
  <si>
    <t>Sithe Independence Station</t>
  </si>
  <si>
    <t>Sithe/Independence LLC</t>
  </si>
  <si>
    <t>Saranac Facility</t>
  </si>
  <si>
    <t>Saranac Power Partners LP</t>
  </si>
  <si>
    <t>Curtis Palmer Hydroelectric</t>
  </si>
  <si>
    <t>Vernon Boulevard</t>
  </si>
  <si>
    <t>Brentwood</t>
  </si>
  <si>
    <t>Hell Gate</t>
  </si>
  <si>
    <t>Harlem River Yard</t>
  </si>
  <si>
    <t>North 1st</t>
  </si>
  <si>
    <t>N</t>
  </si>
  <si>
    <t>Electric Utility</t>
  </si>
  <si>
    <t>HY</t>
  </si>
  <si>
    <t>WAT</t>
  </si>
  <si>
    <t>HYC</t>
  </si>
  <si>
    <t>CA</t>
  </si>
  <si>
    <t>NG</t>
  </si>
  <si>
    <t>Mcf</t>
  </si>
  <si>
    <t>CT</t>
  </si>
  <si>
    <t>ST</t>
  </si>
  <si>
    <t>BIT</t>
  </si>
  <si>
    <t>COL</t>
  </si>
  <si>
    <t>short tons</t>
  </si>
  <si>
    <t>DFO</t>
  </si>
  <si>
    <t>barrels</t>
  </si>
  <si>
    <t>SUB</t>
  </si>
  <si>
    <t>ORW</t>
  </si>
  <si>
    <t>GT</t>
  </si>
  <si>
    <t>IC</t>
  </si>
  <si>
    <t>NAICS-22 Non-Cogen</t>
  </si>
  <si>
    <t>NUC</t>
  </si>
  <si>
    <t>Y</t>
  </si>
  <si>
    <t>NAICS-22 Cogen</t>
  </si>
  <si>
    <t>New York Power Authority</t>
  </si>
  <si>
    <t>NY</t>
  </si>
  <si>
    <t>NPCC</t>
  </si>
  <si>
    <t>PS</t>
  </si>
  <si>
    <t>HPS</t>
  </si>
  <si>
    <t>RFO</t>
  </si>
  <si>
    <t>CS</t>
  </si>
  <si>
    <t>LFG</t>
  </si>
  <si>
    <t>MLG</t>
  </si>
  <si>
    <t>PC</t>
  </si>
  <si>
    <t>JF</t>
  </si>
  <si>
    <t>WOO</t>
  </si>
  <si>
    <t>OBG</t>
  </si>
  <si>
    <t>WDS</t>
  </si>
  <si>
    <t>WWW</t>
  </si>
  <si>
    <t>WT</t>
  </si>
  <si>
    <t>WND</t>
  </si>
  <si>
    <t>WO</t>
  </si>
  <si>
    <t>FirstLight Power Resources Services LLC</t>
  </si>
  <si>
    <t>Emissions and Generation</t>
  </si>
  <si>
    <t>KER</t>
  </si>
  <si>
    <t>Devon Station</t>
  </si>
  <si>
    <t>Montville Station</t>
  </si>
  <si>
    <t>NRG Montville Operations Inc</t>
  </si>
  <si>
    <t>Northfield Mountain</t>
  </si>
  <si>
    <t>MA</t>
  </si>
  <si>
    <t>OTH</t>
  </si>
  <si>
    <t>Middletown</t>
  </si>
  <si>
    <t>Middletown Power LLC</t>
  </si>
  <si>
    <t>Millstone</t>
  </si>
  <si>
    <t>Bridgeport Station</t>
  </si>
  <si>
    <t>PSEG Power Connecticut LLC</t>
  </si>
  <si>
    <t>J C McNeil</t>
  </si>
  <si>
    <t>VT</t>
  </si>
  <si>
    <t>ME</t>
  </si>
  <si>
    <t>Rumford Cogeneration</t>
  </si>
  <si>
    <t>Wheelabrator Environmental Systems</t>
  </si>
  <si>
    <t>Athens Generating Plant</t>
  </si>
  <si>
    <t>New Athens Generating Company LLC</t>
  </si>
  <si>
    <t>Comerford</t>
  </si>
  <si>
    <t>NH</t>
  </si>
  <si>
    <t>S C Moore</t>
  </si>
  <si>
    <t>Amoskeag</t>
  </si>
  <si>
    <t>Ayers Island</t>
  </si>
  <si>
    <t>Garvins Falls</t>
  </si>
  <si>
    <t>Merrimack</t>
  </si>
  <si>
    <t>Schiller</t>
  </si>
  <si>
    <t>Danskammer Generating Station</t>
  </si>
  <si>
    <t>Arthur Kill Generating Station</t>
  </si>
  <si>
    <t>NRG Arthur Kill Operations Inc</t>
  </si>
  <si>
    <t>East River</t>
  </si>
  <si>
    <t>Consolidated Edison Co-NY Inc</t>
  </si>
  <si>
    <t>Gowanus Gas Turbines Generating</t>
  </si>
  <si>
    <t>U S Power Generating Company LLC</t>
  </si>
  <si>
    <t>Narrows Gas Turbines Generating</t>
  </si>
  <si>
    <t>Ravenswood</t>
  </si>
  <si>
    <t>74th Street</t>
  </si>
  <si>
    <t>E F Barrett</t>
  </si>
  <si>
    <t>Glenwood</t>
  </si>
  <si>
    <t>Northport</t>
  </si>
  <si>
    <t>Port Jefferson</t>
  </si>
  <si>
    <t>Bethlehem Energy Center</t>
  </si>
  <si>
    <t>Erie Boulevard Hydropower LP</t>
  </si>
  <si>
    <t>Nine Mile Point Nuclear Station</t>
  </si>
  <si>
    <t>Oswego Harbor Power</t>
  </si>
  <si>
    <t>Spier Falls</t>
  </si>
  <si>
    <t>Bowline Point</t>
  </si>
  <si>
    <t>Environment Canada GHG emissions (kilo metric tons CO2e)</t>
  </si>
  <si>
    <t>S A Carlson</t>
  </si>
  <si>
    <t>Blenheim Gilboa</t>
  </si>
  <si>
    <t>Lewiston Niagara</t>
  </si>
  <si>
    <t>Robert Moses Niagara</t>
  </si>
  <si>
    <t>Robert Moses Power Dam</t>
  </si>
  <si>
    <t>Manchester Street</t>
  </si>
  <si>
    <t>RI</t>
  </si>
  <si>
    <t>Green Mountain Power Corp</t>
  </si>
  <si>
    <t>Essex Junction 19</t>
  </si>
  <si>
    <t>Ocean State Power</t>
  </si>
  <si>
    <t>Ocean State Power Co</t>
  </si>
  <si>
    <t>Maple Ridge Wind Farm</t>
  </si>
  <si>
    <t>Flat Rock Windpower, LLC</t>
  </si>
  <si>
    <t>Mars Hill Wind Farm Project</t>
  </si>
  <si>
    <t>Munnsville Wind Farm LLC</t>
  </si>
  <si>
    <t>Operator Name</t>
  </si>
  <si>
    <t>Census Region</t>
  </si>
  <si>
    <t>NERC Region</t>
  </si>
  <si>
    <t>NAICS Code</t>
  </si>
  <si>
    <t>EIA Sector Number</t>
  </si>
  <si>
    <t>Sector Name</t>
  </si>
  <si>
    <t>Newington</t>
  </si>
  <si>
    <t>Brookfield Power New England</t>
  </si>
  <si>
    <t>Bear Swamp</t>
  </si>
  <si>
    <t>Holtsville</t>
  </si>
  <si>
    <t>IMT Transfer NY</t>
  </si>
  <si>
    <t>Astoria Generating Station</t>
  </si>
  <si>
    <t>BLQ</t>
  </si>
  <si>
    <t>SLW</t>
  </si>
  <si>
    <t>Bellingham Cogeneration Facility</t>
  </si>
  <si>
    <t>Northeast Energy Associates LP</t>
  </si>
  <si>
    <t>Brooklyn Navy Yard Cogeneration</t>
  </si>
  <si>
    <t>Brooklyn Navy Yard Cogen PLP</t>
  </si>
  <si>
    <t>Dighton Power Plant</t>
  </si>
  <si>
    <t>Berkshire Power</t>
  </si>
  <si>
    <t>Berkshire Power Co LLC</t>
  </si>
  <si>
    <t>Bridgeport Energy Project</t>
  </si>
  <si>
    <t>Bridgeport Energy LLC</t>
  </si>
  <si>
    <t>Tiverton Power Plant</t>
  </si>
  <si>
    <t>Maine Independence Station</t>
  </si>
  <si>
    <t>Casco Bay Energy Co LLC</t>
  </si>
  <si>
    <t>Millennium Power</t>
  </si>
  <si>
    <t>Rumford Power</t>
  </si>
  <si>
    <t>Milford Power Project</t>
  </si>
  <si>
    <t>Milford Power Co LLC</t>
  </si>
  <si>
    <t>Lake Road Generating Plant</t>
  </si>
  <si>
    <t>Lake Road Generating Co LP</t>
  </si>
  <si>
    <t>Granite Ridge</t>
  </si>
  <si>
    <t>Granite Ridge Energy LLC</t>
  </si>
  <si>
    <t>ANP Bellingham Energy Project</t>
  </si>
  <si>
    <t>ANP Blackstone Energy Project</t>
  </si>
  <si>
    <t>Astoria Gas Turbines</t>
  </si>
  <si>
    <t>NRG Astoria Gas Turbine Operations Inc</t>
  </si>
  <si>
    <t>Westbrook Energy Center</t>
  </si>
  <si>
    <t>Fore River Generating Station</t>
  </si>
  <si>
    <t>Astoria Energy</t>
  </si>
  <si>
    <t>Astoria Energy LLC</t>
  </si>
  <si>
    <t>500MW CC</t>
  </si>
  <si>
    <t>Energy from Generation (GWh)</t>
  </si>
  <si>
    <t>ISO-NE</t>
  </si>
  <si>
    <t>ISO-NE Net Imorts/Exports of Energy from Other Control Areas (GWh)</t>
  </si>
  <si>
    <t>Actual Imports</t>
  </si>
  <si>
    <t>Net Energy for Load (GWh)</t>
  </si>
  <si>
    <t>Total</t>
  </si>
  <si>
    <t>MA Electricity Consumption Non-Biogenic Emissions based on NE Average GHG Emission Factor (lb)</t>
  </si>
  <si>
    <t>MA Electricity Consumption Biogenic CO2 Emissions based on NE Average GHG Emission Factor (lb)</t>
  </si>
  <si>
    <t>MA Biogenic Emissions from Intra-NE Imports</t>
  </si>
  <si>
    <t>Biogenic CO2 Emissions</t>
  </si>
  <si>
    <t>NB: Maine emissions were adjusted to match the geographic scope of the EIA emissions data to that of ISO generation data.</t>
  </si>
  <si>
    <t>MA-Based Non-Biogenic Emission Rate (lb/MWh)</t>
  </si>
  <si>
    <t>MA-Based Biogenic Emission Rate (lb/MWh)</t>
  </si>
  <si>
    <t>Covanta Energy of Niagara LP</t>
  </si>
  <si>
    <t>Covanta Haverhill</t>
  </si>
  <si>
    <t>Ogden Projects Inc-Haverhill</t>
  </si>
  <si>
    <t>Sterling Power Plant</t>
  </si>
  <si>
    <t>Wheelabrator Saugus</t>
  </si>
  <si>
    <t>Wheelabrator Westchester</t>
  </si>
  <si>
    <t>Wheelabrator Bridgeport</t>
  </si>
  <si>
    <t>Carr Street Generating Station</t>
  </si>
  <si>
    <t>Massachusetts</t>
  </si>
  <si>
    <t>Fuels</t>
  </si>
  <si>
    <t>CO2</t>
  </si>
  <si>
    <t>CH4</t>
  </si>
  <si>
    <t>N2O</t>
  </si>
  <si>
    <t>Fuel Type</t>
  </si>
  <si>
    <t>Fuel Codes from EIA</t>
  </si>
  <si>
    <t>IPCC Emission Factors (CH4 kg/TJ) LHV</t>
  </si>
  <si>
    <t>Non-Biogenic CO2e</t>
  </si>
  <si>
    <t>Non-Biogenic</t>
  </si>
  <si>
    <t>CO2e from CH4 from Non-Biogenic Fuels</t>
  </si>
  <si>
    <t>CO2e from N2O from Non-Biogenic Fuels</t>
  </si>
  <si>
    <t>CO2e from CH4 from Biogenic Fuels</t>
  </si>
  <si>
    <t>CO2e from N2O from Biogenic Fuels</t>
  </si>
  <si>
    <t>Biogenic CO2e</t>
  </si>
  <si>
    <t>Biogenic</t>
  </si>
  <si>
    <t>Maine</t>
  </si>
  <si>
    <t>New Hampshire</t>
  </si>
  <si>
    <t>Vermont</t>
  </si>
  <si>
    <t>Rhode Island</t>
  </si>
  <si>
    <t>Connecticut</t>
  </si>
  <si>
    <t>New York</t>
  </si>
  <si>
    <t>Quebec</t>
  </si>
  <si>
    <t>New Brunswick</t>
  </si>
  <si>
    <t>Alfred L Pierce Generating Station</t>
  </si>
  <si>
    <t>AP-1</t>
  </si>
  <si>
    <t>Combustion turbine</t>
  </si>
  <si>
    <t>Bridgeport Energy</t>
  </si>
  <si>
    <t>BE1</t>
  </si>
  <si>
    <t>Combined cycle</t>
  </si>
  <si>
    <t>BE2</t>
  </si>
  <si>
    <t>Bridgeport Harbor Station</t>
  </si>
  <si>
    <t>Cyclone boiler</t>
  </si>
  <si>
    <t>Tangentially-fired</t>
  </si>
  <si>
    <t>Devon</t>
  </si>
  <si>
    <t>Lake Road Generating Company</t>
  </si>
  <si>
    <t>LRG1</t>
  </si>
  <si>
    <t>LRG2</t>
  </si>
  <si>
    <t>LRG3</t>
  </si>
  <si>
    <t>Dry bottom wall-fired boiler</t>
  </si>
  <si>
    <t>Milford Power Company LLC</t>
  </si>
  <si>
    <t>CT01</t>
  </si>
  <si>
    <t>CT02</t>
  </si>
  <si>
    <t>Montville</t>
  </si>
  <si>
    <t>NHB1</t>
  </si>
  <si>
    <t>CT03</t>
  </si>
  <si>
    <t>CT04</t>
  </si>
  <si>
    <t>CT05</t>
  </si>
  <si>
    <t>Bellingham</t>
  </si>
  <si>
    <t>Canal Station</t>
  </si>
  <si>
    <t>Other boiler</t>
  </si>
  <si>
    <t>Dartmouth Power</t>
  </si>
  <si>
    <t>Dighton</t>
  </si>
  <si>
    <t>Mystic</t>
  </si>
  <si>
    <t>West Springfield</t>
  </si>
  <si>
    <t>CTG1</t>
  </si>
  <si>
    <t>CTG2</t>
  </si>
  <si>
    <t>Androscoggin Energy</t>
  </si>
  <si>
    <t>GEN4</t>
  </si>
  <si>
    <t>Granite Ridge Energy</t>
  </si>
  <si>
    <t>Circulating fluidized bed boiler</t>
  </si>
  <si>
    <t>23rd and 3rd</t>
  </si>
  <si>
    <t>Allegany Station No. 133</t>
  </si>
  <si>
    <t>Arthur Kill</t>
  </si>
  <si>
    <t>CT1</t>
  </si>
  <si>
    <t>CT2</t>
  </si>
  <si>
    <t>Athens Generating Company</t>
  </si>
  <si>
    <t>Batavia Energy</t>
  </si>
  <si>
    <t>Bayswater Peaking Facility</t>
  </si>
  <si>
    <t>Bethlehem Energy Center (Albany)</t>
  </si>
  <si>
    <t>Bethpage Energy Center</t>
  </si>
  <si>
    <t>GT1</t>
  </si>
  <si>
    <t>GT2</t>
  </si>
  <si>
    <t>GT3</t>
  </si>
  <si>
    <t>GT4</t>
  </si>
  <si>
    <t>Bowline Generating Station</t>
  </si>
  <si>
    <t>BW01</t>
  </si>
  <si>
    <t>A</t>
  </si>
  <si>
    <t>B</t>
  </si>
  <si>
    <t>Carthage Energy</t>
  </si>
  <si>
    <t>Castleton Power, LLC</t>
  </si>
  <si>
    <t>Freeport Power Plant No. 2</t>
  </si>
  <si>
    <t>Glenwood Landing Energy Center</t>
  </si>
  <si>
    <t>UGT012</t>
  </si>
  <si>
    <t>UGT013</t>
  </si>
  <si>
    <t>HR01</t>
  </si>
  <si>
    <t>HR02</t>
  </si>
  <si>
    <t>Hawkeye Energy Greenport, LLC</t>
  </si>
  <si>
    <t>U-01</t>
  </si>
  <si>
    <t>HG01</t>
  </si>
  <si>
    <t>HG02</t>
  </si>
  <si>
    <t>Indeck-Corinth Energy Center</t>
  </si>
  <si>
    <t>Indeck-Olean Energy Center</t>
  </si>
  <si>
    <t>Indeck-Oswego Energy Center</t>
  </si>
  <si>
    <t>Indeck-Silver Springs Energy Center</t>
  </si>
  <si>
    <t>Indeck-Yerkes Energy Center</t>
  </si>
  <si>
    <t>Independence</t>
  </si>
  <si>
    <t>Massena Energy Facility</t>
  </si>
  <si>
    <t>NO1</t>
  </si>
  <si>
    <t>Pinelawn Power</t>
  </si>
  <si>
    <t>Poletti 500 MW CC</t>
  </si>
  <si>
    <t>CTG7A</t>
  </si>
  <si>
    <t>CTG7B</t>
  </si>
  <si>
    <t>Port Jefferson Energy Center</t>
  </si>
  <si>
    <t>UGT002</t>
  </si>
  <si>
    <t>UGT003</t>
  </si>
  <si>
    <t>Pouch Terminal</t>
  </si>
  <si>
    <t>PT01</t>
  </si>
  <si>
    <t>Ravenswood Generating Station</t>
  </si>
  <si>
    <t>UCC001</t>
  </si>
  <si>
    <t>1GTDBS</t>
  </si>
  <si>
    <t>Richard M Flynn (Holtsville)</t>
  </si>
  <si>
    <t>VB01</t>
  </si>
  <si>
    <t>VB02</t>
  </si>
  <si>
    <t>RISEP1</t>
  </si>
  <si>
    <t>RISEP2</t>
  </si>
  <si>
    <t>IPCC Emission Factors
(CO2 kg/TJ) LHV</t>
  </si>
  <si>
    <t>IPCC Emission Factors (CO2 lb/MMBtu) LHV</t>
  </si>
  <si>
    <t>CO2 emissions used instead of calculating from mmBtu</t>
  </si>
  <si>
    <t>IPCC Emission Factors (CO2 lb/MMBtu) HHV</t>
  </si>
  <si>
    <t>EIA Emission Factors (CO2 lb/MMBtu) HHV</t>
  </si>
  <si>
    <t>average of other emission factors (CO2 lb/MMBtu) HHV</t>
  </si>
  <si>
    <t>Calculated CO2 (lb)</t>
  </si>
  <si>
    <t>CH4 (lb)</t>
  </si>
  <si>
    <t>CO2e (lb)</t>
  </si>
  <si>
    <t>N2O (lb)</t>
  </si>
  <si>
    <t>Part 75 CO2 from units that combust biomass and non-biomass fuels is not used, as Part 75 does not report CO2 by fuel.</t>
  </si>
  <si>
    <t>Part 75 CO2 from cogeneration units is not used, as Part 75 does not report CO2 by type of energy produced (i.e., steam and electricity).</t>
  </si>
  <si>
    <t>IPCC Emission Factors (CH4 lb/MMBtu) LHV</t>
  </si>
  <si>
    <t>IPCC Emission Factors (CH4 lb/MMBtu) HHV</t>
  </si>
  <si>
    <t>IPCC Emission Factors (N2O lb/MMBtu) HHV</t>
  </si>
  <si>
    <t>average of other emission factors (CH4 lb/MMBtu) HHV</t>
  </si>
  <si>
    <t>average of other emission factors (N2O lb/MMBtu) HHV</t>
  </si>
  <si>
    <t>MA Electricity Import Emissions</t>
  </si>
  <si>
    <t>ISO Gen % of Total ME Generation</t>
  </si>
  <si>
    <t>Intra-ISO-NE Electricity Imports</t>
  </si>
  <si>
    <t>Extra-ISO-NE Electricity Imports</t>
  </si>
  <si>
    <t>MA electricity consumption emissions based on region-wide generation and imports</t>
  </si>
  <si>
    <t>Non-Biogenic GHG Emissions</t>
  </si>
  <si>
    <t>MA Basic Information</t>
  </si>
  <si>
    <t>MA Import Need</t>
  </si>
  <si>
    <t>MA Share of NE Imports</t>
  </si>
  <si>
    <t>MA Total Import (MWh) - Assigned</t>
  </si>
  <si>
    <t>MA Emissions from Intra-NE Imports</t>
  </si>
  <si>
    <t>MA Emissions from Extra-NE Imports</t>
  </si>
  <si>
    <t>MA Electricity Consumption Emissions</t>
  </si>
  <si>
    <t xml:space="preserve">VT </t>
  </si>
  <si>
    <t>NB</t>
  </si>
  <si>
    <t>New England</t>
  </si>
  <si>
    <t>MA Fraction of Intra-NE imports</t>
  </si>
  <si>
    <t>Imports to MA from other NE States (MWh)</t>
  </si>
  <si>
    <t>Imports to MA from outside NE (MWh)</t>
  </si>
  <si>
    <t>Total Imports to MA (MWh)</t>
  </si>
  <si>
    <t>MA Share of Net Exports (MWh)</t>
  </si>
  <si>
    <t>Generation (MWh)</t>
  </si>
  <si>
    <t>MA Share of NY Net Exports (MWh)</t>
  </si>
  <si>
    <t>NE Hydro Pumping Load (MWh)</t>
  </si>
  <si>
    <t>Actual Imports (MWh)</t>
  </si>
  <si>
    <t xml:space="preserve"> </t>
  </si>
  <si>
    <t>MA Electricity Import Biogenic Emissions</t>
  </si>
  <si>
    <t>MA Electricity Consumption Biogenic Emissions</t>
  </si>
  <si>
    <t>Year</t>
  </si>
  <si>
    <t>Stony Brook</t>
  </si>
  <si>
    <t>Massachusetts Mun Wholes Electric Co</t>
  </si>
  <si>
    <t>James A Fitzpatrick</t>
  </si>
  <si>
    <t>Seabrook</t>
  </si>
  <si>
    <t>New Haven Harbor</t>
  </si>
  <si>
    <t>A L Pierce</t>
  </si>
  <si>
    <t>Connecticut Mun Elec Engy Coop</t>
  </si>
  <si>
    <t>Wading River</t>
  </si>
  <si>
    <t>Searsburg Wind Turbine</t>
  </si>
  <si>
    <t>natural gas</t>
  </si>
  <si>
    <t>distillate petroleum</t>
  </si>
  <si>
    <t>residual petroleum</t>
  </si>
  <si>
    <t>petroleum coke</t>
  </si>
  <si>
    <t>jet fuel</t>
  </si>
  <si>
    <t>kerosene</t>
  </si>
  <si>
    <t>waste oil</t>
  </si>
  <si>
    <t>black liquor</t>
  </si>
  <si>
    <t>landfill gas</t>
  </si>
  <si>
    <t>sludge waste</t>
  </si>
  <si>
    <t>tire derived fuel</t>
  </si>
  <si>
    <t>biogenic component of municipal solid waste</t>
  </si>
  <si>
    <t>bituminous coal</t>
  </si>
  <si>
    <t>sub-bituminous coal</t>
  </si>
  <si>
    <t>non-biogenic component of municipal solid waste</t>
  </si>
  <si>
    <t>other</t>
  </si>
  <si>
    <t>wood/wood waste solids</t>
  </si>
  <si>
    <t>Biogenic fuels</t>
  </si>
  <si>
    <t>Non-biogenic fuels</t>
  </si>
  <si>
    <t>Assumed to have emissions similar to Bituminous Coal.</t>
  </si>
  <si>
    <t>http://www.ipcc-nggip.iges.or.jp/public/2006gl/pdf/2_Volume2/V2_2_Ch2_Stationary_Combustion.pdf</t>
  </si>
  <si>
    <t>2006 IPCC Guidelines for National Greenhouse Gas Inventories, Volume 2: Energy, Chapter 2: Stationary Combustion</t>
  </si>
  <si>
    <t>TDF</t>
  </si>
  <si>
    <t>CH Resources Beaver Falls</t>
  </si>
  <si>
    <t>Covanta Hempstead</t>
  </si>
  <si>
    <t>Covanta Hempstead Company</t>
  </si>
  <si>
    <t>Masspower</t>
  </si>
  <si>
    <t>Indeck Jonesboro Energy Center</t>
  </si>
  <si>
    <t>Indeck West Enfield Energy Center</t>
  </si>
  <si>
    <t>Industrial NAICS Cogen</t>
  </si>
  <si>
    <t>Industrial NAICS Non-Cogen</t>
  </si>
  <si>
    <t>Anson Abenaki Hydros</t>
  </si>
  <si>
    <t>Commercial NAICS Non-Cogen</t>
  </si>
  <si>
    <t>Commercial NAICS Cogen</t>
  </si>
  <si>
    <t>PUR</t>
  </si>
  <si>
    <t>Finch Paper</t>
  </si>
  <si>
    <t>Finch Paper LLC</t>
  </si>
  <si>
    <t>WDL</t>
  </si>
  <si>
    <t>Medical Area Total Energy Plant</t>
  </si>
  <si>
    <t>OBS</t>
  </si>
  <si>
    <t>Cornell University Central Heat</t>
  </si>
  <si>
    <t>Cornell University</t>
  </si>
  <si>
    <t>Somerset Plant</t>
  </si>
  <si>
    <t>Sappi Fine Paper North America-Somerset</t>
  </si>
  <si>
    <t>OBL</t>
  </si>
  <si>
    <t>S D Warren Westbrook</t>
  </si>
  <si>
    <t>PG</t>
  </si>
  <si>
    <t>OOG</t>
  </si>
  <si>
    <t>Androscoggin Mill</t>
  </si>
  <si>
    <t>Ticonderoga Mill</t>
  </si>
  <si>
    <t>IPC-Ticonderoga</t>
  </si>
  <si>
    <t>New York University Central Plant</t>
  </si>
  <si>
    <t>New York University</t>
  </si>
  <si>
    <t>Mass Inst Tech Cntrl Utilities/Cogen Plt</t>
  </si>
  <si>
    <t>Massachusetts Inst of Tech</t>
  </si>
  <si>
    <t>gaseous propane</t>
  </si>
  <si>
    <t>other biomass gas</t>
  </si>
  <si>
    <t>other biomass solids</t>
  </si>
  <si>
    <t>Edgewood Energy</t>
  </si>
  <si>
    <t>Shoreham Energy</t>
  </si>
  <si>
    <t>Part 75 CO2 is not used when only a portion of CO2 for a row on Form 923 is reported under Part 75</t>
  </si>
  <si>
    <t>Maine Emissions Adjustment to Account for NMISA</t>
  </si>
  <si>
    <t>Devon Power LLC</t>
  </si>
  <si>
    <t>Caithness Long Island Energy Center</t>
  </si>
  <si>
    <t>Caithness Long Island, LLC</t>
  </si>
  <si>
    <t>High Sheldon Wind Farm</t>
  </si>
  <si>
    <t>Invenergy Services LLC</t>
  </si>
  <si>
    <t>PV</t>
  </si>
  <si>
    <t>SUN</t>
  </si>
  <si>
    <t>Algonquin Power Windsor Locks, LLC</t>
  </si>
  <si>
    <t>Pratt &amp; Whitney, East Hartford</t>
  </si>
  <si>
    <t>South Meadow Station</t>
  </si>
  <si>
    <t>11A</t>
  </si>
  <si>
    <t>11B</t>
  </si>
  <si>
    <t>12A</t>
  </si>
  <si>
    <t>12B</t>
  </si>
  <si>
    <t>13A</t>
  </si>
  <si>
    <t>13B</t>
  </si>
  <si>
    <t>14A</t>
  </si>
  <si>
    <t>14B</t>
  </si>
  <si>
    <t>Waterbury Generation</t>
  </si>
  <si>
    <t>Deer Island Treatment</t>
  </si>
  <si>
    <t>S42</t>
  </si>
  <si>
    <t>S43</t>
  </si>
  <si>
    <t>MASSPOWER</t>
  </si>
  <si>
    <t>Medway Station</t>
  </si>
  <si>
    <t>J1T1</t>
  </si>
  <si>
    <t>J1T2</t>
  </si>
  <si>
    <t>J2T1</t>
  </si>
  <si>
    <t>J2T2</t>
  </si>
  <si>
    <t>J3T1</t>
  </si>
  <si>
    <t>J3T2</t>
  </si>
  <si>
    <t>Pittsfield Generating</t>
  </si>
  <si>
    <t>Potter</t>
  </si>
  <si>
    <t>Astoria Gas Turbine Power</t>
  </si>
  <si>
    <t>CT2-1A</t>
  </si>
  <si>
    <t>CT2-1B</t>
  </si>
  <si>
    <t>CT2-2A</t>
  </si>
  <si>
    <t>CT2-2B</t>
  </si>
  <si>
    <t>CT2-3A</t>
  </si>
  <si>
    <t>CT2-3B</t>
  </si>
  <si>
    <t>CT2-4A</t>
  </si>
  <si>
    <t>CT2-4B</t>
  </si>
  <si>
    <t>CT3-1A</t>
  </si>
  <si>
    <t>CT3-1B</t>
  </si>
  <si>
    <t>CT3-2A</t>
  </si>
  <si>
    <t>CT3-2B</t>
  </si>
  <si>
    <t>CT3-3A</t>
  </si>
  <si>
    <t>CT3-3B</t>
  </si>
  <si>
    <t>CT3-4A</t>
  </si>
  <si>
    <t>CT3-4B</t>
  </si>
  <si>
    <t>CT4-1A</t>
  </si>
  <si>
    <t>CT4-1B</t>
  </si>
  <si>
    <t>CT4-2A</t>
  </si>
  <si>
    <t>CT4-2B</t>
  </si>
  <si>
    <t>CT4-3A</t>
  </si>
  <si>
    <t>CT4-3B</t>
  </si>
  <si>
    <t>CT4-4A</t>
  </si>
  <si>
    <t>CT4-4B</t>
  </si>
  <si>
    <t>31RH</t>
  </si>
  <si>
    <t>32SH</t>
  </si>
  <si>
    <t>51RH</t>
  </si>
  <si>
    <t>52SH</t>
  </si>
  <si>
    <t>Black River Generation, LLC</t>
  </si>
  <si>
    <t>E0001</t>
  </si>
  <si>
    <t>E0002</t>
  </si>
  <si>
    <t>E0003</t>
  </si>
  <si>
    <t>U00012</t>
  </si>
  <si>
    <t>U00013</t>
  </si>
  <si>
    <t>U00014</t>
  </si>
  <si>
    <t>U00015</t>
  </si>
  <si>
    <t>U00016</t>
  </si>
  <si>
    <t>U00017</t>
  </si>
  <si>
    <t>U00018</t>
  </si>
  <si>
    <t>U00019</t>
  </si>
  <si>
    <t>Fortistar North Tonawanda Inc</t>
  </si>
  <si>
    <t>NTCT1</t>
  </si>
  <si>
    <t>U00020</t>
  </si>
  <si>
    <t>U00021</t>
  </si>
  <si>
    <t>Hillburn</t>
  </si>
  <si>
    <t>Holtsville Facility</t>
  </si>
  <si>
    <t>U00001</t>
  </si>
  <si>
    <t>U00002</t>
  </si>
  <si>
    <t>U00003</t>
  </si>
  <si>
    <t>U00004</t>
  </si>
  <si>
    <t>U00005</t>
  </si>
  <si>
    <t>U00006</t>
  </si>
  <si>
    <t>U00007</t>
  </si>
  <si>
    <t>U00008</t>
  </si>
  <si>
    <t>U00009</t>
  </si>
  <si>
    <t>U00010</t>
  </si>
  <si>
    <t>U00011</t>
  </si>
  <si>
    <t>KIAC Cogeneration</t>
  </si>
  <si>
    <t>Lockport</t>
  </si>
  <si>
    <t>Nassau Energy Corporation</t>
  </si>
  <si>
    <t>CT02-1</t>
  </si>
  <si>
    <t>CT02-2</t>
  </si>
  <si>
    <t>CT02-3</t>
  </si>
  <si>
    <t>CT02-4</t>
  </si>
  <si>
    <t>CT03-1</t>
  </si>
  <si>
    <t>CT03-2</t>
  </si>
  <si>
    <t>CT03-3</t>
  </si>
  <si>
    <t>CT03-4</t>
  </si>
  <si>
    <t>Saranac Power Partners, LP</t>
  </si>
  <si>
    <t>Selkirk Cogen Partners</t>
  </si>
  <si>
    <t>CTG101</t>
  </si>
  <si>
    <t>CTG201</t>
  </si>
  <si>
    <t>CTG301</t>
  </si>
  <si>
    <t>Shoemaker</t>
  </si>
  <si>
    <t>Wading River Facility</t>
  </si>
  <si>
    <t>UGT007</t>
  </si>
  <si>
    <t>UGT008</t>
  </si>
  <si>
    <t>UGT009</t>
  </si>
  <si>
    <t>West Babylon Facility</t>
  </si>
  <si>
    <t>UGT001</t>
  </si>
  <si>
    <t>Berlin 5</t>
  </si>
  <si>
    <t>Plant Name</t>
  </si>
  <si>
    <t>Ashokan</t>
  </si>
  <si>
    <t>Branford</t>
  </si>
  <si>
    <t>Connecticut Jet Power LLC</t>
  </si>
  <si>
    <t>Bulls Bridge</t>
  </si>
  <si>
    <t>Cos Cob</t>
  </si>
  <si>
    <t>Scotland Dam</t>
  </si>
  <si>
    <t>Shepaug</t>
  </si>
  <si>
    <t>Stevenson</t>
  </si>
  <si>
    <t>Taftville</t>
  </si>
  <si>
    <t>Tunnel</t>
  </si>
  <si>
    <t>Farmington River Power Company</t>
  </si>
  <si>
    <t>Falls Village</t>
  </si>
  <si>
    <t>Franklin Drive</t>
  </si>
  <si>
    <t>South Meadow</t>
  </si>
  <si>
    <t>Torrington Terminal</t>
  </si>
  <si>
    <t>Central Hudson Gas &amp; Elec Corp</t>
  </si>
  <si>
    <t>North Main Street</t>
  </si>
  <si>
    <t>Tenth Street</t>
  </si>
  <si>
    <t>Upper Mechanicville</t>
  </si>
  <si>
    <t>New York State Elec &amp; Gas Corp</t>
  </si>
  <si>
    <t>W K Sanders</t>
  </si>
  <si>
    <t>East Barnet</t>
  </si>
  <si>
    <t>Charles E Monty</t>
  </si>
  <si>
    <t>Jarvis (Hinckley)</t>
  </si>
  <si>
    <t>Bonny Eagle</t>
  </si>
  <si>
    <t>Cape Gas Turbine</t>
  </si>
  <si>
    <t>FPL Energy Cape LLC</t>
  </si>
  <si>
    <t>Deer Rips</t>
  </si>
  <si>
    <t>Gulf Island</t>
  </si>
  <si>
    <t>Hiram</t>
  </si>
  <si>
    <t>Messalonskee 2 (Oakland)</t>
  </si>
  <si>
    <t>Messalonskee 3</t>
  </si>
  <si>
    <t>North Gorham</t>
  </si>
  <si>
    <t>Shawmut</t>
  </si>
  <si>
    <t>Skelton</t>
  </si>
  <si>
    <t>West Buxton</t>
  </si>
  <si>
    <t>Squa Pan Hydro Station</t>
  </si>
  <si>
    <t>Exelon Framingham LLC</t>
  </si>
  <si>
    <t>Exelon Medway LLC</t>
  </si>
  <si>
    <t>Oak Bluffs Diesel Generating Facility</t>
  </si>
  <si>
    <t>Boatlock</t>
  </si>
  <si>
    <t>City of Holyoke Gas and Electric Dept.</t>
  </si>
  <si>
    <t>Chemical</t>
  </si>
  <si>
    <t>Hadley Falls</t>
  </si>
  <si>
    <t>Nantucket Electric Co</t>
  </si>
  <si>
    <t>Deerfield 5</t>
  </si>
  <si>
    <t>Cobble Mountain</t>
  </si>
  <si>
    <t>Doreen</t>
  </si>
  <si>
    <t>Gardners Falls</t>
  </si>
  <si>
    <t>Putts Bridge</t>
  </si>
  <si>
    <t>Redbridge</t>
  </si>
  <si>
    <t>Woodland Road</t>
  </si>
  <si>
    <t>High Street Station</t>
  </si>
  <si>
    <t>Wilder</t>
  </si>
  <si>
    <t>Eastman Falls</t>
  </si>
  <si>
    <t>Gorham</t>
  </si>
  <si>
    <t>Hooksett</t>
  </si>
  <si>
    <t>Jackman</t>
  </si>
  <si>
    <t>Lost Nation</t>
  </si>
  <si>
    <t>White Lake</t>
  </si>
  <si>
    <t>Dashville</t>
  </si>
  <si>
    <t>Neversink</t>
  </si>
  <si>
    <t>South Cairo</t>
  </si>
  <si>
    <t>Sturgeon</t>
  </si>
  <si>
    <t>West Coxsackie</t>
  </si>
  <si>
    <t>Hudson Avenue</t>
  </si>
  <si>
    <t>59th Street</t>
  </si>
  <si>
    <t>National Grid Generation LLC</t>
  </si>
  <si>
    <t>East Hampton</t>
  </si>
  <si>
    <t>Shoreham</t>
  </si>
  <si>
    <t>South Hampton</t>
  </si>
  <si>
    <t>Southold</t>
  </si>
  <si>
    <t>Cadyville</t>
  </si>
  <si>
    <t>Kent Falls</t>
  </si>
  <si>
    <t>Allens Falls</t>
  </si>
  <si>
    <t>Beardslee</t>
  </si>
  <si>
    <t>Belfort</t>
  </si>
  <si>
    <t>Bennetts Bridge</t>
  </si>
  <si>
    <t>Black River</t>
  </si>
  <si>
    <t>Blake</t>
  </si>
  <si>
    <t>Browns Falls</t>
  </si>
  <si>
    <t>Chasm</t>
  </si>
  <si>
    <t>Colton</t>
  </si>
  <si>
    <t>Deferiet</t>
  </si>
  <si>
    <t>Eagle</t>
  </si>
  <si>
    <t>Eel Weir</t>
  </si>
  <si>
    <t>Effley</t>
  </si>
  <si>
    <t>Elmer</t>
  </si>
  <si>
    <t>Ephratah</t>
  </si>
  <si>
    <t>East Norfolk</t>
  </si>
  <si>
    <t>Five Falls</t>
  </si>
  <si>
    <t>Flat Rock</t>
  </si>
  <si>
    <t>Granby</t>
  </si>
  <si>
    <t>Hannawa</t>
  </si>
  <si>
    <t>Herrings</t>
  </si>
  <si>
    <t>Heuvelton</t>
  </si>
  <si>
    <t>High Dam</t>
  </si>
  <si>
    <t>Oswego City of</t>
  </si>
  <si>
    <t>Higley</t>
  </si>
  <si>
    <t>Hydraulic Race</t>
  </si>
  <si>
    <t>Inghams</t>
  </si>
  <si>
    <t>Kamargo</t>
  </si>
  <si>
    <t>Lighthouse Hill</t>
  </si>
  <si>
    <t>Macomb</t>
  </si>
  <si>
    <t>Minetto</t>
  </si>
  <si>
    <t>Moshier</t>
  </si>
  <si>
    <t>Norfolk</t>
  </si>
  <si>
    <t>Norwood</t>
  </si>
  <si>
    <t>Oswego Falls East</t>
  </si>
  <si>
    <t>Oswego Falls West</t>
  </si>
  <si>
    <t>Parishville</t>
  </si>
  <si>
    <t>Piercefield</t>
  </si>
  <si>
    <t>Prospect</t>
  </si>
  <si>
    <t>Raymondville</t>
  </si>
  <si>
    <t>South Edwards</t>
  </si>
  <si>
    <t>School Street</t>
  </si>
  <si>
    <t>Schaghticoke</t>
  </si>
  <si>
    <t>Schuylerville</t>
  </si>
  <si>
    <t>Sewalls</t>
  </si>
  <si>
    <t>Sherman Island</t>
  </si>
  <si>
    <t>Soft Maple</t>
  </si>
  <si>
    <t>South Colton</t>
  </si>
  <si>
    <t>Stark</t>
  </si>
  <si>
    <t>Stewarts Bridge</t>
  </si>
  <si>
    <t>Sugar Island</t>
  </si>
  <si>
    <t>Taylorville</t>
  </si>
  <si>
    <t>Trenton Falls</t>
  </si>
  <si>
    <t>Varick</t>
  </si>
  <si>
    <t>Waterport</t>
  </si>
  <si>
    <t>Yaleville</t>
  </si>
  <si>
    <t>Grahamsville</t>
  </si>
  <si>
    <t>Rio</t>
  </si>
  <si>
    <t>Swinging Bridge 2</t>
  </si>
  <si>
    <t>Rochester 26</t>
  </si>
  <si>
    <t>Rochester Gas &amp; Electric Corp</t>
  </si>
  <si>
    <t>Greenport</t>
  </si>
  <si>
    <t>Jamestown Board of Public Util</t>
  </si>
  <si>
    <t>Crescent</t>
  </si>
  <si>
    <t>Vischer Ferry</t>
  </si>
  <si>
    <t>Charles P Keller</t>
  </si>
  <si>
    <t>Watertown</t>
  </si>
  <si>
    <t>Ascutney</t>
  </si>
  <si>
    <t>Cavendish</t>
  </si>
  <si>
    <t>Clark Falls</t>
  </si>
  <si>
    <t>Fairfax Falls</t>
  </si>
  <si>
    <t>Glen</t>
  </si>
  <si>
    <t>Lower Middlebury</t>
  </si>
  <si>
    <t>Milton</t>
  </si>
  <si>
    <t>Peterson</t>
  </si>
  <si>
    <t>Pittsford</t>
  </si>
  <si>
    <t>Rutland</t>
  </si>
  <si>
    <t>Salisbury</t>
  </si>
  <si>
    <t>Weybridge</t>
  </si>
  <si>
    <t>Newport</t>
  </si>
  <si>
    <t>Great Bay Hydro Corp</t>
  </si>
  <si>
    <t>Colchester 16</t>
  </si>
  <si>
    <t>Marshfield 6</t>
  </si>
  <si>
    <t>Middlesex 2</t>
  </si>
  <si>
    <t>West Danville 15</t>
  </si>
  <si>
    <t>Bellows Falls</t>
  </si>
  <si>
    <t>Harriman</t>
  </si>
  <si>
    <t>Canaan</t>
  </si>
  <si>
    <t>West Charleston</t>
  </si>
  <si>
    <t>Barton Village, Inc</t>
  </si>
  <si>
    <t>Burlington GT</t>
  </si>
  <si>
    <t>Morrisville</t>
  </si>
  <si>
    <t>Cadys Falls</t>
  </si>
  <si>
    <t>Sherman</t>
  </si>
  <si>
    <t>Deerfield 2</t>
  </si>
  <si>
    <t>West Tisbury Generating Facility</t>
  </si>
  <si>
    <t>Deerfield 3</t>
  </si>
  <si>
    <t>NextEra Energy Seabrook LLC</t>
  </si>
  <si>
    <t>Deerfield 4</t>
  </si>
  <si>
    <t>Shrewsbury</t>
  </si>
  <si>
    <t>Dwight</t>
  </si>
  <si>
    <t>Indian Orchard</t>
  </si>
  <si>
    <t>Turners Falls</t>
  </si>
  <si>
    <t>Proctor</t>
  </si>
  <si>
    <t>Beldens</t>
  </si>
  <si>
    <t>Carver Falls</t>
  </si>
  <si>
    <t>Gorge 18</t>
  </si>
  <si>
    <t>Mcindoes</t>
  </si>
  <si>
    <t>Mill C</t>
  </si>
  <si>
    <t>Vergennes 9</t>
  </si>
  <si>
    <t>Waterbury 22</t>
  </si>
  <si>
    <t>E J West</t>
  </si>
  <si>
    <t>Searsburg</t>
  </si>
  <si>
    <t>Block Island</t>
  </si>
  <si>
    <t>Wilkins Station</t>
  </si>
  <si>
    <t>Highgate Falls</t>
  </si>
  <si>
    <t>Wrightsville Hydro Plant</t>
  </si>
  <si>
    <t>Bolton Falls</t>
  </si>
  <si>
    <t>Richard M Flynn</t>
  </si>
  <si>
    <t>Front Street</t>
  </si>
  <si>
    <t>Talcville</t>
  </si>
  <si>
    <t>Allegany Cogen</t>
  </si>
  <si>
    <t>Glenwood Landing</t>
  </si>
  <si>
    <t>Fife Brook</t>
  </si>
  <si>
    <t>Pouch</t>
  </si>
  <si>
    <t>Cherry Street</t>
  </si>
  <si>
    <t>Cabot Holyoke</t>
  </si>
  <si>
    <t>General Electric Aircraft Engines</t>
  </si>
  <si>
    <t>Hillsborough Hosiery</t>
  </si>
  <si>
    <t>Silverstreet Hydro</t>
  </si>
  <si>
    <t>Derby Hydro</t>
  </si>
  <si>
    <t>McCallum Enterprises I LP</t>
  </si>
  <si>
    <t>Lockwood Hydroelectric Facility</t>
  </si>
  <si>
    <t>Merimil Ltd Partnership</t>
  </si>
  <si>
    <t>Hampton Facility</t>
  </si>
  <si>
    <t>Foss Manufacturing Company LLC</t>
  </si>
  <si>
    <t>Hampshire Paper</t>
  </si>
  <si>
    <t>Hampshire Paper Co Inc</t>
  </si>
  <si>
    <t>Hollow Dam Power Partnership</t>
  </si>
  <si>
    <t>Deweys Mill</t>
  </si>
  <si>
    <t>M Street Jet</t>
  </si>
  <si>
    <t>Massachusetts Bay Trans Auth</t>
  </si>
  <si>
    <t>Mine Falls Generating Station</t>
  </si>
  <si>
    <t>Castleton Energy Center</t>
  </si>
  <si>
    <t>Moose River</t>
  </si>
  <si>
    <t>Philadlephia</t>
  </si>
  <si>
    <t>Lower Saranac Hydroelectric Facility</t>
  </si>
  <si>
    <t>Warrensburg Hydroelectric</t>
  </si>
  <si>
    <t>Boralex Hydro Operations Inc</t>
  </si>
  <si>
    <t>Middle Falls Hydro</t>
  </si>
  <si>
    <t>Sissonville Hydro</t>
  </si>
  <si>
    <t>New York State Dam Hydro</t>
  </si>
  <si>
    <t>Diana Hydroelectric</t>
  </si>
  <si>
    <t>Dolgeville Hydro</t>
  </si>
  <si>
    <t>Cornell Hydro</t>
  </si>
  <si>
    <t>Bridgewater Power LP</t>
  </si>
  <si>
    <t>Bridgewater Power Co LP</t>
  </si>
  <si>
    <t>Clark University</t>
  </si>
  <si>
    <t>Indian Orchard Plant 1</t>
  </si>
  <si>
    <t>Solutia Inc-Indian</t>
  </si>
  <si>
    <t>Fourth Branch Hydroelectric Facility</t>
  </si>
  <si>
    <t>Mead Rumford Cogen</t>
  </si>
  <si>
    <t>Sheldon Springs Hydroelectric</t>
  </si>
  <si>
    <t>Wheelabrator Hudson Falls</t>
  </si>
  <si>
    <t>Lederle Laboratories</t>
  </si>
  <si>
    <t>Benton Falls Associates</t>
  </si>
  <si>
    <t>Essex Hydro Associates LLC</t>
  </si>
  <si>
    <t>Dodge Falls Associates</t>
  </si>
  <si>
    <t>Dodge Falls Associates LP</t>
  </si>
  <si>
    <t>Feeder Dam Hydro Plant</t>
  </si>
  <si>
    <t>Beebee Island Hydro Plant</t>
  </si>
  <si>
    <t>Dexter Plant</t>
  </si>
  <si>
    <t>CHI Energy Inc</t>
  </si>
  <si>
    <t>Theresa Plant</t>
  </si>
  <si>
    <t>Diamond Island Plant</t>
  </si>
  <si>
    <t>Hailesboro 4 Plant</t>
  </si>
  <si>
    <t>Copenhagen Plant</t>
  </si>
  <si>
    <t>Pyrites Plant</t>
  </si>
  <si>
    <t>Brassua Hydroelectric Project</t>
  </si>
  <si>
    <t>Brassua Hydroelectric LP</t>
  </si>
  <si>
    <t>Boott Hydropower</t>
  </si>
  <si>
    <t>Algonquin Windsor Locks</t>
  </si>
  <si>
    <t>Algonquin Windsor Locks LLC</t>
  </si>
  <si>
    <t>Errol Hydroelectric Project</t>
  </si>
  <si>
    <t>Errol Hydroelectric Co LLC</t>
  </si>
  <si>
    <t>Gilman Mill</t>
  </si>
  <si>
    <t>Ampersand Gilman Hydro LP</t>
  </si>
  <si>
    <t>Carthage Energy LLC</t>
  </si>
  <si>
    <t>CH Resources Syracuse</t>
  </si>
  <si>
    <t>Covanta Southeastern Connecticut Company</t>
  </si>
  <si>
    <t>Black River Hydro Associates</t>
  </si>
  <si>
    <t>Pepperell Hydro Power Plant</t>
  </si>
  <si>
    <t>Barker Lower</t>
  </si>
  <si>
    <t>Lachute Hydro Lower</t>
  </si>
  <si>
    <t>Lachute Hydro Upper</t>
  </si>
  <si>
    <t>Port Leyden Hydroelectric Project</t>
  </si>
  <si>
    <t>Empire Hydro Partners</t>
  </si>
  <si>
    <t>Oakdale Power Station</t>
  </si>
  <si>
    <t>Massachusetts Water Res Auth</t>
  </si>
  <si>
    <t>Cosgrove Intake and Power Station</t>
  </si>
  <si>
    <t>Walden</t>
  </si>
  <si>
    <t>Center Falls</t>
  </si>
  <si>
    <t>Victory Mills</t>
  </si>
  <si>
    <t>Pittsfield Generating LP</t>
  </si>
  <si>
    <t>Valley Falls Hydroelectric Facility</t>
  </si>
  <si>
    <t>Valley Falls Associates</t>
  </si>
  <si>
    <t>MMWAC Resource Recovery Facility</t>
  </si>
  <si>
    <t>Norton Powerhouse</t>
  </si>
  <si>
    <t>Saint - Gobain Abrasives Inc</t>
  </si>
  <si>
    <t>International Paper Jay Hydro</t>
  </si>
  <si>
    <t>Penobscot Energy Recovery</t>
  </si>
  <si>
    <t>ESOCO Orrington LLC</t>
  </si>
  <si>
    <t>Goodyear Lake Plant</t>
  </si>
  <si>
    <t>Otis Hydro</t>
  </si>
  <si>
    <t>International Paper Riley Hydro</t>
  </si>
  <si>
    <t>International Paper Livermore Hydro</t>
  </si>
  <si>
    <t>Univ of Massachusetts Medical Center</t>
  </si>
  <si>
    <t>University of Massachusetts Medical</t>
  </si>
  <si>
    <t>Chateaugay High Falls Hydro</t>
  </si>
  <si>
    <t>China Mill Hydro</t>
  </si>
  <si>
    <t>New Hampshire Hydro Associates</t>
  </si>
  <si>
    <t>Normanskill Hydro Project</t>
  </si>
  <si>
    <t>Watervliet City of</t>
  </si>
  <si>
    <t>Ottauquechee Hydro</t>
  </si>
  <si>
    <t>South Oaks Hospital</t>
  </si>
  <si>
    <t>South Oak Hospital</t>
  </si>
  <si>
    <t>Union Falls</t>
  </si>
  <si>
    <t>US Gypsum Oakfield</t>
  </si>
  <si>
    <t>U S Gypsum Co</t>
  </si>
  <si>
    <t>Regional Waste Systems</t>
  </si>
  <si>
    <t>Ecomaine</t>
  </si>
  <si>
    <t>Robbins Lumber</t>
  </si>
  <si>
    <t>Robbins Lumber Inc</t>
  </si>
  <si>
    <t>Hewittville Hydroelectric</t>
  </si>
  <si>
    <t>Unionville Hydro Project 2499 NY</t>
  </si>
  <si>
    <t>Pioneer Valley Resource Recovery</t>
  </si>
  <si>
    <t>Worumbo Hydro Station</t>
  </si>
  <si>
    <t>Dahowa Hydro</t>
  </si>
  <si>
    <t>Pembroke Hydro</t>
  </si>
  <si>
    <t>Chasm Hydro Partnership</t>
  </si>
  <si>
    <t>Newfound Hydroelectric</t>
  </si>
  <si>
    <t>Rolfe Canal Hydro</t>
  </si>
  <si>
    <t>Briar-Hydro Associates</t>
  </si>
  <si>
    <t>Penacook Lower Falls</t>
  </si>
  <si>
    <t>Newport Hydro</t>
  </si>
  <si>
    <t>Ridgewood Providence Power</t>
  </si>
  <si>
    <t>Gregg Falls</t>
  </si>
  <si>
    <t>Penacook Upper Falls Hydro</t>
  </si>
  <si>
    <t>Tannery Island Power</t>
  </si>
  <si>
    <t>Bronx Zoo</t>
  </si>
  <si>
    <t>New York Zoological Society</t>
  </si>
  <si>
    <t>Indeck Silver Springs Energy Center</t>
  </si>
  <si>
    <t>Indeck-Energy Serv Silver Spg</t>
  </si>
  <si>
    <t>Indeck Oswego Energy Center</t>
  </si>
  <si>
    <t>Indeck-Oswego Ltd Partnership</t>
  </si>
  <si>
    <t>Indeck Yerkes Energy Center</t>
  </si>
  <si>
    <t>Indeck-Yerkes Ltd Partnership</t>
  </si>
  <si>
    <t>Indeck Corinth Energy Center</t>
  </si>
  <si>
    <t>Indeck-Corinth Ltd Partnership</t>
  </si>
  <si>
    <t>Glen Park Hydroelectric Project</t>
  </si>
  <si>
    <t>Stillwater Reservoir Hydro</t>
  </si>
  <si>
    <t>Stillwater Associates</t>
  </si>
  <si>
    <t>Fort Miller Hydroelectric Facility</t>
  </si>
  <si>
    <t>Fort Miller Associates</t>
  </si>
  <si>
    <t>Boltonville Hydro Associates</t>
  </si>
  <si>
    <t>Lawrence Hydroelectric Associates</t>
  </si>
  <si>
    <t>New Milford Gas Recovery</t>
  </si>
  <si>
    <t>WM Renewable Energy LLC</t>
  </si>
  <si>
    <t>High Acres Gas Recovery</t>
  </si>
  <si>
    <t>Covanta Bristol Energy</t>
  </si>
  <si>
    <t>Covanta Bristol Inc</t>
  </si>
  <si>
    <t>Covanta Babylon Inc</t>
  </si>
  <si>
    <t>Lyonsdale Associates</t>
  </si>
  <si>
    <t>Huntington Resource Recovery Facility</t>
  </si>
  <si>
    <t>Huntington Resource Recovery</t>
  </si>
  <si>
    <t>Onondaga County Resource Recovery</t>
  </si>
  <si>
    <t>Covanta Onondega LP</t>
  </si>
  <si>
    <t>Gardiner</t>
  </si>
  <si>
    <t>Pumpkin Hill</t>
  </si>
  <si>
    <t>Salmon Falls</t>
  </si>
  <si>
    <t>Somersworth Lower Great Dam</t>
  </si>
  <si>
    <t>Pontook Hydro Facility</t>
  </si>
  <si>
    <t>Pontook Operating LP</t>
  </si>
  <si>
    <t>Sterling Power Partners LP</t>
  </si>
  <si>
    <t>Pejepscot Hydroelectric Project</t>
  </si>
  <si>
    <t>Topsham Hydro Partners</t>
  </si>
  <si>
    <t>West End Dam Hydroelectric Project</t>
  </si>
  <si>
    <t>Forestport</t>
  </si>
  <si>
    <t>Chicopee Hydroelectric Station</t>
  </si>
  <si>
    <t>Wheelabrator Concord Facility</t>
  </si>
  <si>
    <t>Wheelabrator North Andover</t>
  </si>
  <si>
    <t>Wheelabrator Millbury Facility</t>
  </si>
  <si>
    <t>Oswego County Energy Recovery</t>
  </si>
  <si>
    <t>Oswego County</t>
  </si>
  <si>
    <t>Carr Street Generating Sta LP</t>
  </si>
  <si>
    <t>Aziscohos Hydroelectric Project</t>
  </si>
  <si>
    <t>West Delaware Tunnel Plant</t>
  </si>
  <si>
    <t>Little Falls Hydro</t>
  </si>
  <si>
    <t>MacArthur Waste to Energy Facility</t>
  </si>
  <si>
    <t>Covanta MacArthur Renewable Energy</t>
  </si>
  <si>
    <t>Rhode Island Hospital</t>
  </si>
  <si>
    <t>Nassau Energy Corp</t>
  </si>
  <si>
    <t>Ogdensburg</t>
  </si>
  <si>
    <t>Hartford Hospital Cogeneration</t>
  </si>
  <si>
    <t>Collins Facility</t>
  </si>
  <si>
    <t>Indeck Olean Energy Center</t>
  </si>
  <si>
    <t>Indeck-Olean Ltd Partnership</t>
  </si>
  <si>
    <t>Kennedy International Airport Cogen</t>
  </si>
  <si>
    <t>KIAC Partners</t>
  </si>
  <si>
    <t>Mechanic Falls</t>
  </si>
  <si>
    <t>Fortistar North Tonawanda</t>
  </si>
  <si>
    <t>North American Energy Services</t>
  </si>
  <si>
    <t>Hydro Kennebec Project</t>
  </si>
  <si>
    <t>Hydro Kennebec LLC</t>
  </si>
  <si>
    <t>Stony Brook Cogen Plant</t>
  </si>
  <si>
    <t>Nissequoque Cogen Partners</t>
  </si>
  <si>
    <t>Gillette SBMC</t>
  </si>
  <si>
    <t>The Gillette Company</t>
  </si>
  <si>
    <t>Pfizer Groton Plant</t>
  </si>
  <si>
    <t>Pfizer Inc</t>
  </si>
  <si>
    <t>Metropolitan Dist of Hartford</t>
  </si>
  <si>
    <t>Goodwin Hydroelectric</t>
  </si>
  <si>
    <t>Chace Mill Winooski One</t>
  </si>
  <si>
    <t>EHC West Hopkinton</t>
  </si>
  <si>
    <t>Kinneytown New Old</t>
  </si>
  <si>
    <t>Alice Falls Hydro Project</t>
  </si>
  <si>
    <t>Stillwater Hydro Electric Project</t>
  </si>
  <si>
    <t>Dartmouth College Heating Plant</t>
  </si>
  <si>
    <t>Dartmouth College</t>
  </si>
  <si>
    <t>Rollinsford</t>
  </si>
  <si>
    <t>Mascoma Hydro</t>
  </si>
  <si>
    <t>Longfalls Facility</t>
  </si>
  <si>
    <t>Lochmere Hydroelectric Plant</t>
  </si>
  <si>
    <t>Wappinger Falls Hydroelectric</t>
  </si>
  <si>
    <t>Windsor Machinery Co Inc</t>
  </si>
  <si>
    <t>Morris Energy Operations Company, LLC</t>
  </si>
  <si>
    <t>Batavia Power Plant</t>
  </si>
  <si>
    <t>Seneca Power Partners LP</t>
  </si>
  <si>
    <t>Pratt &amp; Whitney</t>
  </si>
  <si>
    <t>United Technologies</t>
  </si>
  <si>
    <t>Berlin Gorham</t>
  </si>
  <si>
    <t>Turnkey Landfill Gas Recovery</t>
  </si>
  <si>
    <t>Wheelabrator Lisbon</t>
  </si>
  <si>
    <t>South Glens Falls Hydroelectric</t>
  </si>
  <si>
    <t>Seneca Energy</t>
  </si>
  <si>
    <t>Seneca Energy II</t>
  </si>
  <si>
    <t>Plymouth State College Cogeneration</t>
  </si>
  <si>
    <t>Milford Power LP</t>
  </si>
  <si>
    <t>Bassett Healthcare</t>
  </si>
  <si>
    <t>Phoenix Hydro Project</t>
  </si>
  <si>
    <t>Wellesley College Central Utility Plant</t>
  </si>
  <si>
    <t>Wellesley College</t>
  </si>
  <si>
    <t>Hudson Falls Hydroelectric Project</t>
  </si>
  <si>
    <t>Harris Energy Realty</t>
  </si>
  <si>
    <t>Dighton Power, LLC</t>
  </si>
  <si>
    <t>Androscoggin Energy Center</t>
  </si>
  <si>
    <t>ANP Blackstone Energy Company LLC</t>
  </si>
  <si>
    <t>Wethersfield Wind Farm</t>
  </si>
  <si>
    <t>Gas Recovery Systems Inc</t>
  </si>
  <si>
    <t>Bayswater Peaking Facility LLC</t>
  </si>
  <si>
    <t>Model City Energy Facility</t>
  </si>
  <si>
    <t>Model City Energy LLC</t>
  </si>
  <si>
    <t>Madison Windpower LLC</t>
  </si>
  <si>
    <t>Fenner Wind</t>
  </si>
  <si>
    <t>Quinebaug Lower Project</t>
  </si>
  <si>
    <t>Quinebaug Associates LLC</t>
  </si>
  <si>
    <t>Hawkeye Energy Greenport LLC</t>
  </si>
  <si>
    <t>Equus Freeport Power</t>
  </si>
  <si>
    <t>Jamaica Bay Peaking</t>
  </si>
  <si>
    <t>Jamaica Bay Peaking Facility, LLC</t>
  </si>
  <si>
    <t>Pinelawn Power LLC</t>
  </si>
  <si>
    <t>Waterside Power, LLC</t>
  </si>
  <si>
    <t>Ontario LFGTE</t>
  </si>
  <si>
    <t>Modern Innovative Energy LLC</t>
  </si>
  <si>
    <t>Innovative Energy Systems Inc</t>
  </si>
  <si>
    <t>Colonie LFGTE Facility</t>
  </si>
  <si>
    <t>Lempster Wind LLC</t>
  </si>
  <si>
    <t>AMERESCO Chicopee Energy LLC</t>
  </si>
  <si>
    <t>Chaffee Gas Recovery</t>
  </si>
  <si>
    <t>Fitchburg Gas Recovery</t>
  </si>
  <si>
    <t>Steel Winds Wind Farm</t>
  </si>
  <si>
    <t>Northbrook Lyons Falls LLC</t>
  </si>
  <si>
    <t>Gouldtown</t>
  </si>
  <si>
    <t>Kosterville</t>
  </si>
  <si>
    <t>Hull Wind II</t>
  </si>
  <si>
    <t>Hull Municipal Light Plant</t>
  </si>
  <si>
    <t>Moretown</t>
  </si>
  <si>
    <t>Fairfield University</t>
  </si>
  <si>
    <t>Brookfield Power Glen Falls Hydro</t>
  </si>
  <si>
    <t>DANC LFGTE Facility</t>
  </si>
  <si>
    <t>Clinton LFGTE Facility</t>
  </si>
  <si>
    <t>Hyland LFGTE Facility</t>
  </si>
  <si>
    <t>Beaver Ridge Wind</t>
  </si>
  <si>
    <t>Beaver Ridge Wind LLC</t>
  </si>
  <si>
    <t>Orono Hydro Station</t>
  </si>
  <si>
    <t>mcf</t>
  </si>
  <si>
    <t>Central Hudson High Falls</t>
  </si>
  <si>
    <t>City of Norwich - (CT)</t>
  </si>
  <si>
    <t>Messalonskee Stream Hydro LLC</t>
  </si>
  <si>
    <t>Messalonskee 5</t>
  </si>
  <si>
    <t>Algonquin Northern Maine</t>
  </si>
  <si>
    <t>City of Peabody - (MA)</t>
  </si>
  <si>
    <t>Village of Lyndonville - (VT)</t>
  </si>
  <si>
    <t>R E Ginna Nuclear Power Plant</t>
  </si>
  <si>
    <t>Village of Swanton - (VT)</t>
  </si>
  <si>
    <t>Washington Electric Coop - (VT)</t>
  </si>
  <si>
    <t>Town of Princeton - (MA)</t>
  </si>
  <si>
    <t>Joseph J Seymour Power Project</t>
  </si>
  <si>
    <t>Dutchess Cnty Resource Recovery Facility</t>
  </si>
  <si>
    <t>Woodland Pulp LLC</t>
  </si>
  <si>
    <t>MWH</t>
  </si>
  <si>
    <t>KEI (Maine) Power Management (III) LLC</t>
  </si>
  <si>
    <t>Union Falls Hydro Power LP</t>
  </si>
  <si>
    <t>Blackstone/Tupperware</t>
  </si>
  <si>
    <t>Blackstone Hydro Inc.</t>
  </si>
  <si>
    <t>Rhode Island LFG Genco</t>
  </si>
  <si>
    <t>KEI (Maine) Power Management (II) LLC</t>
  </si>
  <si>
    <t>Dartmouth Power Associates LP</t>
  </si>
  <si>
    <t>Upper Barker</t>
  </si>
  <si>
    <t>KEI (Maine) Power Management (IV) LLC</t>
  </si>
  <si>
    <t>Wallingford Energy LLC</t>
  </si>
  <si>
    <t>Edgewood Energy LLC</t>
  </si>
  <si>
    <t>Shoreham Energy LLC</t>
  </si>
  <si>
    <t>Dutch Hill Wind Project</t>
  </si>
  <si>
    <t>Cohocton Wind Project</t>
  </si>
  <si>
    <t>Lyons Falls Hydroelectric</t>
  </si>
  <si>
    <t>Fairfield University CHP Plant</t>
  </si>
  <si>
    <t>Stetson Wind I</t>
  </si>
  <si>
    <t>Stetson Wind II</t>
  </si>
  <si>
    <t>Fulton LFGTE Facility</t>
  </si>
  <si>
    <t>Waste Management Crossroads LFGTE</t>
  </si>
  <si>
    <t>Waste Management Madison County LFGTE</t>
  </si>
  <si>
    <t>GenConn Devon LLC</t>
  </si>
  <si>
    <t>Chautauqua LFGTE Facility</t>
  </si>
  <si>
    <t>MA Military Reservation Wind Project</t>
  </si>
  <si>
    <t>Haverhill Solar Power Project</t>
  </si>
  <si>
    <t>Massachusetts Electric Co</t>
  </si>
  <si>
    <t>NEDC Solar Site</t>
  </si>
  <si>
    <t>Fox Island Wind LLC</t>
  </si>
  <si>
    <t>Notus Wind 1</t>
  </si>
  <si>
    <t>Notus Clean Energy LLC</t>
  </si>
  <si>
    <t>HSCo CHP</t>
  </si>
  <si>
    <t>State-Fuel Level Increment</t>
  </si>
  <si>
    <t>FW</t>
  </si>
  <si>
    <t>Wallingford Energy, LLC</t>
  </si>
  <si>
    <t>Covanta Niagara</t>
  </si>
  <si>
    <t>R1B01</t>
  </si>
  <si>
    <t>CT-1</t>
  </si>
  <si>
    <t>CT-2</t>
  </si>
  <si>
    <t>Kleen Energy Systems Project</t>
  </si>
  <si>
    <t>U1</t>
  </si>
  <si>
    <t>U2</t>
  </si>
  <si>
    <t>AG - Energy</t>
  </si>
  <si>
    <t>CT3</t>
  </si>
  <si>
    <t>CT4</t>
  </si>
  <si>
    <t>City of Burlington Electric - (VT)</t>
  </si>
  <si>
    <t>Constellation Mystic Power LLC</t>
  </si>
  <si>
    <t>Town of Braintree - (MA)</t>
  </si>
  <si>
    <t>City of Watertown - (NY)</t>
  </si>
  <si>
    <t>City of Chicopee - (MA)</t>
  </si>
  <si>
    <t>Princeton Wind Farm</t>
  </si>
  <si>
    <t>Dutchess County RRA</t>
  </si>
  <si>
    <t>ReEnergy Livermore Falls</t>
  </si>
  <si>
    <t>Al Turi</t>
  </si>
  <si>
    <t>Ameresco LFG I Inc</t>
  </si>
  <si>
    <t>ReEnergy Stratton LLC</t>
  </si>
  <si>
    <t>Huntington Falls</t>
  </si>
  <si>
    <t>CT Resource Rec Authority Facility</t>
  </si>
  <si>
    <t>NAES Corp</t>
  </si>
  <si>
    <t>Nashua Plant</t>
  </si>
  <si>
    <t>MM Taunton Energy</t>
  </si>
  <si>
    <t>MM Taunton Energy LLC</t>
  </si>
  <si>
    <t>MM Albany Energy</t>
  </si>
  <si>
    <t>MM Albany Energy LLC</t>
  </si>
  <si>
    <t>Westbrook Energy Center Power Plant</t>
  </si>
  <si>
    <t>Wallingford Energy</t>
  </si>
  <si>
    <t>GRS Fall River</t>
  </si>
  <si>
    <t>Kleen Energy Systems, LLC</t>
  </si>
  <si>
    <t>Rollins Wind Project</t>
  </si>
  <si>
    <t>GenConn Middletown LLC</t>
  </si>
  <si>
    <t>Sheffield Wind</t>
  </si>
  <si>
    <t>Hardscrabble Wind Power LLC</t>
  </si>
  <si>
    <t>Dartmouth Solar</t>
  </si>
  <si>
    <t>Consolidated Edison Development Inc.</t>
  </si>
  <si>
    <t>Chittenden County Solar Partners</t>
  </si>
  <si>
    <t>Chittenden County Solar Partners LLC</t>
  </si>
  <si>
    <t>Long Island Solar Farm LLC</t>
  </si>
  <si>
    <t>Bridge Street 1 &amp; 2</t>
  </si>
  <si>
    <t>Fort Hill 1, 2, 3 &amp; 4</t>
  </si>
  <si>
    <t>Fishers Island 1</t>
  </si>
  <si>
    <t>Gary Court 1 &amp; 2</t>
  </si>
  <si>
    <t>Jewett City 1</t>
  </si>
  <si>
    <t>LNG 1 &amp; 2</t>
  </si>
  <si>
    <t>Lebanon Pines 1 &amp; 2</t>
  </si>
  <si>
    <t>Water Treatment 1 &amp; 2</t>
  </si>
  <si>
    <t>Norwich WWTP</t>
  </si>
  <si>
    <t>Astoria Energy II</t>
  </si>
  <si>
    <t>Astoria Energy II LLC</t>
  </si>
  <si>
    <t>Foxwoods CoGen</t>
  </si>
  <si>
    <t>Foxwoods Resort Casino</t>
  </si>
  <si>
    <t>Indian Orchard PV Facility</t>
  </si>
  <si>
    <t>Western Massachusetts Electric Company</t>
  </si>
  <si>
    <t>Silver Lake Solar Photovoltaic Facility</t>
  </si>
  <si>
    <t>Norden 1-3</t>
  </si>
  <si>
    <t>Third Taxing District of Norwalk</t>
  </si>
  <si>
    <t>Berkshire Wind Power Project</t>
  </si>
  <si>
    <t>Peak Power 1 Cogen</t>
  </si>
  <si>
    <t>Peak Power 1, LLC</t>
  </si>
  <si>
    <t>OBP Cogen</t>
  </si>
  <si>
    <t>OBP Cogen LLC</t>
  </si>
  <si>
    <t>RFC</t>
  </si>
  <si>
    <t>Middlebury College</t>
  </si>
  <si>
    <t>Middlebury College Biomass</t>
  </si>
  <si>
    <t>Ipswich Wind Turbine</t>
  </si>
  <si>
    <t>Howard Wind Farm</t>
  </si>
  <si>
    <t>Holyoke Solar Cooperative at Mueller</t>
  </si>
  <si>
    <t>Holyoke Solar LLC</t>
  </si>
  <si>
    <t>Town of Shrewsbury - (MA)</t>
  </si>
  <si>
    <t>Rousselot Inc</t>
  </si>
  <si>
    <t>Palmer Hydroelectric</t>
  </si>
  <si>
    <t>wood &amp; wood energy used as fuel</t>
  </si>
  <si>
    <t>NHHS2</t>
  </si>
  <si>
    <t>NHHS3</t>
  </si>
  <si>
    <t>NHHS4</t>
  </si>
  <si>
    <t>CCI Roseton LLC</t>
  </si>
  <si>
    <t>Lakeside Beaver Falls LLC</t>
  </si>
  <si>
    <t>Lakeside Syracuse LLC</t>
  </si>
  <si>
    <t>Tiverton Power, LLC</t>
  </si>
  <si>
    <t>These values are for filtered checking.</t>
  </si>
  <si>
    <t>U.S. Department of Energy, The Energy Information Administration (EIA)</t>
  </si>
  <si>
    <t>Sources: EIA-923 and EIA-860 Reports</t>
  </si>
  <si>
    <t/>
  </si>
  <si>
    <t>Year-To-Date</t>
  </si>
  <si>
    <t>Plant Id</t>
  </si>
  <si>
    <t>Nuclear Unit Id</t>
  </si>
  <si>
    <t>Operator Id</t>
  </si>
  <si>
    <t>YEAR</t>
  </si>
  <si>
    <t>MAT</t>
  </si>
  <si>
    <t>NEW</t>
  </si>
  <si>
    <t>FirstLight Power Resources, Inc. - MA</t>
  </si>
  <si>
    <t>Brookfield White Pine Hydro LLC</t>
  </si>
  <si>
    <t>Ellsworth Hydro Station</t>
  </si>
  <si>
    <t>Milford Hydro Station</t>
  </si>
  <si>
    <t>Stillwater Hydro Station</t>
  </si>
  <si>
    <t>Town of Ipswich - (MA)</t>
  </si>
  <si>
    <t>Alliance NYGT, LLC</t>
  </si>
  <si>
    <t>Rochester 5</t>
  </si>
  <si>
    <t>Bear Swamp Power Company LLC</t>
  </si>
  <si>
    <t>Roseton Generating Facility</t>
  </si>
  <si>
    <t>Black River Generation LLC</t>
  </si>
  <si>
    <t>Rumford Falls Hydro Facility</t>
  </si>
  <si>
    <t>Power City Partners LP</t>
  </si>
  <si>
    <t>Bassett Medical Center</t>
  </si>
  <si>
    <t>Tiverton Power LLC</t>
  </si>
  <si>
    <t>Medway Hydro</t>
  </si>
  <si>
    <t>Marble River Wind Farm</t>
  </si>
  <si>
    <t>Marble River, LLC</t>
  </si>
  <si>
    <t>Steel Winds II</t>
  </si>
  <si>
    <t>Bull Hill Wind Project</t>
  </si>
  <si>
    <t>Dorchester Solar Site</t>
  </si>
  <si>
    <t>New England Wind LLC</t>
  </si>
  <si>
    <t>Oneida Herkimer</t>
  </si>
  <si>
    <t>Record Hill Wind</t>
  </si>
  <si>
    <t>Record Hill Wind LLC</t>
  </si>
  <si>
    <t>Dartmouth II Solar</t>
  </si>
  <si>
    <t>Douglas Solar</t>
  </si>
  <si>
    <t>Town of Uxbridge MA at Commerce Dr</t>
  </si>
  <si>
    <t>Town of Norfolk MA at Medway Branch</t>
  </si>
  <si>
    <t>Kingdom Community Wind</t>
  </si>
  <si>
    <t>Groveland Solar</t>
  </si>
  <si>
    <t>Shrewsbury Solar</t>
  </si>
  <si>
    <t>Boston Scientific Solar</t>
  </si>
  <si>
    <t>Granite Reliable Power</t>
  </si>
  <si>
    <t>Mt Wachusett Community College</t>
  </si>
  <si>
    <t>Spruce Mountain WInd</t>
  </si>
  <si>
    <t>Spruce Mountain Wind LLC</t>
  </si>
  <si>
    <t>Padelford Solar</t>
  </si>
  <si>
    <t>Charlestown Wind Turbine</t>
  </si>
  <si>
    <t>MWRA Charlestown</t>
  </si>
  <si>
    <t>Cellu Tissue</t>
  </si>
  <si>
    <t>Groton Wind LLC</t>
  </si>
  <si>
    <t>Twin Rivers Paper Co LLC</t>
  </si>
  <si>
    <t>Danbury Hospital Cogen Plant</t>
  </si>
  <si>
    <t>Danbury Hospital</t>
  </si>
  <si>
    <t>Eastern Maine Medical Center</t>
  </si>
  <si>
    <t>SUNY Old Westbury College</t>
  </si>
  <si>
    <t>University of Rochester</t>
  </si>
  <si>
    <t>Wesleyan University Cogen 1</t>
  </si>
  <si>
    <t>Wesleyan University</t>
  </si>
  <si>
    <t>UCONN Cogen Facility</t>
  </si>
  <si>
    <t>University of Connecticut</t>
  </si>
  <si>
    <t>Williams College - Campus CHP</t>
  </si>
  <si>
    <t>President &amp; Trustees of Williams College</t>
  </si>
  <si>
    <t>Smith College Central Heating Plant</t>
  </si>
  <si>
    <t>The Trustees of Smith College</t>
  </si>
  <si>
    <t>UNH 7.9 MW Plant</t>
  </si>
  <si>
    <t>Emcor Energy Services</t>
  </si>
  <si>
    <t>Rand Whitney CHP Plant</t>
  </si>
  <si>
    <t>Rand Whitney Containerboard L.P.</t>
  </si>
  <si>
    <t>Amherst College Co Gen</t>
  </si>
  <si>
    <t>Amherst College</t>
  </si>
  <si>
    <t>Monroe Community College Plant</t>
  </si>
  <si>
    <t>NFM Solar Power LLC</t>
  </si>
  <si>
    <t>CCSU Co-Gen-STBY Gen</t>
  </si>
  <si>
    <t>Central Connecticut State University</t>
  </si>
  <si>
    <t>CCSU Fuel Cell Project</t>
  </si>
  <si>
    <t>New Britain Renewable Energy, LLC</t>
  </si>
  <si>
    <t>FC</t>
  </si>
  <si>
    <t>Georgia Mountain Community Wind Farm</t>
  </si>
  <si>
    <t>Acushnet AD Makepeace</t>
  </si>
  <si>
    <t>Acushnet Hawes Reed Road</t>
  </si>
  <si>
    <t>Easthampton Landfill-City of Easthampton</t>
  </si>
  <si>
    <t>Bradley Energy Center</t>
  </si>
  <si>
    <t>Ameresco Select Inc</t>
  </si>
  <si>
    <t>Biomass</t>
  </si>
  <si>
    <t>Coal</t>
  </si>
  <si>
    <t>Diesel</t>
  </si>
  <si>
    <t>Digester Gas</t>
  </si>
  <si>
    <t>Energy Storage</t>
  </si>
  <si>
    <t>Fuel cell</t>
  </si>
  <si>
    <t>Hydroelectric/Hydropower</t>
  </si>
  <si>
    <t>Hydrokinetic</t>
  </si>
  <si>
    <t>Jet</t>
  </si>
  <si>
    <t>Landfill gas</t>
  </si>
  <si>
    <t>Municipal solid waste</t>
  </si>
  <si>
    <t>Natural gas</t>
  </si>
  <si>
    <t>Nuclear</t>
  </si>
  <si>
    <t>Oil</t>
  </si>
  <si>
    <t>Solar Photovoltaic</t>
  </si>
  <si>
    <t>Trash-to-energy</t>
  </si>
  <si>
    <t>Wind</t>
  </si>
  <si>
    <t>Wood</t>
  </si>
  <si>
    <t>Q</t>
  </si>
  <si>
    <t>MSN =</t>
  </si>
  <si>
    <t>MSB =</t>
  </si>
  <si>
    <t>landfill gas transferred out through RPS</t>
  </si>
  <si>
    <t>Average CHP-NG Heat Rate for Region =</t>
  </si>
  <si>
    <t>Average CHP-DFO Heat Rate for Region =</t>
  </si>
  <si>
    <t>CHP NG Heat Rates</t>
  </si>
  <si>
    <t>CHP DFO Heat Rates</t>
  </si>
  <si>
    <t>From CT</t>
  </si>
  <si>
    <t>MA fuel-specific MSS MMBTUs to CT</t>
  </si>
  <si>
    <t>MA fuel-specific NON MMBTUs to CT</t>
  </si>
  <si>
    <t>NH fuel-specific MSS MMBTUs to CT</t>
  </si>
  <si>
    <t>NH fuel-specific NON MMBTUs to CT</t>
  </si>
  <si>
    <t>FUELS</t>
  </si>
  <si>
    <t>MSS</t>
  </si>
  <si>
    <t>NON</t>
  </si>
  <si>
    <t>TOTAL</t>
  </si>
  <si>
    <t>Residual Mix</t>
  </si>
  <si>
    <t>RI fuel-specific MSS MMBTUs to CT</t>
  </si>
  <si>
    <t>RI fuel-specific NON MMBTUs to CT</t>
  </si>
  <si>
    <t>VT fuel-specific MSS MMBTUs to CT</t>
  </si>
  <si>
    <t>VT fuel-specific NON MMBTUs to CT</t>
  </si>
  <si>
    <t>CONNECTICUT MWH</t>
  </si>
  <si>
    <t>From MA</t>
  </si>
  <si>
    <t>CT fuel-specific MSS MMBTUs to MA</t>
  </si>
  <si>
    <t>CT fuel-specific NON MMBTUs to MA</t>
  </si>
  <si>
    <t>CT fuel-specific MSS MMBTUs to CT</t>
  </si>
  <si>
    <t>CT fuel-specific NON MMBTUs to CT</t>
  </si>
  <si>
    <t>MA fuel-specific MSS MMBTUs to MA</t>
  </si>
  <si>
    <t>MA fuel-specific NON MMBTUs to MA</t>
  </si>
  <si>
    <t>MASSACHUSETTS</t>
  </si>
  <si>
    <t xml:space="preserve"> CT fuel-specific MSS MMBTUs to ME</t>
  </si>
  <si>
    <t>CT fuel-specific NON MMBTUs to ME</t>
  </si>
  <si>
    <t>MA fuel-specific MSS MMBTUs to ME</t>
  </si>
  <si>
    <t>MA fuel-specific NON MMBTUs to ME</t>
  </si>
  <si>
    <t>-</t>
  </si>
  <si>
    <t>MAINE</t>
  </si>
  <si>
    <t>From ME</t>
  </si>
  <si>
    <t>IMP</t>
  </si>
  <si>
    <t>CT fuel-specific MSS MMBTUs to NH</t>
  </si>
  <si>
    <t>CT fuel-specific NON MMBTUs to NH</t>
  </si>
  <si>
    <t>CT fuel-specific MSS MMBTUs to RI</t>
  </si>
  <si>
    <t>CT fuel-specific NON MMBTUs to RI</t>
  </si>
  <si>
    <t>CT fuel-specific MSS MMBTUs to VT</t>
  </si>
  <si>
    <t>CT fuel-specific NON MMBTUs to VT</t>
  </si>
  <si>
    <t>MA fuel-specific MSS MMBTUs to NH</t>
  </si>
  <si>
    <t>MA fuel-specific MSS MMBTUs to RI</t>
  </si>
  <si>
    <t>MA fuel-specific NON MMBTUs to RI</t>
  </si>
  <si>
    <t>MA fuel-specific MSS MMBTUs to VT</t>
  </si>
  <si>
    <t>MA fuel-specific NON MMBTUs to VT</t>
  </si>
  <si>
    <t>ME fuel-specific NON MMBTUs to CT</t>
  </si>
  <si>
    <t>ME fuel-specific NON MMBTUs to MA</t>
  </si>
  <si>
    <t>ME fuel-specific NON MMBTUs to ME</t>
  </si>
  <si>
    <t>ME fuel-specific NON MMBTUs to NH</t>
  </si>
  <si>
    <t>MA fuel-specific NON MMBTUs to NH</t>
  </si>
  <si>
    <t>ME fuel-specific NON MMBTUs to RI</t>
  </si>
  <si>
    <t>ME fuel-specific NON MMBTUs to VT</t>
  </si>
  <si>
    <t>From NH</t>
  </si>
  <si>
    <t>NEW HAMPSHIRE</t>
  </si>
  <si>
    <t>NH fuel-specific MSS MMBTUs to MA</t>
  </si>
  <si>
    <t>NH fuel-specific NON MMBTUs to MA</t>
  </si>
  <si>
    <t>NH fuel-specific MSS MMBTUs to ME</t>
  </si>
  <si>
    <t>NH fuel-specific NON MMBTUs to ME</t>
  </si>
  <si>
    <t>NH fuel-specific MSS MMBTUs to NH</t>
  </si>
  <si>
    <t>NH fuel-specific NON MMBTUs to NH</t>
  </si>
  <si>
    <t>NH fuel-specific MSS MMBTUs to RI</t>
  </si>
  <si>
    <t>NH fuel-specific NON MMBTUs to RI</t>
  </si>
  <si>
    <t>NH fuel-specific MSS MMBTUs to VT</t>
  </si>
  <si>
    <t>NH fuel-specific NON MMBTUs to VT</t>
  </si>
  <si>
    <t>From RI</t>
  </si>
  <si>
    <t>RHODE ISLAND</t>
  </si>
  <si>
    <t>RI fuel-specific MSS MMBTUs to MA</t>
  </si>
  <si>
    <t>RI fuel-specific NON MMBTUs to MA</t>
  </si>
  <si>
    <t>RI fuel-specific MSS MMBTUs to ME</t>
  </si>
  <si>
    <t>RI fuel-specific NON MMBTUs to ME</t>
  </si>
  <si>
    <t>RI fuel-specific MSS MMBTUs to NH</t>
  </si>
  <si>
    <t>RI fuel-specific NON MMBTUs to NH</t>
  </si>
  <si>
    <t>RI fuel-specific MSS MMBTUs to RI</t>
  </si>
  <si>
    <t>RI fuel-specific NON MMBTUs to RI</t>
  </si>
  <si>
    <t>From VT</t>
  </si>
  <si>
    <t>VERMONT</t>
  </si>
  <si>
    <t>VT fuel-specific MSS MMBTUs to MA</t>
  </si>
  <si>
    <t>VT fuel-specific NON MMBTUs to MA</t>
  </si>
  <si>
    <t>VT fuel-specific MSS MMBTUs to ME</t>
  </si>
  <si>
    <t>VT fuel-specific NON MMBTUs to ME</t>
  </si>
  <si>
    <t>VT fuel-specific MSS MMBTUs to NH</t>
  </si>
  <si>
    <t>VT fuel-specific NON MMBTUs to NH</t>
  </si>
  <si>
    <t>VT fuel-specific MSS MMBTUs to RI</t>
  </si>
  <si>
    <t>VT fuel-specific NON MMBTUs to RI</t>
  </si>
  <si>
    <t>VT fuel-specific MSS MMBTUs to VT</t>
  </si>
  <si>
    <t>VT fuel-specific NON MMBTUs to VT</t>
  </si>
  <si>
    <t>From NY</t>
  </si>
  <si>
    <t>NEW YORK</t>
  </si>
  <si>
    <t>NY fuel-specific IMP MMBTUs to CT</t>
  </si>
  <si>
    <t>NY fuel-specific IMP MMBTUs to MA</t>
  </si>
  <si>
    <t>NY fuel-specific IMP MMBTUs to ME</t>
  </si>
  <si>
    <t>NY fuel-specific IMP MMBTUs to NH</t>
  </si>
  <si>
    <t>NY fuel-specific IMP MMBTUs to RI</t>
  </si>
  <si>
    <t>NY fuel-specific IMP MMBTUs to VT</t>
  </si>
  <si>
    <t>PRINCE EDWARD ISLAND</t>
  </si>
  <si>
    <t>NB fuel-specific IMP MMBTUs to CT</t>
  </si>
  <si>
    <t>NB fuel-specific IMP MMBTUs to MA</t>
  </si>
  <si>
    <t>NB fuel-specific IMP MMBTUs to ME</t>
  </si>
  <si>
    <t>NB fuel-specific IMP MMBTUs to NH</t>
  </si>
  <si>
    <t>NB fuel-specific IMP MMBTUs to RI</t>
  </si>
  <si>
    <t>NB fuel-specific IMP MMBTUs to VT</t>
  </si>
  <si>
    <t>Q fuel-specific IMP MMBTUs to CT</t>
  </si>
  <si>
    <t>Q fuel-specific IMP MMBTUs to MA</t>
  </si>
  <si>
    <t>Q fuel-specific IMP MMBTUs to ME</t>
  </si>
  <si>
    <t>Q fuel-specific IMP MMBTUs to NH</t>
  </si>
  <si>
    <t>Q fuel-specific IMP MMBTUs to RI</t>
  </si>
  <si>
    <t>Q fuel-specific IMP MMBTUs to VT</t>
  </si>
  <si>
    <t>QUEBEC</t>
  </si>
  <si>
    <t>RED-Rochester, LLC</t>
  </si>
  <si>
    <t>Westford Solar Park</t>
  </si>
  <si>
    <t>ME fuel-specific MSS &amp; IMP MMBTUs to CT</t>
  </si>
  <si>
    <t>ME fuel-specific MSS &amp; IMP MMBTUs to MA</t>
  </si>
  <si>
    <t>ME fuel-specific MSS &amp; IMP MMBTUs to ME</t>
  </si>
  <si>
    <t>ME fuel-specific MSS &amp; IMP MMBTUs to NH</t>
  </si>
  <si>
    <t>ME fuel-specific MSS &amp; IMP MMBTUs to VT</t>
  </si>
  <si>
    <t>CO2e from CO2 from Non-Biogenic Fuels</t>
  </si>
  <si>
    <t xml:space="preserve">CO2e from CO2 from Non-Biogenic Fuels </t>
  </si>
  <si>
    <t>POSITIVE Net Generation MWh</t>
  </si>
  <si>
    <t>Elec Fuel Consumption MMBTU (positive gen only)</t>
  </si>
  <si>
    <t>Unit HEAT RATES - electric
(MMBTU/MWh)</t>
  </si>
  <si>
    <t>Weighted Average Wood Heat Rate for Region =</t>
  </si>
  <si>
    <t>Weighted Average LFG Heat Rate for Region =</t>
  </si>
  <si>
    <t>HEAT RATE TABLE</t>
  </si>
  <si>
    <t>Weighted State-wide Average Heat Rates by NEPOOL GIS Fuel Type 
(MMBTU/MWh)</t>
  </si>
  <si>
    <t>Corresponding EIA Fuel Codes for emitting fuels</t>
  </si>
  <si>
    <t>Landfill gas (Regional for Quebec)</t>
  </si>
  <si>
    <t>IPCC Report</t>
  </si>
  <si>
    <t>AR4 = 2007 Fourth Assessment Report</t>
  </si>
  <si>
    <t>AR5 = 2014 Fifth Assessment Report</t>
  </si>
  <si>
    <t>Global Warming Potential</t>
  </si>
  <si>
    <t>Table C-1</t>
  </si>
  <si>
    <t>Table C-2</t>
  </si>
  <si>
    <t>Fuel type</t>
  </si>
  <si>
    <t>Default high heat value</t>
  </si>
  <si>
    <t>Default CO2 emission factor</t>
  </si>
  <si>
    <t>Default CH4 emission factor (kg CH4/mmBtu)</t>
  </si>
  <si>
    <t>Default N2O emission factor (kg N2O/mmBtu)</t>
  </si>
  <si>
    <t>Coal and coke</t>
  </si>
  <si>
    <t>mmBtu/short ton</t>
  </si>
  <si>
    <t>kg CO2/mmBtu</t>
  </si>
  <si>
    <t>Coal and Coke (All fuel types in Table C-1)</t>
  </si>
  <si>
    <t>1.1 × 10−02</t>
  </si>
  <si>
    <t>1.6 × 10−03</t>
  </si>
  <si>
    <t>Anthracite</t>
  </si>
  <si>
    <t>Natural Gas</t>
  </si>
  <si>
    <t>1.0 × 10−03</t>
  </si>
  <si>
    <t>1.0 × 10−04</t>
  </si>
  <si>
    <t>Bituminous</t>
  </si>
  <si>
    <t>Petroleum (All fuel types in Table C-1)</t>
  </si>
  <si>
    <t>3.0 × 10−03</t>
  </si>
  <si>
    <t>6.0 × 10−04</t>
  </si>
  <si>
    <t>Subbituminous</t>
  </si>
  <si>
    <t>Fuel Gas</t>
  </si>
  <si>
    <t>Lignite</t>
  </si>
  <si>
    <t>Municipal Solid Waste</t>
  </si>
  <si>
    <t>3.2 × 10−02</t>
  </si>
  <si>
    <t>4.2 × 10−03</t>
  </si>
  <si>
    <t>Coal Coke</t>
  </si>
  <si>
    <t>Tires</t>
  </si>
  <si>
    <t>Mixed (Commercial sector)</t>
  </si>
  <si>
    <t>Blast Furnace Gas</t>
  </si>
  <si>
    <t>2.2 × 10−05</t>
  </si>
  <si>
    <t>Mixed (Industrial coking)</t>
  </si>
  <si>
    <t>Coke Oven Gas</t>
  </si>
  <si>
    <t>4.8 × 10−04</t>
  </si>
  <si>
    <t>Mixed (Industrial sector)</t>
  </si>
  <si>
    <t>Biomass Fuels—Solid (All fuel types in Table C-1, except wood and wood residuals)</t>
  </si>
  <si>
    <t>Mixed (Electric Power sector)</t>
  </si>
  <si>
    <t>Wood and wood residuals</t>
  </si>
  <si>
    <t>7.2 × 10−03</t>
  </si>
  <si>
    <t>3.6 × 10−03</t>
  </si>
  <si>
    <t>mmBtu/scf</t>
  </si>
  <si>
    <t>Biomass Fuels—Gaseous (All fuel types in Table C-1)</t>
  </si>
  <si>
    <t>3.2 × 10−03</t>
  </si>
  <si>
    <t>6.3 × 10−04</t>
  </si>
  <si>
    <t>(Weighted U.S. Average)</t>
  </si>
  <si>
    <t>1.026 × 10−3</t>
  </si>
  <si>
    <t>Biomass Fuels—Liquid (All fuel types in Table C-1)</t>
  </si>
  <si>
    <t>1.1 × 10−03</t>
  </si>
  <si>
    <t>1.1 × 10−04</t>
  </si>
  <si>
    <t>Petroleum products</t>
  </si>
  <si>
    <t>mmBtu/gallon</t>
  </si>
  <si>
    <t>Distillate Fuel Oil No. 1</t>
  </si>
  <si>
    <t>Distillate Fuel Oil No. 2</t>
  </si>
  <si>
    <t>Distillate Fuel Oil No. 4</t>
  </si>
  <si>
    <t>Residual Fuel Oil No. 5</t>
  </si>
  <si>
    <t>Residual Fuel Oil No. 6</t>
  </si>
  <si>
    <t>Used Oil</t>
  </si>
  <si>
    <t>Kerosene</t>
  </si>
  <si>
    <t>Liquefied petroleum gases (LPG)1</t>
  </si>
  <si>
    <t>Propane1</t>
  </si>
  <si>
    <t>Propylene2</t>
  </si>
  <si>
    <t>Ethane1</t>
  </si>
  <si>
    <t>Ethanol</t>
  </si>
  <si>
    <t>Ethylene2</t>
  </si>
  <si>
    <t>Isobutane1</t>
  </si>
  <si>
    <t>Isobutylene1</t>
  </si>
  <si>
    <t>Butane1</t>
  </si>
  <si>
    <t>Butylene1</t>
  </si>
  <si>
    <t>Naphtha (&lt;401 deg F)</t>
  </si>
  <si>
    <t>Natural Gasoline</t>
  </si>
  <si>
    <t>Other Oil (&gt;401 deg F)</t>
  </si>
  <si>
    <t>Pentanes Plus</t>
  </si>
  <si>
    <t>Petrochemical Feedstocks</t>
  </si>
  <si>
    <t>Petroleum Coke</t>
  </si>
  <si>
    <t>Special Naphtha</t>
  </si>
  <si>
    <t>Unfinished Oils</t>
  </si>
  <si>
    <t>Heavy Gas Oils</t>
  </si>
  <si>
    <t>Lubricants</t>
  </si>
  <si>
    <t>Motor Gasoline</t>
  </si>
  <si>
    <t>Aviation Gasoline</t>
  </si>
  <si>
    <t>Kerosene-Type Jet Fuel</t>
  </si>
  <si>
    <t>Asphalt and Road Oil</t>
  </si>
  <si>
    <t>Crude Oil</t>
  </si>
  <si>
    <t>Other fuels—solid</t>
  </si>
  <si>
    <t>Plastics</t>
  </si>
  <si>
    <t>Other fuels—gaseous</t>
  </si>
  <si>
    <t>0.092 × 10−3</t>
  </si>
  <si>
    <t>0.599 × 10−3</t>
  </si>
  <si>
    <t>Propane Gas</t>
  </si>
  <si>
    <t>2.516 × 10−3</t>
  </si>
  <si>
    <t>Fuel Gas4</t>
  </si>
  <si>
    <t>1.388 × 10−3</t>
  </si>
  <si>
    <t>Biomass fuels—solid</t>
  </si>
  <si>
    <t>Wood and Wood Residuals (dry basis)5</t>
  </si>
  <si>
    <t>Agricultural Byproducts</t>
  </si>
  <si>
    <t>Peat</t>
  </si>
  <si>
    <t>Solid Byproducts</t>
  </si>
  <si>
    <t>Biomass fuels—gaseous</t>
  </si>
  <si>
    <t>Landfill Gas</t>
  </si>
  <si>
    <t>0.485 × 10−3</t>
  </si>
  <si>
    <t>Other Biomass Gases</t>
  </si>
  <si>
    <t>0.655 × 10−3</t>
  </si>
  <si>
    <t>Biomass Fuels—Liquid</t>
  </si>
  <si>
    <t>Biodiesel (100%)</t>
  </si>
  <si>
    <t>Rendered Animal Fat</t>
  </si>
  <si>
    <t>Vegetable Oil</t>
  </si>
  <si>
    <t>lbs.</t>
  </si>
  <si>
    <t>1 kg =</t>
  </si>
  <si>
    <t>EPA Emission Factors (CO2 lb/MMBtu) HHV</t>
  </si>
  <si>
    <t>1 MMBtu =</t>
  </si>
  <si>
    <t>TJ</t>
  </si>
  <si>
    <t>Emission Factors - CO2</t>
  </si>
  <si>
    <t>Emission Factors - CH4</t>
  </si>
  <si>
    <t>Emission Factors - N2O</t>
  </si>
  <si>
    <t>EPA Emission Factors</t>
  </si>
  <si>
    <t>EIA Emission Factors</t>
  </si>
  <si>
    <t>EPA Emission Factors (CH4 lb/MMBtu) HHV</t>
  </si>
  <si>
    <t>IPCC Emission Factors N2O lb/MMBtu) LHV</t>
  </si>
  <si>
    <t>EPA Emission Factors (N2O lb/MMBtu) HHV</t>
  </si>
  <si>
    <t>Conversion Factors</t>
  </si>
  <si>
    <t>Selected Source</t>
  </si>
  <si>
    <t>Selected Emission Factor</t>
  </si>
  <si>
    <t>Emission Factor Selection</t>
  </si>
  <si>
    <t>Sources for emission factors were chosen based on two criteria: 1) geographic scope of the data relative to the emission sources, and 2) the regularity with which the data are updated. Based on these parameters, EIA emission factors are used when available. These are the preferred emission factors because they are a national-level dataset that are updated annually. In the absence of EIA data, EPA emission factors are used. In the absence of both national-level data sets, IPCC emission factors are used.</t>
  </si>
  <si>
    <t>MMBTU TABLES</t>
  </si>
  <si>
    <t>IPCC Conversions - Emission Factors, CO2</t>
  </si>
  <si>
    <t>IPCC Conversions - Emission Factors, CH4</t>
  </si>
  <si>
    <t>IPCC Conversions - Emission Factors, N2O</t>
  </si>
  <si>
    <t>IPCC Emission Factors (N2O kg/TJ) LHV</t>
  </si>
  <si>
    <t>Total RECs Imported</t>
  </si>
  <si>
    <t>Summary</t>
  </si>
  <si>
    <t>Total RECs Exported to NE</t>
  </si>
  <si>
    <t>Master Table: Non-Biogenic GHG Emissions</t>
  </si>
  <si>
    <t>Master Table: Biogenic CO2 Emissions</t>
  </si>
  <si>
    <t>Non-biogenic CO2e</t>
  </si>
  <si>
    <t>Massachusetts - Total CO2e</t>
  </si>
  <si>
    <t>Connecticut - Total CO2e</t>
  </si>
  <si>
    <t>Maine - Total CO2e</t>
  </si>
  <si>
    <t>New Hampshire - Total CO2e</t>
  </si>
  <si>
    <t>New York - Total CO2e</t>
  </si>
  <si>
    <t>Rhode Island - Total CO2e</t>
  </si>
  <si>
    <t>Vermont - Total CO2e</t>
  </si>
  <si>
    <t>Quebec - Total CO2e</t>
  </si>
  <si>
    <t>New Brunswick - Total CO2e</t>
  </si>
  <si>
    <t>http://www.eia.gov/electricity/annual/</t>
  </si>
  <si>
    <t>Rocky River (CT)</t>
  </si>
  <si>
    <t>Rainbow (CT)</t>
  </si>
  <si>
    <t>Village of Morrisville - (VT)</t>
  </si>
  <si>
    <t>Brookfield Black Bear Hydro, LLC</t>
  </si>
  <si>
    <t>Brunswick Hydro</t>
  </si>
  <si>
    <t>Cataract Hydro</t>
  </si>
  <si>
    <t>Harris Hydro</t>
  </si>
  <si>
    <t>Weston Hydro</t>
  </si>
  <si>
    <t>Williams Hydro</t>
  </si>
  <si>
    <t>Riverside Holyoke</t>
  </si>
  <si>
    <t>Vernon Dam</t>
  </si>
  <si>
    <t>Smith (NH)</t>
  </si>
  <si>
    <t>Danskammer Energy</t>
  </si>
  <si>
    <t>Greenidge Generation LLC</t>
  </si>
  <si>
    <t>Greenidge Generation Holdings LLC</t>
  </si>
  <si>
    <t>High Falls - Saranac NY</t>
  </si>
  <si>
    <t>Franklin (NY)</t>
  </si>
  <si>
    <t>Glenwood Hydro</t>
  </si>
  <si>
    <t>High Falls - Croghan NY</t>
  </si>
  <si>
    <t>Johnsonville Dam</t>
  </si>
  <si>
    <t>Plant No 1 Freeport</t>
  </si>
  <si>
    <t>Village of Freeport - (NY)</t>
  </si>
  <si>
    <t>Plant No 2 Freeport</t>
  </si>
  <si>
    <t>Village of Greenport - (NY)</t>
  </si>
  <si>
    <t>Village of Rockville Centre - (NY)</t>
  </si>
  <si>
    <t>Smith (VT)</t>
  </si>
  <si>
    <t>Silver Lake (VT)</t>
  </si>
  <si>
    <t>Great Falls (VT)</t>
  </si>
  <si>
    <t>Rainbow Falls Auscble</t>
  </si>
  <si>
    <t>Allegany Generating Station, LLC</t>
  </si>
  <si>
    <t>Town of Hudson - (MA)</t>
  </si>
  <si>
    <t>Ampersand Hollow Dam Hydro LLC</t>
  </si>
  <si>
    <t>Upper Beaver Falls Project</t>
  </si>
  <si>
    <t>Pittsfield Hydro</t>
  </si>
  <si>
    <t>Lower Beaver Falls Project</t>
  </si>
  <si>
    <t>Plymouth State University</t>
  </si>
  <si>
    <t>Calpine Fore River Energy Center, LLC</t>
  </si>
  <si>
    <t>Air Force Civil Engineer Center</t>
  </si>
  <si>
    <t>Burgess BioPower</t>
  </si>
  <si>
    <t>Berlin Station, LLC</t>
  </si>
  <si>
    <t>Kimberly Clark-Unit 1,2,3</t>
  </si>
  <si>
    <t>Kimberly-Clark Corporation</t>
  </si>
  <si>
    <t>Stony Creek Wind Farm NY</t>
  </si>
  <si>
    <t>Wilson Solar</t>
  </si>
  <si>
    <t>HVCC Cogen Plant</t>
  </si>
  <si>
    <t>Hudson Valley Community College</t>
  </si>
  <si>
    <t>West Greenwich Solar</t>
  </si>
  <si>
    <t>Quittacas Pond Solar</t>
  </si>
  <si>
    <t>Northbridge Solar</t>
  </si>
  <si>
    <t>Synergy Biogas</t>
  </si>
  <si>
    <t>CH4 Biogas LLC</t>
  </si>
  <si>
    <t>Bellingham PV</t>
  </si>
  <si>
    <t>Marshfield PV</t>
  </si>
  <si>
    <t>Orange PV</t>
  </si>
  <si>
    <t>Montefieor Medical Center Moses Division</t>
  </si>
  <si>
    <t>Montefiore Medical Center Moses Division</t>
  </si>
  <si>
    <t>SunGen Sharon 1 LLC</t>
  </si>
  <si>
    <t>Owens Corning at Bethlehem</t>
  </si>
  <si>
    <t>Merrimac Solar</t>
  </si>
  <si>
    <t>Forbes Street Solar</t>
  </si>
  <si>
    <t>Frito Lay Incorporated</t>
  </si>
  <si>
    <t>Frito Lay Incorporated Dayville</t>
  </si>
  <si>
    <t>Oswegatchie</t>
  </si>
  <si>
    <t>Upper Newton Falls</t>
  </si>
  <si>
    <t>Axio Green LLC</t>
  </si>
  <si>
    <t>Brentwood Solar</t>
  </si>
  <si>
    <t>CD US Solar MT1 LLC</t>
  </si>
  <si>
    <t>Deer Park</t>
  </si>
  <si>
    <t>Dennison</t>
  </si>
  <si>
    <t>North County</t>
  </si>
  <si>
    <t>Riverhead</t>
  </si>
  <si>
    <t>Cohalan</t>
  </si>
  <si>
    <t>Sheldon Solar</t>
  </si>
  <si>
    <t>Sudbury Landfill</t>
  </si>
  <si>
    <t>Berkley East Solar LLC</t>
  </si>
  <si>
    <t>Stuyvesant Falls</t>
  </si>
  <si>
    <t>Albany Engineering Corporation</t>
  </si>
  <si>
    <t>Integrys MA Solar, LLC - Ashburnham Site</t>
  </si>
  <si>
    <t>Integrys MA Solar, LLC</t>
  </si>
  <si>
    <t>Open View Solar Farm</t>
  </si>
  <si>
    <t>Cross Pollination Inc</t>
  </si>
  <si>
    <t>Camelot Wind LLC</t>
  </si>
  <si>
    <t>Dept of Corrections NCCI Wind</t>
  </si>
  <si>
    <t>Southbridge Landfill Gas-to-Energy</t>
  </si>
  <si>
    <t>Scituate PV</t>
  </si>
  <si>
    <t>Bolton PV</t>
  </si>
  <si>
    <t>Stow PV</t>
  </si>
  <si>
    <t>Agawam Solar</t>
  </si>
  <si>
    <t>Citizens Enterprises Corporation</t>
  </si>
  <si>
    <t>Rehoboth Solar</t>
  </si>
  <si>
    <t>Chicopee Solar</t>
  </si>
  <si>
    <t>Route 57 Solar</t>
  </si>
  <si>
    <t>EBZ Solar</t>
  </si>
  <si>
    <t>Whately Solar</t>
  </si>
  <si>
    <t>West Davisville Solar</t>
  </si>
  <si>
    <t>Waste Water Treatment Plant</t>
  </si>
  <si>
    <t>City of Pittsfield</t>
  </si>
  <si>
    <t>Acushnet-Braley Road 1</t>
  </si>
  <si>
    <t>Acushnet- High Hill</t>
  </si>
  <si>
    <t>Dartmouth Landfill</t>
  </si>
  <si>
    <t>WECC</t>
  </si>
  <si>
    <t>Easton Landfill</t>
  </si>
  <si>
    <t>Ludlow Landfill</t>
  </si>
  <si>
    <t>Methuen Landfill</t>
  </si>
  <si>
    <t>Plymouth Site 1</t>
  </si>
  <si>
    <t>Franklin 1</t>
  </si>
  <si>
    <t>CD US Solar MT 2 LLC</t>
  </si>
  <si>
    <t>Franklin 2</t>
  </si>
  <si>
    <t>Brockelman</t>
  </si>
  <si>
    <t>Johnston LFG Turbine Plant</t>
  </si>
  <si>
    <t>WED NK Green</t>
  </si>
  <si>
    <t>WED NK Green LLC</t>
  </si>
  <si>
    <t>Kendall Green Energy LLC</t>
  </si>
  <si>
    <t>Milford Power, LLC</t>
  </si>
  <si>
    <t>In these states, the load is greater than the generation.</t>
  </si>
  <si>
    <t>CHP</t>
  </si>
  <si>
    <t>Rainbow Falls Hydro</t>
  </si>
  <si>
    <t>Clement Dam Hydro LLC</t>
  </si>
  <si>
    <t>Mt Ida Hydroelectric</t>
  </si>
  <si>
    <t>Bucksport Generation LLC</t>
  </si>
  <si>
    <t>Lower Village Water Power Project</t>
  </si>
  <si>
    <t>OG</t>
  </si>
  <si>
    <t>Ameresco Chicopee Energy</t>
  </si>
  <si>
    <t>Plainfield Renewable Energy LLC</t>
  </si>
  <si>
    <t>Plainfield Renewable Energy, LLC</t>
  </si>
  <si>
    <t>Green Meadows</t>
  </si>
  <si>
    <t>William Floyd School District</t>
  </si>
  <si>
    <t>Mass Midstate Solar 3</t>
  </si>
  <si>
    <t>Mass Midstate Solar 2</t>
  </si>
  <si>
    <t>Mass Midstate Solar 1</t>
  </si>
  <si>
    <t>Millbury Solar</t>
  </si>
  <si>
    <t>CES Sterling LLC</t>
  </si>
  <si>
    <t>Maynard PV</t>
  </si>
  <si>
    <t>Southbridge PV</t>
  </si>
  <si>
    <t>Somers Solar Center, LLC</t>
  </si>
  <si>
    <t>Cottage Street Solar Facility</t>
  </si>
  <si>
    <t>Berkshire 1</t>
  </si>
  <si>
    <t>PPS Berkshire Solar LLC</t>
  </si>
  <si>
    <t>North Brookfield</t>
  </si>
  <si>
    <t>Mass Solar, LLC</t>
  </si>
  <si>
    <t>Cape Cod Air Force Station - 6 SWS</t>
  </si>
  <si>
    <t>US Air Force</t>
  </si>
  <si>
    <t>Dartmouth</t>
  </si>
  <si>
    <t>Tihonet Solar</t>
  </si>
  <si>
    <t>Marsh Hill Wind Farm</t>
  </si>
  <si>
    <t>Walpole Solar 2</t>
  </si>
  <si>
    <t>Walpole Solar 2, LLC</t>
  </si>
  <si>
    <t>Gardner Solar 1</t>
  </si>
  <si>
    <t>Gardner Solar 1, LLC</t>
  </si>
  <si>
    <t>Technology Drive Solar</t>
  </si>
  <si>
    <t>Fairview Farms Solar</t>
  </si>
  <si>
    <t>651 Chase Solar NG</t>
  </si>
  <si>
    <t>Whitcomb Solar Farm</t>
  </si>
  <si>
    <t>ERWR Whitcomb Farm Solar LLC</t>
  </si>
  <si>
    <t>Brewster Landfill</t>
  </si>
  <si>
    <t>Chatham Landfill</t>
  </si>
  <si>
    <t>Harwich Landfill</t>
  </si>
  <si>
    <t>Katama Farm</t>
  </si>
  <si>
    <t>Nunnepog</t>
  </si>
  <si>
    <t>Barnstable Landfill</t>
  </si>
  <si>
    <t>Dennis Landfill</t>
  </si>
  <si>
    <t>Lepomis PV Energy LLC</t>
  </si>
  <si>
    <t>EDF Renewable Asset Holdings, Inc.</t>
  </si>
  <si>
    <t>EDF Lancaster</t>
  </si>
  <si>
    <t>Beverly</t>
  </si>
  <si>
    <t>Devens</t>
  </si>
  <si>
    <t>Browne Solar LLC</t>
  </si>
  <si>
    <t>SunRay Power LLC</t>
  </si>
  <si>
    <t>Indian Hill Solar LLC</t>
  </si>
  <si>
    <t>State Street Solar LLC</t>
  </si>
  <si>
    <t>Westborough Solar LLC</t>
  </si>
  <si>
    <t>True North</t>
  </si>
  <si>
    <t>Grafton Solar</t>
  </si>
  <si>
    <t>Shaffer</t>
  </si>
  <si>
    <t>CD US Solar MT3, LLC</t>
  </si>
  <si>
    <t>Backus Microgrid Project</t>
  </si>
  <si>
    <t>Stillwater B</t>
  </si>
  <si>
    <t>Orono B</t>
  </si>
  <si>
    <t>St. Albans SPEED Project</t>
  </si>
  <si>
    <t>Albany Medical Ctr Cogen Plant</t>
  </si>
  <si>
    <t>Albany Medical Center</t>
  </si>
  <si>
    <t>Ayers Village Solar</t>
  </si>
  <si>
    <t>Monson Solar</t>
  </si>
  <si>
    <t>Sullivan Solar</t>
  </si>
  <si>
    <t>Winchendon Solar</t>
  </si>
  <si>
    <t>KS Solar Six LLC</t>
  </si>
  <si>
    <t>Kearsarge Solar LLC</t>
  </si>
  <si>
    <t>Cornell Snyder Road Solar Array</t>
  </si>
  <si>
    <t>Ulysses Solar, LLC</t>
  </si>
  <si>
    <t>Clarendon Solar Farm</t>
  </si>
  <si>
    <t>Clarendon Solar Farm, LLC</t>
  </si>
  <si>
    <t>Claire Solar Farm</t>
  </si>
  <si>
    <t>Claire Solar Partners LLC</t>
  </si>
  <si>
    <t>NuGen Capital Management</t>
  </si>
  <si>
    <t>265 Pleasant Solar NG, LLC</t>
  </si>
  <si>
    <t>Antares-GRE 314 East Lyme LLC</t>
  </si>
  <si>
    <t>Acton Solar Landfill</t>
  </si>
  <si>
    <t>Heliovaas LLC</t>
  </si>
  <si>
    <t>Tisbury Landfill Solar</t>
  </si>
  <si>
    <t>Town of Williamson Landfill PV</t>
  </si>
  <si>
    <t>Clarkson Solar</t>
  </si>
  <si>
    <t>Main Street Solar Project</t>
  </si>
  <si>
    <t>NBC Field's Point Wind Farm</t>
  </si>
  <si>
    <t>Narragansett Bay Commission</t>
  </si>
  <si>
    <t>Charlotte Solar LLC VT</t>
  </si>
  <si>
    <t>Templeton</t>
  </si>
  <si>
    <t>Sunny Templeton, LLC</t>
  </si>
  <si>
    <t>Barton Solar Farm</t>
  </si>
  <si>
    <t>Barton Solar, LLC</t>
  </si>
  <si>
    <t>Bourne (MA) - Holliston I</t>
  </si>
  <si>
    <t>NVT LICENSES, LLC</t>
  </si>
  <si>
    <t>Chester Power Partners</t>
  </si>
  <si>
    <t>Stetson Road Solar - Barre I</t>
  </si>
  <si>
    <t>Barre II Solar Project</t>
  </si>
  <si>
    <t>Chester Solar Farm</t>
  </si>
  <si>
    <t>Concord Solar Farm</t>
  </si>
  <si>
    <t>Adams Farm Solar</t>
  </si>
  <si>
    <t>New Bedford (MA) Plymouth</t>
  </si>
  <si>
    <t>BWC Origination 4, LLC</t>
  </si>
  <si>
    <t>Upper Blackstone (MA) Treasure Valley</t>
  </si>
  <si>
    <t>Nexamp Treasure Valley Solar, LLC</t>
  </si>
  <si>
    <t>Advance Stores Company, Inc</t>
  </si>
  <si>
    <t>IBM Southbury</t>
  </si>
  <si>
    <t>Bloom Energy</t>
  </si>
  <si>
    <t>Granby LFG</t>
  </si>
  <si>
    <t>Industrial Power Services Corp.</t>
  </si>
  <si>
    <t>Nanticoke LFG</t>
  </si>
  <si>
    <t>Broome Energy Resources, LLC</t>
  </si>
  <si>
    <t>Hunt Farm Solar</t>
  </si>
  <si>
    <t>205 Sturbridge A</t>
  </si>
  <si>
    <t>201 Sturbridge B</t>
  </si>
  <si>
    <t>Lowell Solar Landfill</t>
  </si>
  <si>
    <t>Fore River Energy Center</t>
  </si>
  <si>
    <t>Beaver Falls, LLC</t>
  </si>
  <si>
    <t>Nissequogue Energy Center</t>
  </si>
  <si>
    <t>Roseton Generating LLC</t>
  </si>
  <si>
    <t>Syracuse, LLC</t>
  </si>
  <si>
    <t>NOTES</t>
  </si>
  <si>
    <t>Statistics Canada &amp; NEPOOL-GIS: Electricity Generation (MWh)</t>
  </si>
  <si>
    <t>R1B02</t>
  </si>
  <si>
    <t>Rhode Island State Energy Center</t>
  </si>
  <si>
    <t>Combined Heat And
Power Plant</t>
  </si>
  <si>
    <t>Plant State</t>
  </si>
  <si>
    <t>Reported
Prime Mover</t>
  </si>
  <si>
    <t>Reported
Fuel Type Code</t>
  </si>
  <si>
    <t>AER
Fuel Type Code</t>
  </si>
  <si>
    <t>Physical
Unit Label</t>
  </si>
  <si>
    <t>Total Fuel Consumption
Quantity</t>
  </si>
  <si>
    <t>Electric Fuel Consumption
Quantity</t>
  </si>
  <si>
    <t>Total Fuel Consumption
MMBtu</t>
  </si>
  <si>
    <t>Elec Fuel Consumption
MMBtu</t>
  </si>
  <si>
    <t>Net Generation
(Megawatthours)</t>
  </si>
  <si>
    <t>Essential Power Massachusetts LLC</t>
  </si>
  <si>
    <t>Harris Lake</t>
  </si>
  <si>
    <t>EONY Generation Limited</t>
  </si>
  <si>
    <t>West Enfield Hydro</t>
  </si>
  <si>
    <t>ReEnergy Black River</t>
  </si>
  <si>
    <t>Milton Hydro</t>
  </si>
  <si>
    <t>SFR Hydro Cor</t>
  </si>
  <si>
    <t>Deer Island Treatment Plant</t>
  </si>
  <si>
    <t>Erving Paper Mills</t>
  </si>
  <si>
    <t>Erving Paper Mills Inc</t>
  </si>
  <si>
    <t>GR Catalyst One, LLC</t>
  </si>
  <si>
    <t>Ampersand Long Falls Hydro, LLC</t>
  </si>
  <si>
    <t>Tanner Street Generation</t>
  </si>
  <si>
    <t>Dunn Paper</t>
  </si>
  <si>
    <t>EPP Renewable Energy</t>
  </si>
  <si>
    <t>Oakfield Wind Project</t>
  </si>
  <si>
    <t>SVEP Solar Project Company</t>
  </si>
  <si>
    <t>Williamstown Solar</t>
  </si>
  <si>
    <t>Leicester One MA Solar LLC</t>
  </si>
  <si>
    <t>Freetown Solar</t>
  </si>
  <si>
    <t>Saddleback Ridge Wind Farm</t>
  </si>
  <si>
    <t>Saddleback Ridge Wind, LLC</t>
  </si>
  <si>
    <t>Port Richmond WWT Solar</t>
  </si>
  <si>
    <t>Braley Road 2</t>
  </si>
  <si>
    <t>Sterlington Greenworks LLC</t>
  </si>
  <si>
    <t>Twiss Street Solar</t>
  </si>
  <si>
    <t>Chicopee River Solar</t>
  </si>
  <si>
    <t>Chicopee Granby Road Solar</t>
  </si>
  <si>
    <t>Charlton Solar I, LLC</t>
  </si>
  <si>
    <t>Framingham State University Plant</t>
  </si>
  <si>
    <t>Framingham State University</t>
  </si>
  <si>
    <t>Scituate Wind</t>
  </si>
  <si>
    <t>Scituate Wind LLC</t>
  </si>
  <si>
    <t>Fairhaven Wind</t>
  </si>
  <si>
    <t>Fairhaven Wind LLC</t>
  </si>
  <si>
    <t>Leominster (MA)-South Street-R&amp;D</t>
  </si>
  <si>
    <t>South Street Solar, LLC</t>
  </si>
  <si>
    <t>BlueWave Capital - Grafton (SREC II)</t>
  </si>
  <si>
    <t>TerraForm Solar XVII, LLC</t>
  </si>
  <si>
    <t>Millbrook School</t>
  </si>
  <si>
    <t>Spring Hill Road</t>
  </si>
  <si>
    <t>Johnston Solar</t>
  </si>
  <si>
    <t>Clarkstown Landfill Solar Facility</t>
  </si>
  <si>
    <t>Oxford</t>
  </si>
  <si>
    <t>UI RCP New Haven Fuel Cell</t>
  </si>
  <si>
    <t>United Illuminating Co</t>
  </si>
  <si>
    <t>UI RCP Bridgeport Seaside</t>
  </si>
  <si>
    <t>Syncarpha Palmer, LLC</t>
  </si>
  <si>
    <t>Federal Road Solar 1, LLC</t>
  </si>
  <si>
    <t>BWC Swan Pond River, LLC</t>
  </si>
  <si>
    <t>Leominster</t>
  </si>
  <si>
    <t>Syncarpha Massachusetts, LLC</t>
  </si>
  <si>
    <t>North Adams Landfill</t>
  </si>
  <si>
    <t>Syncarpha North Adams, LLC</t>
  </si>
  <si>
    <t>Fisher Road Solar</t>
  </si>
  <si>
    <t>Fisher Road Solar I, LLC</t>
  </si>
  <si>
    <t>Cornell Geneva Solar Farm</t>
  </si>
  <si>
    <t>Argos Solar LLC</t>
  </si>
  <si>
    <t>West Groton CHP</t>
  </si>
  <si>
    <t>Vulcraft Solar</t>
  </si>
  <si>
    <t>Coventry Photovoltaic, LLC</t>
  </si>
  <si>
    <t>Skidmore College</t>
  </si>
  <si>
    <t>BA</t>
  </si>
  <si>
    <t>State</t>
  </si>
  <si>
    <t xml:space="preserve"> Facility Name</t>
  </si>
  <si>
    <t xml:space="preserve"> Facility ID (ORISPL)</t>
  </si>
  <si>
    <t xml:space="preserve"> Unit ID</t>
  </si>
  <si>
    <t xml:space="preserve"> Year</t>
  </si>
  <si>
    <t xml:space="preserve"> CO2 (short tons)</t>
  </si>
  <si>
    <t xml:space="preserve"> Heat Input (MMBtu)</t>
  </si>
  <si>
    <t xml:space="preserve"> Unit Type</t>
  </si>
  <si>
    <t>Tanner Street Generation, LLC</t>
  </si>
  <si>
    <t>NAEA Energy Massachusetts LLC</t>
  </si>
  <si>
    <t>Fulton Hydro</t>
  </si>
  <si>
    <t>Fortistar Castleton Power</t>
  </si>
  <si>
    <t>Veolia NA - Municipal &amp; Commercial Business</t>
  </si>
  <si>
    <t>Pittsfield Generating Company, LP</t>
  </si>
  <si>
    <t>Ampersand Chasm Hydro LLC</t>
  </si>
  <si>
    <t>Covanta Niagara I, LLC</t>
  </si>
  <si>
    <t>Central Power Plant</t>
  </si>
  <si>
    <t>State of Rhode Island</t>
  </si>
  <si>
    <t>Rensselaer Generating LLC</t>
  </si>
  <si>
    <t>NYU Luthern Medical Center</t>
  </si>
  <si>
    <t>NYU Langone Health</t>
  </si>
  <si>
    <t>Empire Generating Co LLC</t>
  </si>
  <si>
    <t>Avangrid Renewables LLC</t>
  </si>
  <si>
    <t>Bingham Wind</t>
  </si>
  <si>
    <t>Stephentown Spindle</t>
  </si>
  <si>
    <t>Block Island Wind Farm</t>
  </si>
  <si>
    <t>Deepwater Wind Block Island LLC</t>
  </si>
  <si>
    <t>WS</t>
  </si>
  <si>
    <t>Dunn Paper East Hartford, LLC</t>
  </si>
  <si>
    <t>SunEdison LLC</t>
  </si>
  <si>
    <t>Tesla Inc.</t>
  </si>
  <si>
    <t>Hancock Wind Plant</t>
  </si>
  <si>
    <t>Southbridge Recycling and Disposal Park</t>
  </si>
  <si>
    <t>Ball Mountain Hydro</t>
  </si>
  <si>
    <t>Jericho Power</t>
  </si>
  <si>
    <t>Jericho Power LLC</t>
  </si>
  <si>
    <t>Passadumkeag Windpark LLC</t>
  </si>
  <si>
    <t>Southern Power Co</t>
  </si>
  <si>
    <t>Leavenworth Greenworks LLC</t>
  </si>
  <si>
    <t>WED Coventry 1</t>
  </si>
  <si>
    <t>WED Coventry One, LLC</t>
  </si>
  <si>
    <t>WED Coventry 2</t>
  </si>
  <si>
    <t>WED Coventry Two, LLC</t>
  </si>
  <si>
    <t>WED Coventry 3</t>
  </si>
  <si>
    <t>WED Coventry Three, LLC</t>
  </si>
  <si>
    <t>WED Coventry 4</t>
  </si>
  <si>
    <t>WED Coventry Four, LLC</t>
  </si>
  <si>
    <t>WED Coventry 6</t>
  </si>
  <si>
    <t>WED Coventry Six, LLC</t>
  </si>
  <si>
    <t>Future Generation Wind</t>
  </si>
  <si>
    <t>Jericho Rise Wind Farm LLC</t>
  </si>
  <si>
    <t>Steel Sun</t>
  </si>
  <si>
    <t>BQ Energy LLC</t>
  </si>
  <si>
    <t>RGS-Rutland VNM SREC II Project (MA)</t>
  </si>
  <si>
    <t>Hunt Road Solar</t>
  </si>
  <si>
    <t>Clarkstown Solar LLC</t>
  </si>
  <si>
    <t>Palmer Landfill</t>
  </si>
  <si>
    <t>Syncarpha Bondsville, LLC</t>
  </si>
  <si>
    <t>Onondaga County - Metro Water Board</t>
  </si>
  <si>
    <t>Onondaga County - Oak Orchard WWTP</t>
  </si>
  <si>
    <t>Hewlett-Packard (HP) - Andover, MA</t>
  </si>
  <si>
    <t>UDR Glastonbury Fuel Cell</t>
  </si>
  <si>
    <t>UIL Distributed Resources, LLC</t>
  </si>
  <si>
    <t>Oneida County- DPW</t>
  </si>
  <si>
    <t>Town of Halfmoon</t>
  </si>
  <si>
    <t>BJ's Wholesale Club, Inc- Uxbridge</t>
  </si>
  <si>
    <t>CMEEC - Bozrah</t>
  </si>
  <si>
    <t>Conn Mun Electric Energy Coop</t>
  </si>
  <si>
    <t>Orange County Solar Farm (NY)</t>
  </si>
  <si>
    <t>Onondaga County- Jamesville</t>
  </si>
  <si>
    <t>CED Westfield Solar, LLC</t>
  </si>
  <si>
    <t>Southbridge Solar</t>
  </si>
  <si>
    <t>Sudbury Solar</t>
  </si>
  <si>
    <t>Ecos Energy LLC</t>
  </si>
  <si>
    <t>SJA Solar, LLC</t>
  </si>
  <si>
    <t>Pfizer Groton Fuel Cell</t>
  </si>
  <si>
    <t>Pisgah Mountain Wind</t>
  </si>
  <si>
    <t>Pisgah Mountain, LLC</t>
  </si>
  <si>
    <t>Tompkins Cortland Community College</t>
  </si>
  <si>
    <t>SEC LHNY Solar One, LLC</t>
  </si>
  <si>
    <t>Brookside</t>
  </si>
  <si>
    <t>Calverton</t>
  </si>
  <si>
    <t>Cummins, Inc</t>
  </si>
  <si>
    <t>Houghton</t>
  </si>
  <si>
    <t>Oneida - South</t>
  </si>
  <si>
    <t>Oneida DG Solar, LLC</t>
  </si>
  <si>
    <t>Oneida - West</t>
  </si>
  <si>
    <t>Athens Energy</t>
  </si>
  <si>
    <t>Athens Energy, LLC</t>
  </si>
  <si>
    <t>OT</t>
  </si>
  <si>
    <t>Hardwick-Athol &amp; Eagle Hill</t>
  </si>
  <si>
    <t>SEC CRSD Solar One, LLC</t>
  </si>
  <si>
    <t>Greene County Meter #1</t>
  </si>
  <si>
    <t>Bethlehem - East</t>
  </si>
  <si>
    <t>DG Bethlehem Solar, LLC</t>
  </si>
  <si>
    <t>Bethlehem - West</t>
  </si>
  <si>
    <t>Rail Trail</t>
  </si>
  <si>
    <t>Altus Power America Management, LLC</t>
  </si>
  <si>
    <t>Rising Paper</t>
  </si>
  <si>
    <t>Hampden</t>
  </si>
  <si>
    <t>Little Bay</t>
  </si>
  <si>
    <t>Shirley Water</t>
  </si>
  <si>
    <t>Limerick Road Solar Farm</t>
  </si>
  <si>
    <t>Limerick Road Solar, LLC</t>
  </si>
  <si>
    <t>GMP Solar - Richmond</t>
  </si>
  <si>
    <t>UI RCP Woodbridge FC</t>
  </si>
  <si>
    <t>CMEEC - Rogers Rd Solar</t>
  </si>
  <si>
    <t>Morin Solar 2013 LLC</t>
  </si>
  <si>
    <t>Brookfield Solar 2013 LLC</t>
  </si>
  <si>
    <t>WYM 1250 Palmer LLC</t>
  </si>
  <si>
    <t>Southern Sky Renew Energy Berkley LLC</t>
  </si>
  <si>
    <t>NRG Renew Canal 1 LLC</t>
  </si>
  <si>
    <t>West Brookfield Solar, LLC</t>
  </si>
  <si>
    <t>Belchertown</t>
  </si>
  <si>
    <t>Tannery Road Landfill</t>
  </si>
  <si>
    <t>Tannery Road Solar, LLC</t>
  </si>
  <si>
    <t>Wind Colebrook South</t>
  </si>
  <si>
    <t>Wilmington Solar</t>
  </si>
  <si>
    <t>Meadow Solar</t>
  </si>
  <si>
    <t>Sullivan County - Adult Care Solar</t>
  </si>
  <si>
    <t>Oswego County - Fulton Solar</t>
  </si>
  <si>
    <t>Iron Horse Solar I CSG</t>
  </si>
  <si>
    <t>Iron Horse Solar 1, LLC</t>
  </si>
  <si>
    <t>126 Grove Solar LLC</t>
  </si>
  <si>
    <t>VEC Alburgh Array</t>
  </si>
  <si>
    <t>SoCore Energy LLC</t>
  </si>
  <si>
    <t>Equity Industrial Turbines</t>
  </si>
  <si>
    <t>Bashaw Solar CSG 1, LLC</t>
  </si>
  <si>
    <t>Bashaw Solar 1, LLC</t>
  </si>
  <si>
    <t>Kearsarge Southwick LLC</t>
  </si>
  <si>
    <t>GMP Solar - Hartford</t>
  </si>
  <si>
    <t>GMP Solar - Williston</t>
  </si>
  <si>
    <t>GMP Solar - Williamstown</t>
  </si>
  <si>
    <t>Sutton Solar, LLC</t>
  </si>
  <si>
    <t>Nexamp Peak, LLC</t>
  </si>
  <si>
    <t>Town of Stafford, CT</t>
  </si>
  <si>
    <t>Mt. Tom Solar, LLC</t>
  </si>
  <si>
    <t>Hartford Landfill Solar EGF</t>
  </si>
  <si>
    <t>Materials Innovation Recycling Authority</t>
  </si>
  <si>
    <t>Cold River Road Solar</t>
  </si>
  <si>
    <t>Chocksett Rd Energy Storage Project</t>
  </si>
  <si>
    <t>Sterling Municipal Light Department</t>
  </si>
  <si>
    <t>Onyx Asset Services Group</t>
  </si>
  <si>
    <t>WED Portsmouth One, LLC</t>
  </si>
  <si>
    <t>Musgrave East Solar Farm</t>
  </si>
  <si>
    <t>Artemis Solar LLC</t>
  </si>
  <si>
    <t>Mill Seat Renewable Energy Facility</t>
  </si>
  <si>
    <t>Musgrave West Solar Farm</t>
  </si>
  <si>
    <t>Montefiore - Westchester Square</t>
  </si>
  <si>
    <t>Montefiore-Westchester Square</t>
  </si>
  <si>
    <t>New York Presbyterian Hospital-168th St</t>
  </si>
  <si>
    <t>New York Presbyterian Hospital</t>
  </si>
  <si>
    <t>Harford Solar Farm</t>
  </si>
  <si>
    <t>Laertes Solar LLC</t>
  </si>
  <si>
    <t>Canandaigua Solar Array</t>
  </si>
  <si>
    <t>Syncarpha Freetown</t>
  </si>
  <si>
    <t>Marie's Way Solar I, LLC</t>
  </si>
  <si>
    <t>Nebraska Valley Solar Farm</t>
  </si>
  <si>
    <t>Town of Stowe- (VT)</t>
  </si>
  <si>
    <t>BCC Solar III, LLC</t>
  </si>
  <si>
    <t>Green Island Hydroelectric Station</t>
  </si>
  <si>
    <t>Finger Lakes Solar I</t>
  </si>
  <si>
    <t>Finger Lakes Solar I, LLC</t>
  </si>
  <si>
    <t>433 Purchase Solar NG, LLC</t>
  </si>
  <si>
    <t>NY - Presbyt. Hospital - 525 E 68TH St</t>
  </si>
  <si>
    <t>NY - PRESBYTERIAN HOSPITAL-525 E 68TH ST</t>
  </si>
  <si>
    <t>Old Wardour Solar</t>
  </si>
  <si>
    <t>Shuman Solar</t>
  </si>
  <si>
    <t>Vuelta Solar</t>
  </si>
  <si>
    <t>Grafton PV</t>
  </si>
  <si>
    <t>Barrett PV</t>
  </si>
  <si>
    <t>MDFA Devens-Saratoga</t>
  </si>
  <si>
    <t>Centaurus Solar - MA</t>
  </si>
  <si>
    <t>LSE Centaurus LLC</t>
  </si>
  <si>
    <t>Kearsarge Bellingham PV</t>
  </si>
  <si>
    <t>Kearsarge Bellingham LLC</t>
  </si>
  <si>
    <t>Canis Major Solar Farm</t>
  </si>
  <si>
    <t>LSE Canis Major LLC</t>
  </si>
  <si>
    <t>Canis Minor Solar Farm</t>
  </si>
  <si>
    <t>LSE Canis Minor LLC</t>
  </si>
  <si>
    <t>NYC-HH - CONEY ISLAND HOSPITAL</t>
  </si>
  <si>
    <t>NYC-HH Coney Island Hospital</t>
  </si>
  <si>
    <t>NY Times Daily Production Facility</t>
  </si>
  <si>
    <t>The NY Times Production Facility</t>
  </si>
  <si>
    <t>West Boylston Community Shared Solar</t>
  </si>
  <si>
    <t>Mount Sinai Hospital</t>
  </si>
  <si>
    <t>steam and MWh</t>
  </si>
  <si>
    <t>Although EIA says Potter 2, Units 4 and 5 appear to be included based on MMBtu value.</t>
  </si>
  <si>
    <t>only 1 unit reports CO2</t>
  </si>
  <si>
    <t>behind the meter</t>
  </si>
  <si>
    <t>steam and MWh; industrial</t>
  </si>
  <si>
    <t>plant burns both biomass and fossil</t>
  </si>
  <si>
    <t>burns Wood</t>
  </si>
  <si>
    <t>not shown on 923</t>
  </si>
  <si>
    <t>CHP status is N 923 and STEAM = ELEC MMBTUs</t>
  </si>
  <si>
    <t>Electric Power Annual 2016</t>
  </si>
  <si>
    <t>Table A.3. Carbon Dioxide Uncontrolled Emission Factors</t>
  </si>
  <si>
    <t>Fuel</t>
  </si>
  <si>
    <t>EIA Fuel Code</t>
  </si>
  <si>
    <t xml:space="preserve">
Factor (Kilograms of CO2 Per Million Btu)**</t>
  </si>
  <si>
    <t xml:space="preserve">
Factor (pounds of CO2 Per Million Btu)</t>
  </si>
  <si>
    <t>Notes</t>
  </si>
  <si>
    <t>Bituminous Coal</t>
  </si>
  <si>
    <t>Distillate Fuel Oil</t>
  </si>
  <si>
    <t>Geothermal</t>
  </si>
  <si>
    <t>GEO</t>
  </si>
  <si>
    <t>Jet Fuel</t>
  </si>
  <si>
    <t>Lignite Coal</t>
  </si>
  <si>
    <t>LIG</t>
  </si>
  <si>
    <t>MSW</t>
  </si>
  <si>
    <t>Refined Coal</t>
  </si>
  <si>
    <t>RC</t>
  </si>
  <si>
    <t>Residual Fuel Oil</t>
  </si>
  <si>
    <t>Synthesis Gas Derived from Coal</t>
  </si>
  <si>
    <t>SGC</t>
  </si>
  <si>
    <t>*</t>
  </si>
  <si>
    <t>Factor is based on the fuel source used to produce the synthesis gas</t>
  </si>
  <si>
    <t>Synthesis Gas Derived from Petroleum Coke</t>
  </si>
  <si>
    <t>SGP</t>
  </si>
  <si>
    <t>Subbituminous Coal</t>
  </si>
  <si>
    <t>Tire-Derived Fuel</t>
  </si>
  <si>
    <t>Waste Coal</t>
  </si>
  <si>
    <t>WC</t>
  </si>
  <si>
    <t>Waste Oil</t>
  </si>
  <si>
    <t>Notes:</t>
  </si>
  <si>
    <t>** CO2 factors do not vary by combustion system type or boiler firing configuration.</t>
  </si>
  <si>
    <t>Stony Brook Energy Center</t>
  </si>
  <si>
    <t>Newington Energy</t>
  </si>
  <si>
    <t>Penny Lane Gas Turbine</t>
  </si>
  <si>
    <t>Dominion Energy Nuclear Conn Inc</t>
  </si>
  <si>
    <t>Great River Hydro, LLC</t>
  </si>
  <si>
    <t>Helix Ravenswood, LLC</t>
  </si>
  <si>
    <t>Massachusetts Wtr Rauth-Deer I</t>
  </si>
  <si>
    <t>Kings Falls Hydroelectric</t>
  </si>
  <si>
    <t>Sugar River Power LLC</t>
  </si>
  <si>
    <t>Engie North America</t>
  </si>
  <si>
    <t>Kibby Wind Facility</t>
  </si>
  <si>
    <t>Helix Maine Wind Development, LLC</t>
  </si>
  <si>
    <t>Canton Mountain Wind</t>
  </si>
  <si>
    <t>Canton Mountain Wind LLC</t>
  </si>
  <si>
    <t>WED Coventry 5</t>
  </si>
  <si>
    <t>WED Coventry Five, LLC</t>
  </si>
  <si>
    <t>Hadley Solar NG, LLC</t>
  </si>
  <si>
    <t>Fairhaven C CSG</t>
  </si>
  <si>
    <t>West Bridgewater AB CSG</t>
  </si>
  <si>
    <t>Onondaga County- Clearwater</t>
  </si>
  <si>
    <t>Broome County</t>
  </si>
  <si>
    <t>CMEEC - Navy NE Trident</t>
  </si>
  <si>
    <t>Worcester Landfill</t>
  </si>
  <si>
    <t>City of Worcester DPW</t>
  </si>
  <si>
    <t>TRS Fuel Cell</t>
  </si>
  <si>
    <t>TRS Fuel Cell, LLC</t>
  </si>
  <si>
    <t>Shirley Landfill</t>
  </si>
  <si>
    <t>DDR Shoppers World</t>
  </si>
  <si>
    <t>Cedarville CSG</t>
  </si>
  <si>
    <t>Deerfield CSG Solar</t>
  </si>
  <si>
    <t>Iron Horse Solar 4, LLC</t>
  </si>
  <si>
    <t>Town of Lexington Solar</t>
  </si>
  <si>
    <t>Syncarpha Lexington, LLC</t>
  </si>
  <si>
    <t>Jefferson-Lewis BOCES Solar</t>
  </si>
  <si>
    <t>Cypress Creek Renewables</t>
  </si>
  <si>
    <t>Orbit Energy RI</t>
  </si>
  <si>
    <t>Bird Machine Solar Farm</t>
  </si>
  <si>
    <t>Bird Machine Solar Farm, LLC</t>
  </si>
  <si>
    <t>Sutton Solar CSG</t>
  </si>
  <si>
    <t>Nexamp Peak CSG</t>
  </si>
  <si>
    <t>Time Warner Cable - Knowles</t>
  </si>
  <si>
    <t>Northampton Landfill Solar PV</t>
  </si>
  <si>
    <t>Ameresco Glendale Road Solar PV LLC</t>
  </si>
  <si>
    <t>VEC Magee Hill Solar</t>
  </si>
  <si>
    <t>Redbrook Community Solar 1</t>
  </si>
  <si>
    <t>Redbrook Solar 1, LLC</t>
  </si>
  <si>
    <t>Brook Street Solar 1 CSG</t>
  </si>
  <si>
    <t>Brook Street Solar 1, LLC</t>
  </si>
  <si>
    <t>Spring Street Solar 1 CSG</t>
  </si>
  <si>
    <t>Spring Street Solar 1, LLC</t>
  </si>
  <si>
    <t>Bullock Road Solar 1</t>
  </si>
  <si>
    <t>Bullock Road Solar 1, LLC</t>
  </si>
  <si>
    <t>Stafford St Solar 1 CSG</t>
  </si>
  <si>
    <t>Stafford St Solar 1, LLC</t>
  </si>
  <si>
    <t>Stafford St 2 Community Solar</t>
  </si>
  <si>
    <t>Stafford St Solar 2, LLC</t>
  </si>
  <si>
    <t>Stafford St Solar 3 CSG</t>
  </si>
  <si>
    <t>Stafford St Solar 3, LLC</t>
  </si>
  <si>
    <t>Deerfield Wind LLC</t>
  </si>
  <si>
    <t>Canandaigua Westbrook Solar Array</t>
  </si>
  <si>
    <t>BWC Wading River One, Two, Three CSG</t>
  </si>
  <si>
    <t>Ameresco BWC Wading River LLC</t>
  </si>
  <si>
    <t>Elizabeth Mines Solar 1</t>
  </si>
  <si>
    <t>Elizabeth Mines Solar 1, LLC</t>
  </si>
  <si>
    <t>Boston Medical Center CHP Plant</t>
  </si>
  <si>
    <t>Boston Medical Center</t>
  </si>
  <si>
    <t>Farley Road Community Solar</t>
  </si>
  <si>
    <t>Farley Road Solar, LLC</t>
  </si>
  <si>
    <t>Belchertown Renewables Community Solar</t>
  </si>
  <si>
    <t>Belchertown Renewables, LLC</t>
  </si>
  <si>
    <t>Theodore Drive Community Solar</t>
  </si>
  <si>
    <t>Theodore Drive Solar, LLC</t>
  </si>
  <si>
    <t>Upton Community Solar</t>
  </si>
  <si>
    <t>Upton Solar, LLC</t>
  </si>
  <si>
    <t>Pleasantdale Road Community Solar</t>
  </si>
  <si>
    <t>Pleasantdale Road Solar, LLC</t>
  </si>
  <si>
    <t>Hatfield Renewables Community Solar</t>
  </si>
  <si>
    <t>Hatfield Renewables, LLC</t>
  </si>
  <si>
    <t>Peterson Road Solar</t>
  </si>
  <si>
    <t>Peterson Road Solar, LLC</t>
  </si>
  <si>
    <t>Sampson Road Community Solar</t>
  </si>
  <si>
    <t>Sampson Road Solar, LLC</t>
  </si>
  <si>
    <t>Golden Hills Solar</t>
  </si>
  <si>
    <t>Golden Hills Solar, LLC</t>
  </si>
  <si>
    <t>Next Generation Solar Farm</t>
  </si>
  <si>
    <t>Smith &amp; Wesson at Springfield MA PV</t>
  </si>
  <si>
    <t>Cedar Creek PV</t>
  </si>
  <si>
    <t>AES Distributed Energy</t>
  </si>
  <si>
    <t>Northern Westchester Hospital</t>
  </si>
  <si>
    <t>Letchworth Solar Project</t>
  </si>
  <si>
    <t>Ashby Duffy CSG Solar Farm</t>
  </si>
  <si>
    <t>LSE Cassiopeia LLC</t>
  </si>
  <si>
    <t>Town of West Boylston - (MA)</t>
  </si>
  <si>
    <t>IOS - MEW Phase 1</t>
  </si>
  <si>
    <t>IGS ORIX Solar I, LLC</t>
  </si>
  <si>
    <t>SL Babylon</t>
  </si>
  <si>
    <t>SL Babylon, LLC</t>
  </si>
  <si>
    <t>NYU LANGONE HEALTH</t>
  </si>
  <si>
    <t>CED Foster</t>
  </si>
  <si>
    <t>Monroe County Sites A &amp; B</t>
  </si>
  <si>
    <t>Monroe County Sites C, D, &amp; E</t>
  </si>
  <si>
    <t>301 Chestnut Solar NG</t>
  </si>
  <si>
    <t>Weston Landfill Solar</t>
  </si>
  <si>
    <t>Ameresco, Inc - Weston</t>
  </si>
  <si>
    <t>Braintree Landfill Solar</t>
  </si>
  <si>
    <t>Ameresco, Inc - Braintree</t>
  </si>
  <si>
    <t>GELD Solar Farm</t>
  </si>
  <si>
    <t>Ameresco, Inc - GELD</t>
  </si>
  <si>
    <t>Good Samaritan Hospital</t>
  </si>
  <si>
    <t>Falmouth Landfill Solar</t>
  </si>
  <si>
    <t>Woodhull Hospital</t>
  </si>
  <si>
    <t>Town of Foxborough - Landfill (SREC II) CSG</t>
  </si>
  <si>
    <t>Town of Foxborough - Landfill (SREC II)</t>
  </si>
  <si>
    <t>Citizens Agawam Landfill Solar</t>
  </si>
  <si>
    <t>Norton Landfill Solar</t>
  </si>
  <si>
    <t>Tyngsborough Solar</t>
  </si>
  <si>
    <t>CED Chicopee Solar</t>
  </si>
  <si>
    <t>UMASS</t>
  </si>
  <si>
    <t>Camden CSD Solar Array</t>
  </si>
  <si>
    <t>WED Kingstown Solar I, LLC - West</t>
  </si>
  <si>
    <t>WED Kingstown Solar I, LLC</t>
  </si>
  <si>
    <t>WED Stilson Solar</t>
  </si>
  <si>
    <t>WED Stilson Solar, LLC</t>
  </si>
  <si>
    <t>WED Kingstown Solar I - East Array</t>
  </si>
  <si>
    <t>Nautilus Solar Solutions</t>
  </si>
  <si>
    <t>Texon Hydroelectric Project</t>
  </si>
  <si>
    <t>Hitchcock Hydro, LLC</t>
  </si>
  <si>
    <t>Seneca Falls Hydroelectric Project</t>
  </si>
  <si>
    <t>C-S Canal Hydro, LLC</t>
  </si>
  <si>
    <t>Waterloo Hydroelectric Project</t>
  </si>
  <si>
    <t>Sikorsky Aircraft CHP</t>
  </si>
  <si>
    <t>Sikorsky Aircraft Corporation</t>
  </si>
  <si>
    <t>IRE Solar I, LLC</t>
  </si>
  <si>
    <t>Madison County</t>
  </si>
  <si>
    <t>Onyx - Pembroke Landfill Solar</t>
  </si>
  <si>
    <t>Barrett Farm Solar - Phase I</t>
  </si>
  <si>
    <t>Solten Plainville 6000, LLC</t>
  </si>
  <si>
    <t>Randolph</t>
  </si>
  <si>
    <t>Solten Randolph 4500, LLC</t>
  </si>
  <si>
    <t>Seneca Nation Cattaraugus Wind Turbine</t>
  </si>
  <si>
    <t>Seneca Nation</t>
  </si>
  <si>
    <t>Lockheed Martin RMS Syracuse</t>
  </si>
  <si>
    <t>East Acres Solar NG, LLC</t>
  </si>
  <si>
    <t>Gore Mountain Solar II</t>
  </si>
  <si>
    <t>Gore Mountain Solar II, LLC</t>
  </si>
  <si>
    <t>HGS Solar I</t>
  </si>
  <si>
    <t>HGS solar I, LLC</t>
  </si>
  <si>
    <t>Syncarpha Hancock I CSG</t>
  </si>
  <si>
    <t>Syncarpha Hancock I, LLC</t>
  </si>
  <si>
    <t>Syncarpha Hancock II CSG</t>
  </si>
  <si>
    <t>Syncarpha Hancock II, LLC</t>
  </si>
  <si>
    <t>Syncarpha Hancock III CSG</t>
  </si>
  <si>
    <t>Syncarpha Hancock III, LLC</t>
  </si>
  <si>
    <t>Syncarpha Still River, LLC</t>
  </si>
  <si>
    <t>City of Rochester Solar</t>
  </si>
  <si>
    <t>IKEA Property Inc</t>
  </si>
  <si>
    <t>Toray Plastic America's CHP Plant</t>
  </si>
  <si>
    <t>Toray Plastics America</t>
  </si>
  <si>
    <t>https://www.eia.gov/electricity/data/eia923/</t>
  </si>
  <si>
    <t>Biogas</t>
  </si>
  <si>
    <t>biogas and digester gas</t>
  </si>
  <si>
    <t xml:space="preserve">MMBTU/MWh = </t>
  </si>
  <si>
    <t>Quebec System Mix</t>
  </si>
  <si>
    <t>lbs CO2e</t>
  </si>
  <si>
    <t>[in lb CO2e]</t>
  </si>
  <si>
    <t>New York System Mix</t>
  </si>
  <si>
    <t>Massachusetts Fuels Adding to Total CO2e</t>
  </si>
  <si>
    <t xml:space="preserve">Fuel Types </t>
  </si>
  <si>
    <t>Non Biogenic</t>
  </si>
  <si>
    <t xml:space="preserve">Biogenic </t>
  </si>
  <si>
    <t>Connecticut Fuels Adding to Total CO2e</t>
  </si>
  <si>
    <t>Maine Fuels Adding to Total CO2e</t>
  </si>
  <si>
    <t>New Hampshire Fuels Adding to Total CO2e</t>
  </si>
  <si>
    <t>Rhode Island Fuels Adding to Total CO2e</t>
  </si>
  <si>
    <t>Vermont Fuels Adding to Total CO2e</t>
  </si>
  <si>
    <t>New York Fuels Adding to Total CO2e</t>
  </si>
  <si>
    <t>N/A</t>
  </si>
  <si>
    <t>CT06</t>
  </si>
  <si>
    <t>CT07</t>
  </si>
  <si>
    <t>CPV Towantic Energy Center</t>
  </si>
  <si>
    <t>Salem Harbor Station NGCC</t>
  </si>
  <si>
    <t>Empire Generating Co, LLC</t>
  </si>
  <si>
    <t>Valley Energy Center</t>
  </si>
  <si>
    <t>Manchester Street Station</t>
  </si>
  <si>
    <t>Central Rivers Power MA, LLC</t>
  </si>
  <si>
    <t>Central Rivers Power NH, LLC</t>
  </si>
  <si>
    <t>Granite Shore Power</t>
  </si>
  <si>
    <t>Stevens Mills Dam</t>
  </si>
  <si>
    <t>City of Nashua, NH</t>
  </si>
  <si>
    <t>Stored Solar J&amp;WE</t>
  </si>
  <si>
    <t>Hollingworth &amp; Vose Co Center Falls</t>
  </si>
  <si>
    <t>Maine Waste to Energy</t>
  </si>
  <si>
    <t>Milford Power LLC</t>
  </si>
  <si>
    <t>RISEC Operating Services</t>
  </si>
  <si>
    <t>CPV Towantic, LLC</t>
  </si>
  <si>
    <t>CPV Valley Energy Center</t>
  </si>
  <si>
    <t>CPV Valley, LLC</t>
  </si>
  <si>
    <t>Convergent Energy and Power LP</t>
  </si>
  <si>
    <t>Greenbacker Renewable Energy Corporation</t>
  </si>
  <si>
    <t>Town of East Bridgewater CSG</t>
  </si>
  <si>
    <t>Fusion Solar Center LLC</t>
  </si>
  <si>
    <t>Fusion Solar Centre, L.L.C</t>
  </si>
  <si>
    <t>Copenhagen Wind Farm</t>
  </si>
  <si>
    <t>Rockland Solar CSG</t>
  </si>
  <si>
    <t>Sutter Greenworks LLC</t>
  </si>
  <si>
    <t>St. Albans Solar Partners, LLC</t>
  </si>
  <si>
    <t>Shoreham Solar Commons</t>
  </si>
  <si>
    <t>Federal Road Solar 1, LLC CSG</t>
  </si>
  <si>
    <t>BWC Swan Pond River CSG</t>
  </si>
  <si>
    <t>Town of Needham VNEM CSG</t>
  </si>
  <si>
    <t>Williamsburg Solar LLC VNEM CSG</t>
  </si>
  <si>
    <t>Hollingsworth &amp; Vose Co West Groton</t>
  </si>
  <si>
    <t>SJA Solar LLC-Solterra Monastery CSG</t>
  </si>
  <si>
    <t>Groton Fuel Cell 1 LLC</t>
  </si>
  <si>
    <t>Carver MA 1 Community Solar</t>
  </si>
  <si>
    <t>Navisun LLC</t>
  </si>
  <si>
    <t>Wareham MA 1 Community Solar</t>
  </si>
  <si>
    <t>Westport MA 1 Community Solar</t>
  </si>
  <si>
    <t>Westport MA 2 Community Solar</t>
  </si>
  <si>
    <t>Stone Hill Solar CSG</t>
  </si>
  <si>
    <t>Bridgewater Solar CSG</t>
  </si>
  <si>
    <t>Holliston Solar CSG</t>
  </si>
  <si>
    <t>Fall River Solar CSG</t>
  </si>
  <si>
    <t>Curtis Hill Solar CSG</t>
  </si>
  <si>
    <t>CCC Solar Holdings LLC</t>
  </si>
  <si>
    <t>Depot Hill Solar CSG</t>
  </si>
  <si>
    <t>Stafford MS Ground Mount Community Solar</t>
  </si>
  <si>
    <t>Onyx - Lamphear Road CSG</t>
  </si>
  <si>
    <t>Onset East Community Solar Facility</t>
  </si>
  <si>
    <t>Onset West Community Solar Facility</t>
  </si>
  <si>
    <t>Big George PV CSG</t>
  </si>
  <si>
    <t>North Smithfield Solar Power 1</t>
  </si>
  <si>
    <t>Lichtenthal</t>
  </si>
  <si>
    <t>Call Farms 1</t>
  </si>
  <si>
    <t>Call Farms 3</t>
  </si>
  <si>
    <t>Antanavica Solar</t>
  </si>
  <si>
    <t>Town of Rocky Hill PV CSG</t>
  </si>
  <si>
    <t>The Allen Hospital</t>
  </si>
  <si>
    <t>Mount Sinai Beth Israel</t>
  </si>
  <si>
    <t>Anheuser-Busch Baldwinsville</t>
  </si>
  <si>
    <t>Columbia University - Johnson Farms</t>
  </si>
  <si>
    <t>Time Warner Cable Enterprises - Martino</t>
  </si>
  <si>
    <t>Columbia University - Minisink</t>
  </si>
  <si>
    <t>Arkwright Summit Wind Farm LLC</t>
  </si>
  <si>
    <t>Greater New Bedford LFG Utiliz. Facility</t>
  </si>
  <si>
    <t>CommonWealth New Bedford Energy LLC</t>
  </si>
  <si>
    <t>CJ Solar I, LLC</t>
  </si>
  <si>
    <t>Lisbon West</t>
  </si>
  <si>
    <t>COU Solar I, LLC</t>
  </si>
  <si>
    <t>Lisbon East</t>
  </si>
  <si>
    <t>Onyx - Saratoga Springs Landfill Solar CSG</t>
  </si>
  <si>
    <t>Onyx - Brockton Thatcher Landfill Solar CSG</t>
  </si>
  <si>
    <t>Origis Energy USA, Inc</t>
  </si>
  <si>
    <t>Woods Hill Solar</t>
  </si>
  <si>
    <t>Woods Hill Solar, LLC</t>
  </si>
  <si>
    <t>Syncarpha Still River, LLC CSG</t>
  </si>
  <si>
    <t>Town of Otis Wind Energy Project</t>
  </si>
  <si>
    <t>Town of Otis</t>
  </si>
  <si>
    <t>Trinity College Fuel Cell</t>
  </si>
  <si>
    <t>Kearsarge Concord II</t>
  </si>
  <si>
    <t>Kearsarge Concord II LLC</t>
  </si>
  <si>
    <t>Kearsarge Granby</t>
  </si>
  <si>
    <t>Kearsarge Granby LLC</t>
  </si>
  <si>
    <t>Broadalbin</t>
  </si>
  <si>
    <t>Duanesburg</t>
  </si>
  <si>
    <t>Johnstown</t>
  </si>
  <si>
    <t>Solean Solar Project</t>
  </si>
  <si>
    <t>Lincoln Ave Solar Project</t>
  </si>
  <si>
    <t>Blydenburgh Solar Project</t>
  </si>
  <si>
    <t>Holtsville Solar Project</t>
  </si>
  <si>
    <t>Sharon Springs</t>
  </si>
  <si>
    <t>Amsterdam North</t>
  </si>
  <si>
    <t>Amsterdam South</t>
  </si>
  <si>
    <t>Kearsarge Oppenheim CSG</t>
  </si>
  <si>
    <t>Kearsarge Oppenheim LLC</t>
  </si>
  <si>
    <t>Sunlight Beacon</t>
  </si>
  <si>
    <t>Saint Albans Solar</t>
  </si>
  <si>
    <t>Broadalbin-Perth Solar</t>
  </si>
  <si>
    <t>Coolidge Solar 1, LLC</t>
  </si>
  <si>
    <t>Coolidge Solar I, LLC</t>
  </si>
  <si>
    <t>The Bank of New York</t>
  </si>
  <si>
    <t>Brooklyn Hospital Center</t>
  </si>
  <si>
    <t>Saint Catherine of Siena Medical Center</t>
  </si>
  <si>
    <t>Franklin Solar</t>
  </si>
  <si>
    <t>Jefferson Solar</t>
  </si>
  <si>
    <t>Hamilton Solar</t>
  </si>
  <si>
    <t>Adams Solar</t>
  </si>
  <si>
    <t>Enfield Community Solar</t>
  </si>
  <si>
    <t>Baer Road CSG</t>
  </si>
  <si>
    <t>Delaware River Solar, LLC</t>
  </si>
  <si>
    <t>Kingsbrook Jewish Medical Center</t>
  </si>
  <si>
    <t>St Johns Riverside Hospital</t>
  </si>
  <si>
    <t>Wareham Solar PV</t>
  </si>
  <si>
    <t>NSTAR Electric Company</t>
  </si>
  <si>
    <t>East Longmeadow Solar PV</t>
  </si>
  <si>
    <t>Town of Branford</t>
  </si>
  <si>
    <t>Southwick Solar PV</t>
  </si>
  <si>
    <t>Sunderland Solar PV</t>
  </si>
  <si>
    <t>Hatfield Solar PV</t>
  </si>
  <si>
    <t>Montague Site 36-Grosolar</t>
  </si>
  <si>
    <t>East Springfield Solar PV</t>
  </si>
  <si>
    <t>Ludlow Site 72 - Conti</t>
  </si>
  <si>
    <t>WED Green Hill, LLC</t>
  </si>
  <si>
    <t>WED Shun I, LLC</t>
  </si>
  <si>
    <t>WED Shun II, LLC</t>
  </si>
  <si>
    <t>WED Shun III, LLC</t>
  </si>
  <si>
    <t>Minisink Solar 1 LLC</t>
  </si>
  <si>
    <t>Minisink Community Solar 2 LLC</t>
  </si>
  <si>
    <t>Minisink Solar 2 LLC</t>
  </si>
  <si>
    <t>Maimonides Medical Center</t>
  </si>
  <si>
    <t>Hadley 2 Solar, LLC</t>
  </si>
  <si>
    <t>East Bridgewater Solar</t>
  </si>
  <si>
    <t>Solten East Bridgewater 6000, LLC</t>
  </si>
  <si>
    <t>Griffin Road Solar, LLC</t>
  </si>
  <si>
    <t>Ashby Solar, LLC</t>
  </si>
  <si>
    <t>Dudley Solar, LLC</t>
  </si>
  <si>
    <t>Monson Solar, LLC</t>
  </si>
  <si>
    <t>Westminster Renewables, LLC</t>
  </si>
  <si>
    <t>NYC-HH-New Bellevue Hospital</t>
  </si>
  <si>
    <t>Station 9 Energy Storage System</t>
  </si>
  <si>
    <t>Pittsfield 44 - M&amp;W PV</t>
  </si>
  <si>
    <t>Lee Site 31 Solar</t>
  </si>
  <si>
    <t>Plymouth Solar</t>
  </si>
  <si>
    <t>Westchester County Medical Center</t>
  </si>
  <si>
    <t>NYPH-Queens</t>
  </si>
  <si>
    <t>Richmond NMCA</t>
  </si>
  <si>
    <t>Founders Homestead Farms Solar</t>
  </si>
  <si>
    <t>Mattas Farms</t>
  </si>
  <si>
    <t>Mechanicville Hydroelectric Station</t>
  </si>
  <si>
    <t>Dynamic - Walpole</t>
  </si>
  <si>
    <t>Barre Solar III LLC</t>
  </si>
  <si>
    <t>NYP-Lower Manhattan Hospital</t>
  </si>
  <si>
    <t>BWC Origination 18</t>
  </si>
  <si>
    <t>BWC Origination 18, LLC</t>
  </si>
  <si>
    <t>BWC Gibbs Brook</t>
  </si>
  <si>
    <t>BWC Gibbs Brook, LLC</t>
  </si>
  <si>
    <t>BWC Wareham River</t>
  </si>
  <si>
    <t>BWC Wareham River, LLC</t>
  </si>
  <si>
    <t>BWC Harlow Brook</t>
  </si>
  <si>
    <t>BWC Harlow Brook, LLC</t>
  </si>
  <si>
    <t>BWC Pocasset River</t>
  </si>
  <si>
    <t>BWC Pocasset River, LLC</t>
  </si>
  <si>
    <t>Albert Einstein College of Medicine</t>
  </si>
  <si>
    <t>NYP-Hudson Valley Hospital Center</t>
  </si>
  <si>
    <t>Regeneron Pharmaceuticals Inc.</t>
  </si>
  <si>
    <t>Monroe County (NY)</t>
  </si>
  <si>
    <t>Digital Fairfield</t>
  </si>
  <si>
    <t>Regeneron Tarrytown</t>
  </si>
  <si>
    <t>Winchendon Landfill Solar</t>
  </si>
  <si>
    <t>Kearsarge Johnstown 1 LLC</t>
  </si>
  <si>
    <t>Kearsarge GB</t>
  </si>
  <si>
    <t>Kearsarge GB LLC</t>
  </si>
  <si>
    <t>Kearsarge SKSC1 LLC</t>
  </si>
  <si>
    <t>Kearsarge Uxbridge</t>
  </si>
  <si>
    <t>Kearsarge Uxbridge LLC</t>
  </si>
  <si>
    <t>Kearsarge Johnstown 2 LLC</t>
  </si>
  <si>
    <t>Kearsarge Montague</t>
  </si>
  <si>
    <t>Kearsarge Montague LLC</t>
  </si>
  <si>
    <t>Kearsarge SKSC2 LLC</t>
  </si>
  <si>
    <t>ATT Jericho</t>
  </si>
  <si>
    <t>MER Queens</t>
  </si>
  <si>
    <t>Route 14A CDG Solar North and South LLC</t>
  </si>
  <si>
    <t>Route 14A CDG Solar North and South, LLC</t>
  </si>
  <si>
    <t>Tanglewood Circle Solar 1 LLC</t>
  </si>
  <si>
    <t>CBP Solar</t>
  </si>
  <si>
    <t>EnterSolar</t>
  </si>
  <si>
    <t>Kinder Morgan Fordham</t>
  </si>
  <si>
    <t>West Water Street</t>
  </si>
  <si>
    <t>Manchester Community College East</t>
  </si>
  <si>
    <t>Manchester Community College North</t>
  </si>
  <si>
    <t>Washburn Road Solar</t>
  </si>
  <si>
    <t>Ulster County Solar</t>
  </si>
  <si>
    <t>Ulster Solar LLC</t>
  </si>
  <si>
    <t>Franklin Solar Site</t>
  </si>
  <si>
    <t>Helios NY I, LLC</t>
  </si>
  <si>
    <t>Malone Solar Site</t>
  </si>
  <si>
    <t>RIT Henrietta Solar 1, LLC</t>
  </si>
  <si>
    <t>other biomass liquids</t>
  </si>
  <si>
    <t>NOVA SCOTIA</t>
  </si>
  <si>
    <t>Canadian Maritime Provinces</t>
  </si>
  <si>
    <t>CMP</t>
  </si>
  <si>
    <t>Canadian Maritime Provinces (through New Brunswick) Fuels Adding to Total CO2e</t>
  </si>
  <si>
    <t>Canadian Maritime Provinces (through New Brunswick) - Total CO2e</t>
  </si>
  <si>
    <t>exclude mmBtu from CO2 calculations, because Part 75 CO2 used instead</t>
  </si>
  <si>
    <t>Form 923 Heat Input Consumed for Electricity by non-Part 75 units (MMBtu)</t>
  </si>
  <si>
    <t>Form 923 All Heat Input Consumed for Electricity (MMBtu)</t>
  </si>
  <si>
    <t>To calculate CO2</t>
  </si>
  <si>
    <t>To calculate CH4 and N2O</t>
  </si>
  <si>
    <t>CO2e from CO2 from Non-Biogenic Fuels (Non-Part 75 units)</t>
  </si>
  <si>
    <t>CO2e from CO2 from Non-Biogenic Fuels (Part 75 units)</t>
  </si>
  <si>
    <t xml:space="preserve">Diesel </t>
  </si>
  <si>
    <t xml:space="preserve">Natural gas </t>
  </si>
  <si>
    <t>NEW BRUNSWICK</t>
  </si>
  <si>
    <t>From CANADIAN MARITIME PROVINCES</t>
  </si>
  <si>
    <t>IMP (NB)</t>
  </si>
  <si>
    <t>IMP (NS)</t>
  </si>
  <si>
    <t>IMP (PEI)</t>
  </si>
  <si>
    <t xml:space="preserve">TOTAL </t>
  </si>
  <si>
    <t>non-biogenic component of municipal solid waste and trash</t>
  </si>
  <si>
    <t>biogenic component of municipal solid waste and trash</t>
  </si>
  <si>
    <t>biomass and wood/wood waste solids</t>
  </si>
  <si>
    <t>*Form 923 trash split</t>
  </si>
  <si>
    <t>Heat Input from GIS certificates (MMBtu)</t>
  </si>
  <si>
    <t>distillate petroleum and oil</t>
  </si>
  <si>
    <t>From CMP</t>
  </si>
  <si>
    <t>Extra-New England</t>
  </si>
  <si>
    <t>Net</t>
  </si>
  <si>
    <t>[in lb CO2]</t>
  </si>
  <si>
    <t xml:space="preserve"> - </t>
  </si>
  <si>
    <t xml:space="preserve">  - </t>
  </si>
  <si>
    <t>Canadian Maritime Provinces (through New Brunswick)</t>
  </si>
  <si>
    <t>Fuels that use a common emission factor are combined into a single row where possible: wood and biomass, distillate petroleum and oil, trash and municipal solid waste, biogas and digester gas.</t>
  </si>
  <si>
    <t>New York Power Authority (NYPA) MWh from Niagara Falls to Massachusetts Municipal Retail Sellers</t>
  </si>
  <si>
    <t>New Brunswick System Mix</t>
  </si>
  <si>
    <t>Connecticut - CO2e from MSS MMBTUs that stay in CT</t>
  </si>
  <si>
    <t>Massachusetts - CO2e from MSS MMBTUs that stay in MA</t>
  </si>
  <si>
    <t>Maine - CO2e from MSS MMBTUs that stay in ME</t>
  </si>
  <si>
    <t>New Hampshire - CO2e from MSS MMBTUs that stay in NH</t>
  </si>
  <si>
    <t>from GIS Transfers tab</t>
  </si>
  <si>
    <t>Rhode Island - CO2e from MSS MMBTUs that stay in RI</t>
  </si>
  <si>
    <t>Vermont - CO2e from MSS MMBTUs that stay in VT</t>
  </si>
  <si>
    <t>ISO-MSS Certificates Into State</t>
  </si>
  <si>
    <t>ISO-MSS Certificates Out of State</t>
  </si>
  <si>
    <t>Into State - MSS Meter (MMBtu)</t>
  </si>
  <si>
    <t>Into State - NON Meter (MMBtu)</t>
  </si>
  <si>
    <t>Into State - IMP Meter (MMBtu)2</t>
  </si>
  <si>
    <t>Out of State -
MSS Meter 
(MMBtu)</t>
  </si>
  <si>
    <t>Net Heat Input Out of State from MSS Meters</t>
  </si>
  <si>
    <t>Net Heat Input from all GIS certificates (MMBtu)</t>
  </si>
  <si>
    <t>Out of State -
IMP Meter 
(MMBtu)</t>
  </si>
  <si>
    <t>Out of Province
IMP Meter 
(MMBtu)</t>
  </si>
  <si>
    <t xml:space="preserve">  -</t>
  </si>
  <si>
    <t>MA Share of Exported GHG Emissions (lb)</t>
  </si>
  <si>
    <t>MMBTUs from MSS generation that stay in Rhode Island</t>
  </si>
  <si>
    <t>MMBTUs from MSS generation that stay in New Hampshire</t>
  </si>
  <si>
    <t>MMBTUs from MSS generation that stay in Maine</t>
  </si>
  <si>
    <t>MMBTUs from MSS generation that stay in Massachusetts</t>
  </si>
  <si>
    <t>MMBTUs from MSS generation that stay in Connecticut</t>
  </si>
  <si>
    <t>MMBTUs from MSS generation that stay in Vermont</t>
  </si>
  <si>
    <t>GIS Transfers (Net) to and from State</t>
  </si>
  <si>
    <t>State Generation</t>
  </si>
  <si>
    <t>Adjusts:</t>
  </si>
  <si>
    <t>Data Source:</t>
  </si>
  <si>
    <t>Generation</t>
  </si>
  <si>
    <t>GIS</t>
  </si>
  <si>
    <t>worksheet link from tab:</t>
  </si>
  <si>
    <t>Certificates Settling in State</t>
  </si>
  <si>
    <t>Certificates Settling Out of State</t>
  </si>
  <si>
    <t>Net Generation from Certificates</t>
  </si>
  <si>
    <t>Setlled &amp; Reserved GIS certificates removed</t>
  </si>
  <si>
    <t>Generation Imported into ISO-NE</t>
  </si>
  <si>
    <t>State &amp; Province Generation</t>
  </si>
  <si>
    <t>Column C data</t>
  </si>
  <si>
    <t>this tab</t>
  </si>
  <si>
    <t>Generation CO2e</t>
  </si>
  <si>
    <t>GIS CO2e</t>
  </si>
  <si>
    <t>Certificates Settling in States</t>
  </si>
  <si>
    <t>Certificates Settling Out of States</t>
  </si>
  <si>
    <t>GENERATION &amp; NEPOOL-GIS CERTIFICATE TABLE:</t>
  </si>
  <si>
    <t>State and Province emissons associated with GIS</t>
  </si>
  <si>
    <t>state, province and region import emissions ['Imported Emissions' tab]</t>
  </si>
  <si>
    <t>state and province emissions ['Imported Emissions' tab]</t>
  </si>
  <si>
    <t>emissions exported from New England States</t>
  </si>
  <si>
    <t xml:space="preserve">emissions exported from New England States </t>
  </si>
  <si>
    <t>GIS emissions associated with System Mix from NY, NB and Q [GIS CO2e tab]</t>
  </si>
  <si>
    <t>specifically:</t>
  </si>
  <si>
    <t>GIS Removed-From-State</t>
  </si>
  <si>
    <t>Emissions (lbs CO2e) from:</t>
  </si>
  <si>
    <t>Columns C (generation) and E and F (GIS MSS)</t>
  </si>
  <si>
    <t>Biogas and Digester gas has been assigned the same heat rate as Landfill gas.</t>
  </si>
  <si>
    <t>Total ISO-NON Generation</t>
  </si>
  <si>
    <t>The values in the Heat Rate Table are the weighted state- and fuel-specific average heat rates for this year, as calculated on the 'EIA Form 923' tab.</t>
  </si>
  <si>
    <t>HEAT RATE TABLE: Weighted state- and fuel-specific average heat rates that are determined on 'EIA Form 923' tab and used to calculate MMBTUs, by fuel type, in the MMBTU TABLE below (blue and green columns).</t>
  </si>
  <si>
    <t>EMISSIONS TABLE:</t>
  </si>
  <si>
    <t xml:space="preserve">Northern Maine ISA (NMISA) (MWh) generation </t>
  </si>
  <si>
    <t>New Brunswick (MWh)</t>
  </si>
  <si>
    <t>Quebec (MWh)</t>
  </si>
  <si>
    <t>Statistics Canada</t>
  </si>
  <si>
    <t>https://www150.statcan.gc.ca/t1/tbl1/en/tv.action?pid=2510002001&amp;pickMembers%5B0%5D=1.1&amp;pickMembers%5B1%5D=3.1</t>
  </si>
  <si>
    <t>GENERATION, LOAD, AND IMPORTS INTO ISO-NE</t>
  </si>
  <si>
    <t>Generation Data outside ISO New England</t>
  </si>
  <si>
    <t>ISO-NE (MSS and IMP)</t>
  </si>
  <si>
    <t>NE-ISO, NY-ISO, Statistics Canada</t>
  </si>
  <si>
    <t>Generation Emissions Tables
Column B of</t>
  </si>
  <si>
    <t>Net Transferred Emissions Tables
Column B of</t>
  </si>
  <si>
    <t>MSS GIS certificates</t>
  </si>
  <si>
    <t xml:space="preserve">MSS, NON &amp; IMP GIS certificates </t>
  </si>
  <si>
    <t>MSS Stay-In-State Emissions
Column B of</t>
  </si>
  <si>
    <t>Generation, Load &amp; Import Data from ISO New England</t>
  </si>
  <si>
    <t xml:space="preserve">Statistics Canada </t>
  </si>
  <si>
    <t>Table 25-10-0020-01 Electric Power, annual generation by class of producer</t>
  </si>
  <si>
    <t>Certificates Settling Out of Province</t>
  </si>
  <si>
    <t>Certificates Settling Out of States/Province</t>
  </si>
  <si>
    <t>state, province and region 
load and generation</t>
  </si>
  <si>
    <t>state, province and region 
generation</t>
  </si>
  <si>
    <t>Net GIS Transfers to and from State</t>
  </si>
  <si>
    <t>MA Import Need [Column H] and State/Province Net Export amounts</t>
  </si>
  <si>
    <t>Exported GHG Emissions from remaining New England states emissions</t>
  </si>
  <si>
    <t>to Determine:
[on Imported Emissions tab]</t>
  </si>
  <si>
    <t>emissions imported into MA [Column R]</t>
  </si>
  <si>
    <t xml:space="preserve">GIS </t>
  </si>
  <si>
    <t>GIS Stay-In-State</t>
  </si>
  <si>
    <t>GIS State/Province Tables</t>
  </si>
  <si>
    <t>GIS Summary Table</t>
  </si>
  <si>
    <t>MWh from:</t>
  </si>
  <si>
    <t>Generation CO2e emissions from these tables are summarized in Column C of the 'State &amp; Province Summary' tab.</t>
  </si>
  <si>
    <t>Emissions in the Net Transfer table are used to adjust each state and province's emissions.</t>
  </si>
  <si>
    <t>The MMBTU values calculated in Column Q are from the GIS tables and the Heat Rate table on the 'GIS' tab as these values are NOT included in the 'GIS' tab's MMBTU Tables.</t>
  </si>
  <si>
    <t>Generation Load Imports</t>
  </si>
  <si>
    <t>Columns B, C, and D consolidate MMBTUs from each NE-ISO meter type (MSS, IMP, and NON) where GIS certificates are settling in a state or province.</t>
  </si>
  <si>
    <t>Together, they allow GIS certificates that are settled or reserved in a state to be treated - from an emissions and load standpoint - as if they were generated in that state.</t>
  </si>
  <si>
    <t>The values in the GIS Tables are a summary of each state's RPS-eligible electricity generation certificates that settled in a retail seller's account or are reserved, by fuel and by state where it settled.</t>
  </si>
  <si>
    <t>Values from the Heat Rate Table and the GIS Tables are combined to give the MMBTU values in the MMBTU Tables.</t>
  </si>
  <si>
    <t>These tables calculate CO2e from GIS certificates from emitting fuels, allowing GIS certificates that are settled or reserved in a state to be treated - from an emissions and load standpoint - as if they were generated in that state.</t>
  </si>
  <si>
    <t>CONSOLIDATED GIS CERTIFICATE HEAT INPUT (MMBTU) TABLES FOR STATES AND PROVINCES</t>
  </si>
  <si>
    <t>MMBTUs from the NON-ISO meters (blue columns) are added to the state that the certificate has settled or been reserved in, but are not subtracted from the generating state since these MWh and their emissions were not included in the 'EIA Form 923' or 'ISO' tabs.</t>
  </si>
  <si>
    <t xml:space="preserve">The MMBTU values from the 'GIS Heat Input' tab are then turned into biogenic and non-biogenic CO2e values on the 'GIS CO2e' tab. </t>
  </si>
  <si>
    <t>The ISO-MSS GIS certificates that settle within the same state they were generated in (grey column in the GIS Tables) are converted into MMBTU values on the 'GIS CO2e' tab, using the Heat Rate Table below.</t>
  </si>
  <si>
    <t>These biogenic and non-biogenic CO2e net totals are then gathered into the CO2e Emissions Summary Table on the 'State &amp; Province Summary' tab, and added to each state's emissions on the 'Imported Emissions' tab.</t>
  </si>
  <si>
    <t>Each state's net generation from certificates is then added to its generation, with ISO-NON generation added to its load totals, to adjust for GIS certificate transfers on the 'Imprted Emissions' tab.</t>
  </si>
  <si>
    <t>In this way, emissions and MWh from each GIS certificate are transferred from the state where they were generated to the state where the certificate settled or was reserved.</t>
  </si>
  <si>
    <t>In the case of a NON-ISO certificate, one MWh is also added to the load of the state where the certificate settled or is reserved.</t>
  </si>
  <si>
    <t>The grey rows show fuels that are either non-emitting or for which no RPS-eligible electricity generating certificates were transferred out of state during this year.</t>
  </si>
  <si>
    <t>The MMBTU values are assigned by EIA fuel code to the 'GIS CO2e' tab.</t>
  </si>
  <si>
    <t>MMBTU TABLES: MMBTUs for emitting fuels types of electricity generating GIS certificates that have settled or been reserved out-of-state.</t>
  </si>
  <si>
    <t>For the Maine Table, the green column includes certificates from both ISO-MSS and ISO-IMP meters (for portions of Maine not in the NE-ISO control area).</t>
  </si>
  <si>
    <t>For the New York, Quebec and Canadian Maritime Provinces Tables, the green column only shows certificates from ISO-IMP meters as all these areas are outside of the NE-ISO control area.</t>
  </si>
  <si>
    <t xml:space="preserve">The fuel-specific MMBTU values in each row are aggragated on the 'GIS Heat Input' tab and converted to CO2e values on the 'GIS CO2e' tab. </t>
  </si>
  <si>
    <t>These CO2e values are summarized in Column D of the the Emissions Summary Table on the 'State &amp; Province Summary' tab.</t>
  </si>
  <si>
    <t>No MMBTUs are shown (in the green and blue columns) for non-emitting certificates that are settled or reserved out of state, since non-emitting certificates have no emissions.</t>
  </si>
  <si>
    <t>Because a portion of Maine is outside of NE-ISO, Maine's generation certificates come from ISO-IMP meters in addition to ISO-MSS and ISO-NON meters.</t>
  </si>
  <si>
    <t>For the New York, Quebec and Canadian Maritime Province Tables, all certificates are from ISO-IMP meters as these areas are outside of the NE-ISO control area.</t>
  </si>
  <si>
    <t>The TOTAL columns are the sum of the ISO-MSS and ISO-NON certificates (and also ISO-IMP certificates in Maine, NY, Canadian Maritime Provinces and Quebec).</t>
  </si>
  <si>
    <t>Some non-RPS eligible ISO-NON electricity generation certificates may have been included since there are very few of them and they seem to be primarily new units that often appear as RPS-eligible in a later quarter.</t>
  </si>
  <si>
    <t>Because the emissions from ISO-NON generation (blue columns in the MMBTU tables) are ultimately added to the state in which the certificate has settled on the 'Imported Emissions' tab, we must also account for the associated generation and load.</t>
  </si>
  <si>
    <t>GIS TABLES</t>
  </si>
  <si>
    <t>MA Electric Load including MA behind-the-meter GIS certificates (MWh)</t>
  </si>
  <si>
    <t>Non-Biogenic GHG Emissions from Electricity Generation including MA net GIS certificate emissions (CO2e lb)</t>
  </si>
  <si>
    <t>MA Electricity Imports after accounting for GIS certificates [Gen-Load] (MWh)</t>
  </si>
  <si>
    <t>Total of State/Region Shortfalls after accounting for GIS certificates [incl. NY, CMP, Q] (MWh)</t>
  </si>
  <si>
    <t>GHG Emissions Exported to MA from Other NE States (excluding emissions from GIS certificates) (lb)</t>
  </si>
  <si>
    <t>GHG Emissions Exported to MA from NY (excluding emissions from GIS certificates) (lb)</t>
  </si>
  <si>
    <t>GHG Emissions Exported to MA from Canadian Maritime Provinces and Quebec (excluding emissions from GIS certificates) (lb)</t>
  </si>
  <si>
    <t>GHG Emissions Exported to MA from Outside NE (excluding emissions from GIS certificates) (lb)</t>
  </si>
  <si>
    <t>Total Non-Biogenic Emissions from Electricity Exported to MA (excluding emissions from GIS certificates) (lb)</t>
  </si>
  <si>
    <t>MA Total Emissions from Electricity Consumption including emissions from MA net GIS certificates (lb)</t>
  </si>
  <si>
    <t>MA-Based Non-Biogenic GHG Emission Rate after accounting for GIS certificates (lb/MWh)</t>
  </si>
  <si>
    <r>
      <t xml:space="preserve">The </t>
    </r>
    <r>
      <rPr>
        <b/>
        <sz val="10"/>
        <rFont val="Arial"/>
        <family val="2"/>
      </rPr>
      <t xml:space="preserve">Emissions Table </t>
    </r>
    <r>
      <rPr>
        <sz val="10"/>
        <rFont val="Arial"/>
        <family val="2"/>
      </rPr>
      <t>consolidates emissions data from the 'Generation CO2e' tab and the 'GIS CO2e' tab; the emissions data are used in calculations on this tab and on the 'Imported Emissions' tab.</t>
    </r>
  </si>
  <si>
    <r>
      <t xml:space="preserve">The </t>
    </r>
    <r>
      <rPr>
        <b/>
        <sz val="10"/>
        <rFont val="Arial"/>
        <family val="2"/>
      </rPr>
      <t>Generation and NEPOOL-GIS Certificates Table</t>
    </r>
    <r>
      <rPr>
        <sz val="10"/>
        <rFont val="Arial"/>
        <family val="2"/>
      </rPr>
      <t xml:space="preserve"> consolidates MWh data from the 'Generation Load Imports' tab and the 'GIS' tab; MWh data are used in calculations on this tab and on the 'Imported Emissions' tab.</t>
    </r>
  </si>
  <si>
    <t>EMISSION RATE TABLE (lbs CO2e/MWh):</t>
  </si>
  <si>
    <t>System Mix Emission Rates</t>
  </si>
  <si>
    <t>State Export Emission Rate [Column I, this tab]</t>
  </si>
  <si>
    <t>MA Electric Load Including MA behind-the-meter GIS certificates and Pumping (MWh)</t>
  </si>
  <si>
    <t>Biogenic CO2 Emissions from Electricity Generation including MA net GIS certificate emissions (lb)</t>
  </si>
  <si>
    <t>Biogenic CO2 Emissions Exported to MA from Other NE States (excluding emissions from GIS certificates) (lb)</t>
  </si>
  <si>
    <t>Biogenic CO2 Emissions Exported to MA from NY (excluding emissions from GIS certificates) (lb)</t>
  </si>
  <si>
    <t>Biogenic CO2 Emissions Exported to MA from Canadian Maritime Provinces and Quebec (excluding emissions from GIS certificates) (lb)</t>
  </si>
  <si>
    <t>Total Biogenic CO2 Emissions from Electricity Exported to MA (excluding emissions from GIS certificates) (lb)</t>
  </si>
  <si>
    <t>MA-Based Biogenic CO2 Emission Rate after accounting for GIS certificates (lb/MWh)</t>
  </si>
  <si>
    <t>Emissions in the two ISO-MSS tables are used to calculate each ISO-NE state's exported emission rate. ISO-NON data is not included because the generation emissions they are adjusting do not usually include emissions from ISO-NON units.</t>
  </si>
  <si>
    <t>No MMBTUs are shown (in the green and blue columns) for System Mix certificates that are settled or reserved in a state since these emissions are calculated directly from a lb CO2e/MWh emission rate.</t>
  </si>
  <si>
    <t>The certificates for New York, New Brunswick and Quebec System Mix fuel types from the GIS Tables are converted into non-biogenic and biogenic CO2e emissions on the 'GIS CO2e' tab using lb CO2e/MWh emission rates (calculated on the 'State &amp; Province Summary' tab).</t>
  </si>
  <si>
    <t>Electric Generation including net GIS certificates (MWh)</t>
  </si>
  <si>
    <t>Electric Load including behind-the-meter GIS certificates (MWh)</t>
  </si>
  <si>
    <t>Electric Load Including behind-the-meter GIS certificates and Pumping (MWh)</t>
  </si>
  <si>
    <t>Net Export after accounting for GIS certificates (MWh)</t>
  </si>
  <si>
    <t>GHG Emissions from Electricity including net GIS certificate emissions (lb)</t>
  </si>
  <si>
    <t>Exported GHG Emissions excluding GIS certificates (lb)</t>
  </si>
  <si>
    <t>Exports into NE minus Imports from NE including GIS certificates (MWh)</t>
  </si>
  <si>
    <t>Net Exports into NE including GIS certificates (MWh)</t>
  </si>
  <si>
    <t>GHG Emissions from Electricity including GIS certificate emissions (lb)</t>
  </si>
  <si>
    <t>Exported GHG Emissions exclduing GIS certificates (lb)</t>
  </si>
  <si>
    <t>Exported GHG Emissions after accounting for GIS certificates (lb)</t>
  </si>
  <si>
    <t>Total NE Generation [except N. ME] including NE GIS certificates (MWh)</t>
  </si>
  <si>
    <t>Total NE Load including NE behind-the-meter-GIS certificates (MWh)</t>
  </si>
  <si>
    <t>Regional Non-Biogenic GHG Emission Factor after accounting for NE GIS certificates (lb/MWh)</t>
  </si>
  <si>
    <r>
      <rPr>
        <i/>
        <u/>
        <sz val="10"/>
        <rFont val="Arial"/>
        <family val="2"/>
      </rPr>
      <t>NON Generation from State</t>
    </r>
    <r>
      <rPr>
        <sz val="10"/>
        <rFont val="Arial"/>
        <family val="2"/>
      </rPr>
      <t xml:space="preserve">
MSS, NON, IMP imported into State
MSS, NON, IMP exported out of State</t>
    </r>
  </si>
  <si>
    <t>State Emission Rates for Exported Emissions (set to zero if MSS emissions exceed generation emissions)</t>
  </si>
  <si>
    <t>emission exported from New England states</t>
  </si>
  <si>
    <r>
      <t xml:space="preserve">The </t>
    </r>
    <r>
      <rPr>
        <b/>
        <sz val="10"/>
        <rFont val="Arial"/>
        <family val="2"/>
      </rPr>
      <t xml:space="preserve">Emission Rate Table </t>
    </r>
    <r>
      <rPr>
        <sz val="10"/>
        <rFont val="Arial"/>
        <family val="2"/>
      </rPr>
      <t>uses data from the Emissions Table and the Generation and NEPOOL-GIS Certificates Table; the rates are used in calculations on the 'GIS CO2e' tab and on the 'Imported Emissions' tab.</t>
    </r>
  </si>
  <si>
    <t>The tables on this tab consolidate the Heat Input data from GIS certificates from emitting fuel types on the 'GIS' tab, by fuel type.</t>
  </si>
  <si>
    <t>THIS TAB CONSISTS OF THREE KINDS OF TABLES: Heat Rate Table [A33:K53], MMBTU Tables [A63:M289], and GIS Tables [P65:AQ300].</t>
  </si>
  <si>
    <t>NON-ISO generation is often 'distibuted' or 'behind-the-meter' generation whose MWh are not accounted for in NE-ISO's annual load and generation reports, and therefore are not included in the 'Generation Load Imports' tab.</t>
  </si>
  <si>
    <t>MWh from the NON-ISO meters are not subtracted from the generating state's generation or emissions since neither the MWh, nor the emissions, were included in the ISO generation or the generation CO2e.</t>
  </si>
  <si>
    <t>MWh from the NON-ISO meters are added to the generation for the state where they settled, and to the load for the state that generated them.</t>
  </si>
  <si>
    <t>Connecticut - CO2e from MSS MMBTUs that settle out of CT</t>
  </si>
  <si>
    <t>New Hampshire - CO2e from MSS MMBTUs that settle out of NH</t>
  </si>
  <si>
    <t>Maine - CO2e from MSS MMBTUs that settle out of ME</t>
  </si>
  <si>
    <t>Massachusetts - CO2e from MSS MMBTUs that settle out of MA</t>
  </si>
  <si>
    <t>Rhode Island - CO2e from MSS MMBTUs that settle out of RI</t>
  </si>
  <si>
    <t>Vermont - CO2e from MSS MMBTUs that settle out of VT</t>
  </si>
  <si>
    <t>MSS Removed-from-State Emissions
Column B of</t>
  </si>
  <si>
    <r>
      <rPr>
        <b/>
        <u/>
        <sz val="12"/>
        <rFont val="Arial"/>
        <family val="2"/>
      </rPr>
      <t>NET TRANSFER GIS EMISSIONS [A14 through N164]</t>
    </r>
    <r>
      <rPr>
        <sz val="12"/>
        <rFont val="Arial"/>
        <family val="2"/>
      </rPr>
      <t xml:space="preserve">: </t>
    </r>
  </si>
  <si>
    <t>MMBTU values from emitting fuels for the ISO-MSS Settle-In-State tables are calculated on this tab in Column Q.</t>
  </si>
  <si>
    <t xml:space="preserve">The MMBTU values from Columns E and H of the 'GIS Heat Input' tab are converted into biogenic and non-biogenic CO2e values on the 'GIS CO2e' tab. </t>
  </si>
  <si>
    <t>The MSS MMBTU value from Column E is then used in the determination of the ISO-NE state's exported emissions.</t>
  </si>
  <si>
    <t>MSS Settle In State</t>
  </si>
  <si>
    <t xml:space="preserve">MSS Settle Out of State </t>
  </si>
  <si>
    <t xml:space="preserve">NMISA Generation (MWh) </t>
  </si>
  <si>
    <t xml:space="preserve">ISO ME Generation (MWh) </t>
  </si>
  <si>
    <t xml:space="preserve">Total ME Generation (MWh) </t>
  </si>
  <si>
    <t>Northern Maine Independent System Administrator (NMISA)</t>
  </si>
  <si>
    <r>
      <rPr>
        <sz val="11"/>
        <color indexed="8"/>
        <rFont val="Arial"/>
        <family val="2"/>
      </rPr>
      <t>Using the dropdown list in</t>
    </r>
    <r>
      <rPr>
        <b/>
        <sz val="11"/>
        <color indexed="53"/>
        <rFont val="Arial"/>
        <family val="2"/>
      </rPr>
      <t xml:space="preserve"> orange</t>
    </r>
    <r>
      <rPr>
        <sz val="11"/>
        <color indexed="8"/>
        <rFont val="Arial"/>
        <family val="2"/>
      </rPr>
      <t>, select</t>
    </r>
    <r>
      <rPr>
        <sz val="11"/>
        <rFont val="Arial"/>
        <family val="2"/>
      </rPr>
      <t xml:space="preserve"> the IPCC report whose Global Warming Potentials you would like to use. Do not edit the </t>
    </r>
    <r>
      <rPr>
        <b/>
        <sz val="11"/>
        <color indexed="55"/>
        <rFont val="Arial"/>
        <family val="2"/>
      </rPr>
      <t>gray</t>
    </r>
    <r>
      <rPr>
        <sz val="11"/>
        <rFont val="Arial"/>
        <family val="2"/>
      </rPr>
      <t xml:space="preserve"> cells.</t>
    </r>
  </si>
  <si>
    <t>WEIGHTED AVG HEAT RATE
(used in Heat Rate Table on 'GIS' tab)</t>
  </si>
  <si>
    <t>MMBTUs from ISO-MSS and ISO-IMP meters (green columns) are then subtracted from the generating state and added to the state the certificate has settled or been reserved in on the 'GIS Heat Input' tab.</t>
  </si>
  <si>
    <t>GIS Tables: A summary of the GIS electricity generation certificates, by NE-ISO state and fuel type, that have settled, or been reserved, in a retail seller's account this year.</t>
  </si>
  <si>
    <t>GIS SUMMARY TABLE</t>
  </si>
  <si>
    <t>The State specific GIS tables are gathered into a GIS Summary Table below which totals the MWh from settled and reserved certificates that are imported into and exported out of each state or province.</t>
  </si>
  <si>
    <t>The GIS Summary Table also totals each state's NON-ISO electricity generation, and the ISO-MSS power that remains in the state it was generated in as well as the ISO-MSS power that leaves a state.</t>
  </si>
  <si>
    <t xml:space="preserve">The GIS certificates in the GIS Summary Table below are included in the Generation &amp; NEPOOL-GIS Table on the 'States &amp; Provinces Summary' tab. </t>
  </si>
  <si>
    <t>The total number of emitting and non-emitting MWhs from certificates that settle or are reserved into each state are found in the state-specific certificate tables in Column P, with the data gathered into a GIS Summary Table at the bottom.</t>
  </si>
  <si>
    <t>The GIS Summary Table totals the MWh from settled and reserved certificates that are imported into and exported out of each state; it also totals each state's NON-ISO generation, the ISO-MSS power that remains in the state it was generated in, and the ISO-MSS power that leaves a state.</t>
  </si>
  <si>
    <t>The GIS Summary Table data is also shown in the Generation and NEPOOL-GIS Certificate Table on the 'State &amp; Province Summary' tab, where each state's net certificate generation is calculated by subtracting its exports from its imports and adding in its adjusted NON-ISO generation.</t>
  </si>
  <si>
    <t xml:space="preserve">This table calculates CO2e from the net GIS certificates (ISO-MSS, ISO-NON and ISO-IMP) from Column H of the 'GIS Heat Input' tab that settle into each state or province. </t>
  </si>
  <si>
    <t>The calculation uses GWPs and fuel-specific emissions factors from the 'GWPs &amp; Fuel EFs' tab, and State- and Province-specific System Mix emissions factors from the 'State &amp; Province Summary' tab.</t>
  </si>
  <si>
    <t>Net CO2e emissions from this table are summarized in Column D of the 'State &amp; Province Summary' tab.</t>
  </si>
  <si>
    <t>This table calculates CO2e from GIS ISO-MSS certificates from Column E of the 'GIS Heat Input' tab that settle out of each state. Emissions are calculated from GWPs and fuel-specific emissions factors from the 'GWPs &amp; Fuel EFs' tab.</t>
  </si>
  <si>
    <t>CO2e emissions from this table are summarized in Column F of the 'State &amp; Province Summary' tab.</t>
  </si>
  <si>
    <t>This table calculates CO2e from GIS ISO-MSS certificates that are generated and settle in the same state. Emissions are calculated from MMBTU values in Column Q, and GWPs and fuel-specific emission factors from the 'GWPs &amp; Fuel EFs' tab.</t>
  </si>
  <si>
    <t>CO2e emissions from this table are summarized in Column E of the 'State &amp; Province Summary' tab.</t>
  </si>
  <si>
    <t>THIS TAB CONSISTS OF THREE GIS EMISSIONS TABLES: Net Transfer [A14:N164], ISO-MSS Emissions Removed-From-State [A172:M278], and ISO-MSS Emissions that Settle-In-State [A287:Q427].</t>
  </si>
  <si>
    <t>New York-EIA Net Generation (MWh)</t>
  </si>
  <si>
    <t>Vermont-EIA Net Generation (MWh)</t>
  </si>
  <si>
    <t>Net Generation Imported into ISO-NE</t>
  </si>
  <si>
    <t>to determine:
[on 'Imported Emissions' tab unless otherwise noted]</t>
  </si>
  <si>
    <t>Emissions for Canadian Provinces use data obtained from Environment Canada, Statistics Canada, NEPOOL-GIS and fuel-specific emission factors from the 'GWPs &amp; Fuel EFs' tab.</t>
  </si>
  <si>
    <t>Unit level CO2 emissions from EPA's Air Markets Program Data for units subject to RGGI and reporting to EPA under 40 CFR Part 75.</t>
  </si>
  <si>
    <t>THIS TAB CONSISTS OF THREE TABLES: Emissions Table [A9:F43], Generation and NEPOOL-GIS Certificates Table [A46:F113], and Emission Rate Table [H9:I43].</t>
  </si>
  <si>
    <t>Canadian Maritime Province Table is comprised of unit-specific certificates from New Brunswick, Nova Scotia and Prince Edward Island, and System Mix certificates from New Brunswick. The ISO-IMP certificates from all three provinces are summed in a TOTAL column.</t>
  </si>
  <si>
    <t>The GIS data ('GIS' and 'GIS CO2e' tabs) include New Brunswick System Mix certificates as well as unit-specific certificates from New Brunswick, Prince Edward Island and Nova Scotia (the Canadian Mariime Provinces whose power comes to ISO-NE through New Brunswick).</t>
  </si>
  <si>
    <t>Emissions from ISO-NON meters are not included because emissions from NON sources are not generally included in Part 75 or EIA 923 data (and therefore are not included in state emissions calculated on 'Generation CO2e' tab.</t>
  </si>
  <si>
    <t>MA-Based and Regional Emission Rates</t>
  </si>
  <si>
    <t>MA- Based and Regional Emission Rates
[Columns T and CT]</t>
  </si>
  <si>
    <t>These MMBTU values represent the MMBTUs of the generating state's fuel-specific certificates. MMBTU values only appear for emitting fuels.</t>
  </si>
  <si>
    <t>In the case of a non-emitting GIS certificate, zero emissions are given to the state where the certificate is settled or reserved, but the state does pick up the MWh for its generation and load.</t>
  </si>
  <si>
    <t>AR4, 100-year</t>
  </si>
  <si>
    <t>AR5, 100-year</t>
  </si>
  <si>
    <t>AR4, 20-year</t>
  </si>
  <si>
    <t>AR5, 20-year</t>
  </si>
  <si>
    <t>https://www.iso-ne.com/search?query=energy%20peak%20by%20source</t>
  </si>
  <si>
    <t>https://www.iso-ne.com/search?query=2019%20generation%20and%20load%20by%20state</t>
  </si>
  <si>
    <t>BHB5</t>
  </si>
  <si>
    <t>Exelon West Medway II</t>
  </si>
  <si>
    <t>J4</t>
  </si>
  <si>
    <t>J5</t>
  </si>
  <si>
    <t>MBTA South Boston Power Facility</t>
  </si>
  <si>
    <t>.</t>
  </si>
  <si>
    <t>megawatthours</t>
  </si>
  <si>
    <t>William F Wyman Hybrid</t>
  </si>
  <si>
    <t>Kendall Green Energy, LLC</t>
  </si>
  <si>
    <t>Nantucket Hybrid</t>
  </si>
  <si>
    <t>Cleary Flood Hybrid</t>
  </si>
  <si>
    <t>Manchester Street, LLC.</t>
  </si>
  <si>
    <t>Block Island Utility District</t>
  </si>
  <si>
    <t>ND Paper, Inc.</t>
  </si>
  <si>
    <t>Woodland Pulp, LLC</t>
  </si>
  <si>
    <t>International Paper Woronoco Mill</t>
  </si>
  <si>
    <t>Community Eco Springfield LLC</t>
  </si>
  <si>
    <t>GR Catalyst Two LLC</t>
  </si>
  <si>
    <t>Rumford Power LLC</t>
  </si>
  <si>
    <t>Terraform Arcadia</t>
  </si>
  <si>
    <t>Bridgeport Fuel Cell, LLC</t>
  </si>
  <si>
    <t>Charlton Solar I CSG</t>
  </si>
  <si>
    <t>Kings Park Solar I</t>
  </si>
  <si>
    <t>DG LF Solar, LLC</t>
  </si>
  <si>
    <t>Kings Park Solar II</t>
  </si>
  <si>
    <t>Exelon West Medway II LLC</t>
  </si>
  <si>
    <t>Antrim Wind</t>
  </si>
  <si>
    <t>Antrim Wind Energy LLC</t>
  </si>
  <si>
    <t>Stafford Hill Solar Hybrid</t>
  </si>
  <si>
    <t>GMP Solar - Panton Hybrid</t>
  </si>
  <si>
    <t>CMEEC - Polaris Park Solar Hybrid</t>
  </si>
  <si>
    <t>CMEEC - Norwich Stott St Solar Hybrid</t>
  </si>
  <si>
    <t>Renew Canal 1 CSG LLC</t>
  </si>
  <si>
    <t>Solar Mule, LLC</t>
  </si>
  <si>
    <t>Hampshire College Hybrid</t>
  </si>
  <si>
    <t>Mt. Tom Solar Project Hybrid</t>
  </si>
  <si>
    <t>DG Haverhill CSG</t>
  </si>
  <si>
    <t>DG Crystal Spring CSG</t>
  </si>
  <si>
    <t>DG Foxborough Elm CSG</t>
  </si>
  <si>
    <t>DG Tufts Science LLC CSG</t>
  </si>
  <si>
    <t>DG Dighton LLC CSG</t>
  </si>
  <si>
    <t>DG Tufts Knoll LLC CSG</t>
  </si>
  <si>
    <t>DG Webster LLC CSG</t>
  </si>
  <si>
    <t>MA Solar Storage 1 Hybrid</t>
  </si>
  <si>
    <t>Hope Farm Solar, LLC</t>
  </si>
  <si>
    <t>Riverhead Solar Farm</t>
  </si>
  <si>
    <t>Greenfield Solar PV</t>
  </si>
  <si>
    <t>Hinsdale Solar PV</t>
  </si>
  <si>
    <t>Savoy Solar PV</t>
  </si>
  <si>
    <t>Southampton Solar PV</t>
  </si>
  <si>
    <t>Springfield Solar PV</t>
  </si>
  <si>
    <t>Hampden Solar PV</t>
  </si>
  <si>
    <t>WED Plainfield II, LLC</t>
  </si>
  <si>
    <t>WED Plainfield III, LLC</t>
  </si>
  <si>
    <t>WED Plainfield, LLC</t>
  </si>
  <si>
    <t>WED GW Solar, LLC</t>
  </si>
  <si>
    <t>WED GW Solar, LLC CSG</t>
  </si>
  <si>
    <t>Palmer</t>
  </si>
  <si>
    <t>KCE NY 1</t>
  </si>
  <si>
    <t>KCE NY 1, LLC</t>
  </si>
  <si>
    <t>Hospital Rd Community Solar Farm CSG</t>
  </si>
  <si>
    <t>Pool Brook Rd Community Solar Farm</t>
  </si>
  <si>
    <t>Generate Capital</t>
  </si>
  <si>
    <t>Breesport Road Community Solar Farm</t>
  </si>
  <si>
    <t>NY Baldwin I, LLC</t>
  </si>
  <si>
    <t>Sacket Lake Rd #2 Community Solar Farm</t>
  </si>
  <si>
    <t>Turner Rd Community Solar Project</t>
  </si>
  <si>
    <t>Hadley 2 Solar, LLC CSG</t>
  </si>
  <si>
    <t>Griffin Road Solar, LLC CSG</t>
  </si>
  <si>
    <t>Ashby Solar, LLC CSG</t>
  </si>
  <si>
    <t>Dudley Solar CSG</t>
  </si>
  <si>
    <t>Williamsburg</t>
  </si>
  <si>
    <t>Ashburnham Energy Storage Project</t>
  </si>
  <si>
    <t>Westminster Renewables, LLC CSG</t>
  </si>
  <si>
    <t>GMP Solar/Storage-Milton Hybrid</t>
  </si>
  <si>
    <t>GMP Solar/Storage-Ferrisburgh Hybrid</t>
  </si>
  <si>
    <t>GMP Solar/Storage-Essex Hybrid</t>
  </si>
  <si>
    <t>Pasto Solar</t>
  </si>
  <si>
    <t>Spencer-Tioga Solar, LLC</t>
  </si>
  <si>
    <t>Daum Solar</t>
  </si>
  <si>
    <t>Middlesex-Yates Solar, LLC</t>
  </si>
  <si>
    <t>Ellis Solar</t>
  </si>
  <si>
    <t>Dryden-Tompkins Solar I, LLC</t>
  </si>
  <si>
    <t>Westminster</t>
  </si>
  <si>
    <t>JLL-One Rockwood Road</t>
  </si>
  <si>
    <t>St. Johns Episcopal Hospital</t>
  </si>
  <si>
    <t>St. Joseph Hospital</t>
  </si>
  <si>
    <t>St. Joseph Hospital (NY)</t>
  </si>
  <si>
    <t>Mt.Sinai-St.Lukes Roosevelt Hosp. Center</t>
  </si>
  <si>
    <t>Mt.Sinai-St.Lukes Rsvlt. Hospital Center</t>
  </si>
  <si>
    <t>Gaskill Rd Community Solar Farm CSG</t>
  </si>
  <si>
    <t>Dryden Rd #2 Community Solar Farm CSG</t>
  </si>
  <si>
    <t>Woodoak Drive Community Solar Farm CSG</t>
  </si>
  <si>
    <t>CMR Solar LLC</t>
  </si>
  <si>
    <t>CMR Solar, LLC</t>
  </si>
  <si>
    <t>Villa Roma Rd #3 CSG</t>
  </si>
  <si>
    <t>Villa Roma Rd #4 CSG</t>
  </si>
  <si>
    <t>Boas Rd #1 Community Solar Farm</t>
  </si>
  <si>
    <t>NY Mooers I, LLC</t>
  </si>
  <si>
    <t>Boas Rd #2 Community Solar Farm</t>
  </si>
  <si>
    <t>NY Mooers II, LLC</t>
  </si>
  <si>
    <t>Boas Rd #3 Community Solar Farm</t>
  </si>
  <si>
    <t>NY Mooers III, LLC</t>
  </si>
  <si>
    <t>Kearsarge Johnstown 1 CSG</t>
  </si>
  <si>
    <t>Kearsarge Johnstown 2 CSG</t>
  </si>
  <si>
    <t>Kearsarge Wilmington</t>
  </si>
  <si>
    <t>Kearsarge Wilmington LLC</t>
  </si>
  <si>
    <t>GD Richmond Buttonwoods I, LLC</t>
  </si>
  <si>
    <t>Jiminy Peak Wind QF</t>
  </si>
  <si>
    <t>Jiminy Peak Mountain Resort, LLC</t>
  </si>
  <si>
    <t>Plainfield Community Solar LLC</t>
  </si>
  <si>
    <t>Plainfield Solar LLC</t>
  </si>
  <si>
    <t>Tolland Solar NG LLC</t>
  </si>
  <si>
    <t>Newfield Community Solar LLC</t>
  </si>
  <si>
    <t>Newfield Solar LLC</t>
  </si>
  <si>
    <t>Beebe Substation Battery Storage</t>
  </si>
  <si>
    <t>Montefiore Mount Vernon Hospital</t>
  </si>
  <si>
    <t>Rockland Bakery Inc.</t>
  </si>
  <si>
    <t>Minuteman Energy Storage</t>
  </si>
  <si>
    <t>Happy Hollow CSG Hybrid</t>
  </si>
  <si>
    <t>DWW Solar ll</t>
  </si>
  <si>
    <t>DWW Solar ll LLC</t>
  </si>
  <si>
    <t>CED Northampton Solar LLC Hybrid</t>
  </si>
  <si>
    <t>Steel Sun 2: 2303-III-9 Hamburg Tpke</t>
  </si>
  <si>
    <t>Steel Sun 2: 2303-III-4 Hamburg Tpke</t>
  </si>
  <si>
    <t>Steel Sun 2: 2303-III-2 Hamburg Tpke</t>
  </si>
  <si>
    <t>Homer Street West</t>
  </si>
  <si>
    <t>Homer Street East</t>
  </si>
  <si>
    <t>MHG Wallingford</t>
  </si>
  <si>
    <t>Standard Solar</t>
  </si>
  <si>
    <t>East Hampton Energy Storage Center</t>
  </si>
  <si>
    <t>East Hampton Energy Storage Center, LLC</t>
  </si>
  <si>
    <t>Montauk Energy Storage Center</t>
  </si>
  <si>
    <t>Montauk Energy Storage Center, LLC</t>
  </si>
  <si>
    <t>Harbec Energy</t>
  </si>
  <si>
    <t>Greenville CSG</t>
  </si>
  <si>
    <t>Hopkinton CSG</t>
  </si>
  <si>
    <t>Chester CSG</t>
  </si>
  <si>
    <t>Carver CSG</t>
  </si>
  <si>
    <t>Westtown CSG</t>
  </si>
  <si>
    <t>Sugarhill Road - Solitude Solar CSG</t>
  </si>
  <si>
    <t>GSPP Devens, LLC</t>
  </si>
  <si>
    <t>Green Street Power Partners</t>
  </si>
  <si>
    <t>GSPP Terrawatt Westfield LLC CSG</t>
  </si>
  <si>
    <t>Ajax Solar, LLC (MA)</t>
  </si>
  <si>
    <t>Podunk Road CSG</t>
  </si>
  <si>
    <t>NY Enfield I LLC</t>
  </si>
  <si>
    <t>Acushnet Ball Plant 2</t>
  </si>
  <si>
    <t>Acushnet</t>
  </si>
  <si>
    <t>Nextsun Energy Littleton</t>
  </si>
  <si>
    <t>Garnet Solar (NY)</t>
  </si>
  <si>
    <t>Coventry Clean Energy Corporation</t>
  </si>
  <si>
    <t>Gardner - Otter River Road</t>
  </si>
  <si>
    <t>Otter River Road Solar LLC</t>
  </si>
  <si>
    <t>GSPP Boxborough Littleton (MA)</t>
  </si>
  <si>
    <t>GSPP Boxborough Littleton, LLC</t>
  </si>
  <si>
    <t>Holiday Hill Community Wind</t>
  </si>
  <si>
    <t>Hinesburg</t>
  </si>
  <si>
    <t>Viridity Energy Solutions, Inc.</t>
  </si>
  <si>
    <t>Kearsarge Gill</t>
  </si>
  <si>
    <t>Kearsarge Gill LLC</t>
  </si>
  <si>
    <t>Burrstone Energy Center</t>
  </si>
  <si>
    <t>Syncarpha Blandford Hybrid CSG</t>
  </si>
  <si>
    <t>Syncarpha Blandford, LLC</t>
  </si>
  <si>
    <t>East Pulaski BESS</t>
  </si>
  <si>
    <t>National Grid</t>
  </si>
  <si>
    <t>Goose Pond Solar</t>
  </si>
  <si>
    <t>LSE Dorado, LLC</t>
  </si>
  <si>
    <t>25 Ashdown Road Solar, LLC</t>
  </si>
  <si>
    <t>RT 52 Walden Solar 1, LLC Hybrid</t>
  </si>
  <si>
    <t>Ransomville Solar 1, LLC</t>
  </si>
  <si>
    <t>Johnstown Solar 1, LLC</t>
  </si>
  <si>
    <t>Hollygrove CSG</t>
  </si>
  <si>
    <t>Guildlerland CSG</t>
  </si>
  <si>
    <t>Howland CSG</t>
  </si>
  <si>
    <t>Gifford CSG</t>
  </si>
  <si>
    <t>Czub CSG</t>
  </si>
  <si>
    <t>Mereand CSG</t>
  </si>
  <si>
    <t>Aegis CSG</t>
  </si>
  <si>
    <t>Pearl CSG</t>
  </si>
  <si>
    <t>Bethlehem Solar</t>
  </si>
  <si>
    <t>Frog Hollow CSG</t>
  </si>
  <si>
    <t>Dover CSG</t>
  </si>
  <si>
    <t>Strauss CSG</t>
  </si>
  <si>
    <t>Ellsworth I CSG</t>
  </si>
  <si>
    <t>West Street Solar 1 LLC</t>
  </si>
  <si>
    <t>VPPSA Project 10</t>
  </si>
  <si>
    <t>Vermont Public Power Supply Authority</t>
  </si>
  <si>
    <t>Battle Creek Solar</t>
  </si>
  <si>
    <t>Middleton Solar Park</t>
  </si>
  <si>
    <t>HG Solar Development, LLC</t>
  </si>
  <si>
    <t>Knaggs Brothers Farm</t>
  </si>
  <si>
    <t>Dynamic Energy Solutions, LLC</t>
  </si>
  <si>
    <t>Brookfield Wire Company</t>
  </si>
  <si>
    <t>Kings Plaza Total Energy Plant (TEP)</t>
  </si>
  <si>
    <t>Veolia North America</t>
  </si>
  <si>
    <t>Sherman Solar</t>
  </si>
  <si>
    <t>Jackson Solar (CT)</t>
  </si>
  <si>
    <t>Becton Canaan</t>
  </si>
  <si>
    <t>DG Northeast 1, LLC</t>
  </si>
  <si>
    <t>Barneveld Solar</t>
  </si>
  <si>
    <t>Natick Mall</t>
  </si>
  <si>
    <t>Grand Prix Solar</t>
  </si>
  <si>
    <t>Diamond Properties</t>
  </si>
  <si>
    <t>100 Brook Hill Drive Solar</t>
  </si>
  <si>
    <t>Hobart &amp; William Smith College Gates Rd.</t>
  </si>
  <si>
    <t>Ticket Network South Windsor</t>
  </si>
  <si>
    <t>Corbin Russwin Phase 3 Berlin</t>
  </si>
  <si>
    <t>GSPP Gilman, LLC</t>
  </si>
  <si>
    <t>Riley Road LLC</t>
  </si>
  <si>
    <t>Hope Solar Farm LLC</t>
  </si>
  <si>
    <t>Catlin Solar 1 LLC</t>
  </si>
  <si>
    <t>Saratoga Solar LLC</t>
  </si>
  <si>
    <t>CP Middletown Solar I LLC</t>
  </si>
  <si>
    <t>CP Middletown Solar II LLC</t>
  </si>
  <si>
    <t>Kearsarge Amesbury Hybrid</t>
  </si>
  <si>
    <t>Kearsarge Amesbury LLC</t>
  </si>
  <si>
    <t>Pearl II</t>
  </si>
  <si>
    <t>Macedon</t>
  </si>
  <si>
    <t>Whittier</t>
  </si>
  <si>
    <t>Williamson</t>
  </si>
  <si>
    <t>Bennett</t>
  </si>
  <si>
    <t>UB Fuel Cell</t>
  </si>
  <si>
    <t>Chenango Solar</t>
  </si>
  <si>
    <t>Calabro Airport North Solar Project</t>
  </si>
  <si>
    <t>Calabro Airport South Solar Project</t>
  </si>
  <si>
    <t>Mohonasen Central School District</t>
  </si>
  <si>
    <t>Solar Star Prime 1 LLC</t>
  </si>
  <si>
    <t>St. Joseph's Solar, LLC CSG</t>
  </si>
  <si>
    <t>38 Degrees North, LLC</t>
  </si>
  <si>
    <t>Boutillier Solar, LLC CSG</t>
  </si>
  <si>
    <t>Blair Wire Village Solar, LLC CSG</t>
  </si>
  <si>
    <t>Barton Acres Solar, LLC CSG</t>
  </si>
  <si>
    <t>Cherry Valley Solar, LLC CSG</t>
  </si>
  <si>
    <t>ISM Solar Dighton 2, LLC CSG</t>
  </si>
  <si>
    <t>Incom Solar, LLC CSG</t>
  </si>
  <si>
    <t>JH Solar, LLC CSG</t>
  </si>
  <si>
    <t>Woodchuck Solar, LLC CSG</t>
  </si>
  <si>
    <t>Dudley River 3 Solar, LLC CSG</t>
  </si>
  <si>
    <t>Dudley River 2 Solar, LLC CSG</t>
  </si>
  <si>
    <t>Dudley River Solar, LLC CSG</t>
  </si>
  <si>
    <t>Ledeaux Solar, LLC CSG</t>
  </si>
  <si>
    <t>Cohasse Solar, LLC CSG</t>
  </si>
  <si>
    <t>Palombo Solar, LLC CSG</t>
  </si>
  <si>
    <t>Palombo B Solar, LLC CSG</t>
  </si>
  <si>
    <t>One Patriot</t>
  </si>
  <si>
    <t>SDM000 Clarkson Fuel Cell</t>
  </si>
  <si>
    <t>2016 ESA Project Company, LLC</t>
  </si>
  <si>
    <t>NHH003 Clarkson Fuel Cell</t>
  </si>
  <si>
    <t>NHH004 Winthrop Fuel Cell</t>
  </si>
  <si>
    <t>Bowden Solar LLC</t>
  </si>
  <si>
    <t>38DN Power Fund 1 LLC</t>
  </si>
  <si>
    <t>University Solar, LLC</t>
  </si>
  <si>
    <t>Lakeville Solar</t>
  </si>
  <si>
    <t>C2 MA Lakeville, LLC</t>
  </si>
  <si>
    <t>Norwalk Hospital Plant</t>
  </si>
  <si>
    <t>Norwalk Hospital</t>
  </si>
  <si>
    <t>Oak Street Solar</t>
  </si>
  <si>
    <t>Cranberry Solar</t>
  </si>
  <si>
    <t>GWE Cranberry Solar RT, LLC</t>
  </si>
  <si>
    <t>Mount Hope East</t>
  </si>
  <si>
    <t>Mount Hope Solar 1 LLC</t>
  </si>
  <si>
    <t>Bluestone</t>
  </si>
  <si>
    <t>Bluestone Solar LLC</t>
  </si>
  <si>
    <t>Underhill</t>
  </si>
  <si>
    <t>Underhill Solar LLC</t>
  </si>
  <si>
    <t>Grabinski</t>
  </si>
  <si>
    <t>Grabinski Solar LLC</t>
  </si>
  <si>
    <t>Adirondack Solar</t>
  </si>
  <si>
    <t>NY - CSG - Ellsworth II</t>
  </si>
  <si>
    <t>EIA is now Cleary Flood Hybrid</t>
  </si>
  <si>
    <t>EIA Wyman Hybrid - but battery separate</t>
  </si>
  <si>
    <t>annual values as reported to FLIGHT</t>
  </si>
  <si>
    <t>Cogen</t>
  </si>
  <si>
    <t>Pumping / Charging Load</t>
  </si>
  <si>
    <t>https://www.govinfo.gov/content/pkg/FR-2016-12-09/pdf/2016-28564.pdf</t>
  </si>
  <si>
    <t>https://www.ipcc.ch/site/assets/uploads/2019/06/2019-Refinement_Energy_SBSTA-IPCC_Special-Event.pdf</t>
  </si>
  <si>
    <t>2019 Refinement: All changes made to Fugitive Emission factors, none to Stationary Combustion</t>
  </si>
  <si>
    <t>FC NG</t>
  </si>
  <si>
    <t>Fuel cell (Natural Gas)</t>
  </si>
  <si>
    <t>FC (Prime Mover) NG</t>
  </si>
  <si>
    <t>fuel cell natural gas</t>
  </si>
  <si>
    <t>natural gas (without fuel cell natural gas)</t>
  </si>
  <si>
    <t>lbs CO2/MWh</t>
  </si>
  <si>
    <t>lbs CO2</t>
  </si>
  <si>
    <t>FUEL CELL Natural Gas</t>
  </si>
  <si>
    <t>Catalog of CHP Technologies, Section 6. Technology Characterization – Fuel Cells (epa.gov)</t>
  </si>
  <si>
    <t>Source (page 6-19):</t>
  </si>
  <si>
    <t>Non-Combustion Emission Factor from Fuel Cells</t>
  </si>
  <si>
    <t xml:space="preserve">CO2 emission factor for FC NG </t>
  </si>
  <si>
    <t>Emission factor is the average of 5 fuel cell system types, with and without heat recovery.</t>
  </si>
  <si>
    <t>The Quantity, MMBTU and MWh totals for Fuel Cell Natural Gas below are subtracted from the natural gas totals from each relevant state above, so that they are not included in the state's natural gas combustion emissions on the Generation CO2e tab or heat rates on the GIS tab. Non-combustion process emissions of CO2 from Fuel Cells using natural gas are calculated separately on the Generation CO2e tab.</t>
  </si>
  <si>
    <t>The calculation of non-combustion CO2 emissions from fuel cells using natural gas (for CT and MA) are calculated from the MWh value on the 'GIS' tab instead of the MMBTU value in Column Q.</t>
  </si>
  <si>
    <t>A net MMBTU value from all ISO meter types for each state and province is provided in Column H.</t>
  </si>
  <si>
    <t>For details on the conversion of the GIS certificates from emitting fuels into MMBTUs, see the 'GIS' tab. Consolidation of the MMBTUs from the 'GIS' tab takes place on the 'GIS Heat Input' tab prior to being used here.</t>
  </si>
  <si>
    <r>
      <rPr>
        <b/>
        <u/>
        <sz val="12"/>
        <rFont val="Arial"/>
        <family val="2"/>
      </rPr>
      <t>ISO-MSS EMISSIONS REMOVED-FROM-STATE [A172 through N278]</t>
    </r>
    <r>
      <rPr>
        <sz val="12"/>
        <rFont val="Arial"/>
        <family val="2"/>
      </rPr>
      <t xml:space="preserve">: </t>
    </r>
  </si>
  <si>
    <r>
      <rPr>
        <b/>
        <u/>
        <sz val="12"/>
        <rFont val="Arial"/>
        <family val="2"/>
      </rPr>
      <t>ISO-MSS EMISSIONS THAT SETTLE-IN-STATE [A288 through Q428]</t>
    </r>
    <r>
      <rPr>
        <sz val="12"/>
        <rFont val="Arial"/>
        <family val="2"/>
      </rPr>
      <t xml:space="preserve">: </t>
    </r>
  </si>
  <si>
    <t>Bellingham Power Generation LLC</t>
  </si>
  <si>
    <t>Blackstone Power Generation LLC</t>
  </si>
  <si>
    <t>Cricket Valley Energy Center</t>
  </si>
  <si>
    <t>U001</t>
  </si>
  <si>
    <t>U002</t>
  </si>
  <si>
    <t>U003</t>
  </si>
  <si>
    <t>GenOn Bowline, LLC</t>
  </si>
  <si>
    <t>Mongaup Falls</t>
  </si>
  <si>
    <t>Eagle Creek Renewable Energy, LLC</t>
  </si>
  <si>
    <t>Town of Marblehead - (MA)</t>
  </si>
  <si>
    <t>Central Rivers Power US, LLC</t>
  </si>
  <si>
    <t>Red Shield Envir Old Town Facility</t>
  </si>
  <si>
    <t>Hydroland Omega LLC</t>
  </si>
  <si>
    <t>Clear Energy Capital, LLC</t>
  </si>
  <si>
    <t>Ryegate Associates, LLC</t>
  </si>
  <si>
    <t>Pixelle Androscoggin LLC</t>
  </si>
  <si>
    <t>Millennium Power Company, LLC</t>
  </si>
  <si>
    <t>Essential Power Operating Services, LLC</t>
  </si>
  <si>
    <t>Evergreen Wind, LLC</t>
  </si>
  <si>
    <t>Clinton</t>
  </si>
  <si>
    <t>Valcour Operating Services, LLC</t>
  </si>
  <si>
    <t>Ellenburg</t>
  </si>
  <si>
    <t>Bliss</t>
  </si>
  <si>
    <t>Altona</t>
  </si>
  <si>
    <t>Wethersfield</t>
  </si>
  <si>
    <t>Chateaugay</t>
  </si>
  <si>
    <t>Onward Energy</t>
  </si>
  <si>
    <t>Cricket Valley Energy</t>
  </si>
  <si>
    <t>Cricket Valley Energy Center LLC</t>
  </si>
  <si>
    <t>Chautauqua Green Energy, LLC</t>
  </si>
  <si>
    <t>Longroad Energy Services 2</t>
  </si>
  <si>
    <t>Mashpee Landfill Solar</t>
  </si>
  <si>
    <t>CVI CleanCapital Solar 6</t>
  </si>
  <si>
    <t>Soltage VUL 1600 Chemung, LLC</t>
  </si>
  <si>
    <t>Southern Sky Renewable Energy Berkley, LLC</t>
  </si>
  <si>
    <t>CVI CleanCapital Solar 7</t>
  </si>
  <si>
    <t>AEP Onsite Partners, LLC</t>
  </si>
  <si>
    <t>St. Lawrence University - Sutton</t>
  </si>
  <si>
    <t>CVI Renewables Holdings, LLC.</t>
  </si>
  <si>
    <t>Kelly Bridge Road Community Solar Farm</t>
  </si>
  <si>
    <t>Sacket Lake Rd #1 Community Solar Farm</t>
  </si>
  <si>
    <t>Mount Sinai South Nassau Hospital</t>
  </si>
  <si>
    <t>Washington St Community Solar Farm #4</t>
  </si>
  <si>
    <t>Washington St Community Solar Farm #1</t>
  </si>
  <si>
    <t>Washington St Community Solar Farm #3</t>
  </si>
  <si>
    <t>Burritt Rd Community Solar Farm</t>
  </si>
  <si>
    <t>Frey Rd #1 Community Solar Farm</t>
  </si>
  <si>
    <t>KSI II Consolidated, LLC</t>
  </si>
  <si>
    <t>County Route 11 Community Solar Farm</t>
  </si>
  <si>
    <t>Furnace Rd Community Solar Farm</t>
  </si>
  <si>
    <t>Frey Rd #2 Community Solar Farm</t>
  </si>
  <si>
    <t>Villa Roma Rd #1</t>
  </si>
  <si>
    <t>Villa Roma Rd #2</t>
  </si>
  <si>
    <t>Boas Rd #4 Community Solar Farm</t>
  </si>
  <si>
    <t>GD West Greenwich Victory I, LLC</t>
  </si>
  <si>
    <t>REA Investments, LLC</t>
  </si>
  <si>
    <t>Bridgewater Complex Co-Generation Plant</t>
  </si>
  <si>
    <t>Massachusetts Department of Correction</t>
  </si>
  <si>
    <t>Hickory Grove #1</t>
  </si>
  <si>
    <t>Hickory Grove #1 LLC</t>
  </si>
  <si>
    <t>Hickory Grove #2</t>
  </si>
  <si>
    <t>Chambers Road Solar</t>
  </si>
  <si>
    <t>Chambers Road Solar LLC</t>
  </si>
  <si>
    <t>Town of Burrillville Solar CSG</t>
  </si>
  <si>
    <t>Syncarpha Halifax Hybrid CSG</t>
  </si>
  <si>
    <t>Syncarpha Halifax, LLC</t>
  </si>
  <si>
    <t>Syncarpha Northampton Hybrid CSG</t>
  </si>
  <si>
    <t>Syncarpha Northampton, LLC</t>
  </si>
  <si>
    <t>Finchville Solar, LLC Hybrid CSG</t>
  </si>
  <si>
    <t>Cronin Road Solar 1, LLC CSG Hybrid</t>
  </si>
  <si>
    <t>Howell CSG</t>
  </si>
  <si>
    <t>Allis Medina Solar LLC CSG</t>
  </si>
  <si>
    <t>Beals Medina Solar LLC CSG</t>
  </si>
  <si>
    <t>Weaver Wind</t>
  </si>
  <si>
    <t>Longroad Energy Services LLC</t>
  </si>
  <si>
    <t>Hopkins Hill CSG</t>
  </si>
  <si>
    <t>AES Tonawanda Solar LLC</t>
  </si>
  <si>
    <t>Hopkinton Phase 2</t>
  </si>
  <si>
    <t>Vista Solar, Inc.</t>
  </si>
  <si>
    <t>NY 26 Carthage CSG</t>
  </si>
  <si>
    <t>Sydney Solar</t>
  </si>
  <si>
    <t>Dickinson Solar (CT)</t>
  </si>
  <si>
    <t>Plainfield Solar 2</t>
  </si>
  <si>
    <t>Partridge Hill Solar Hybrid</t>
  </si>
  <si>
    <t>South Windsor Fuel Cell</t>
  </si>
  <si>
    <t>South Energy Investments LLC</t>
  </si>
  <si>
    <t>Sutton Solar 2, LLC CSG</t>
  </si>
  <si>
    <t>Sutton Solar 2, LLC</t>
  </si>
  <si>
    <t>Lansing Renewables, LLC</t>
  </si>
  <si>
    <t>Hales Mills Solar, LLC</t>
  </si>
  <si>
    <t>Owlville Creek Solar 2, LLC</t>
  </si>
  <si>
    <t>Owlville Creek Solar, LLC</t>
  </si>
  <si>
    <t>Solar Planet Power</t>
  </si>
  <si>
    <t>Greenwich Solar 1, LLC CSG</t>
  </si>
  <si>
    <t>Middletown Solar 1, LLC Hybrid CSG</t>
  </si>
  <si>
    <t>Hurteau Solar Project Hybrid</t>
  </si>
  <si>
    <t>Alicea Solar Project Hybrid CSG</t>
  </si>
  <si>
    <t>McDougle-Mitchell Solar Project Hybrid CSG</t>
  </si>
  <si>
    <t>Cycz Solar Project CSG Hybrid</t>
  </si>
  <si>
    <t>West A&amp;B Solar Project Hybrid CSG</t>
  </si>
  <si>
    <t>Annese Solar Project Hybrid CSG</t>
  </si>
  <si>
    <t>Amazon BDL3 Solar Project</t>
  </si>
  <si>
    <t>Nutmeg Solar</t>
  </si>
  <si>
    <t>Nutmeg Solar LLC</t>
  </si>
  <si>
    <t>Sanford Solar</t>
  </si>
  <si>
    <t>Sanford Airport Solar, LLC</t>
  </si>
  <si>
    <t>MSAP 13</t>
  </si>
  <si>
    <t>MSAP 13, LLC</t>
  </si>
  <si>
    <t>ISM Solar Cranston CSG</t>
  </si>
  <si>
    <t>Mount Hope West</t>
  </si>
  <si>
    <t>Mount Hope Solar 2 LLC</t>
  </si>
  <si>
    <t>NY- CSG- Johnstown 2</t>
  </si>
  <si>
    <t>NY- CSG- Livingston 4</t>
  </si>
  <si>
    <t>Partridgeville Hybrid CSG</t>
  </si>
  <si>
    <t>Partridgeville Road Solar 1, LLC</t>
  </si>
  <si>
    <t>Medusa NY 1</t>
  </si>
  <si>
    <t>Medusa NY 1, LLC</t>
  </si>
  <si>
    <t>Walden NY 1</t>
  </si>
  <si>
    <t>Walden NY 1, LLC</t>
  </si>
  <si>
    <t>Westtown NY 2</t>
  </si>
  <si>
    <t>Westtown NY 2, LLC</t>
  </si>
  <si>
    <t>Middletown NY 1</t>
  </si>
  <si>
    <t>Middletown NY 1, LLC</t>
  </si>
  <si>
    <t>Westerlo NY 1</t>
  </si>
  <si>
    <t>Westerlo NY 1, LLC</t>
  </si>
  <si>
    <t>East Brookfield Main Street Solar LLC CSG</t>
  </si>
  <si>
    <t>GD Hopkinton Main I, LLC</t>
  </si>
  <si>
    <t>Sunpin Blandford</t>
  </si>
  <si>
    <t>Blandford Sun, LLC</t>
  </si>
  <si>
    <t>Blackhorse Farm Solar, LLC CSG</t>
  </si>
  <si>
    <t>Erving CSG</t>
  </si>
  <si>
    <t>Erving Poplar Mountain Solar 1, LLC</t>
  </si>
  <si>
    <t>Easthampton CSG</t>
  </si>
  <si>
    <t>Easthampton Park Solar 1, LLC</t>
  </si>
  <si>
    <t>Pine Hill</t>
  </si>
  <si>
    <t>28 Livermore Hill Road Solar</t>
  </si>
  <si>
    <t>28 Livermore Hill Road Solar, LLC</t>
  </si>
  <si>
    <t>Brick Church Solar</t>
  </si>
  <si>
    <t>Brick Church Solar 1, LLC</t>
  </si>
  <si>
    <t>Kenmare - Sullivan Community College</t>
  </si>
  <si>
    <t>Wappinger 9D Solar</t>
  </si>
  <si>
    <t>Wappinger 9D Solar, LLC</t>
  </si>
  <si>
    <t>Montague Road Solar</t>
  </si>
  <si>
    <t>Montague Road Solar, LLC</t>
  </si>
  <si>
    <t>Off Airport Road - West</t>
  </si>
  <si>
    <t>Off Airport Road - West, LLC</t>
  </si>
  <si>
    <t>Fitchburg Renewables</t>
  </si>
  <si>
    <t>Fitchburg Renewables, LLC</t>
  </si>
  <si>
    <t>6140 Route 209 - North</t>
  </si>
  <si>
    <t>6140 Route 209 - North, LLC</t>
  </si>
  <si>
    <t>Pittsfield Solar LLC</t>
  </si>
  <si>
    <t>Pittsfiled Solar LLC</t>
  </si>
  <si>
    <t>Blanchard Road 1 Community Solar</t>
  </si>
  <si>
    <t>OYA Blanchard Road LLC</t>
  </si>
  <si>
    <t>North Providence</t>
  </si>
  <si>
    <t>Captona N.P. LLC</t>
  </si>
  <si>
    <t>Blanchard Road 2 Community Solar</t>
  </si>
  <si>
    <t>OYA Blanchard Road 2 LLC</t>
  </si>
  <si>
    <t>NYS Rte 12 Community Solar</t>
  </si>
  <si>
    <t>OYA NYS Rte 12 LLC</t>
  </si>
  <si>
    <t>Moore Road Community Solar</t>
  </si>
  <si>
    <t>OYA 2643 Moore Road LLC</t>
  </si>
  <si>
    <t>Great Lakes Seaway Community Solar</t>
  </si>
  <si>
    <t>OYA Great Lakes Seaway LLC</t>
  </si>
  <si>
    <t>GE 19th Hole</t>
  </si>
  <si>
    <t>DG New York Solar, LLC</t>
  </si>
  <si>
    <t>Canton</t>
  </si>
  <si>
    <t>Captona Canton LLC</t>
  </si>
  <si>
    <t>Gold Meadow Farms</t>
  </si>
  <si>
    <t>Captona Lippitt Ave Cranston LLC</t>
  </si>
  <si>
    <t>Ravenbrook</t>
  </si>
  <si>
    <t>Captona Ravenbrook LLC</t>
  </si>
  <si>
    <t>Hudson</t>
  </si>
  <si>
    <t>Captona Hudson LLC</t>
  </si>
  <si>
    <t>A Street 2</t>
  </si>
  <si>
    <t>Captona A Street 2 Johnston LLC</t>
  </si>
  <si>
    <t>Berkley</t>
  </si>
  <si>
    <t>Captona Berkley LLC</t>
  </si>
  <si>
    <t>Kilvert</t>
  </si>
  <si>
    <t>Captona Kilvert Street Warwick LLC</t>
  </si>
  <si>
    <t>A Street 1</t>
  </si>
  <si>
    <t>Captona A Street 1 Johnston LLC</t>
  </si>
  <si>
    <t>Carver</t>
  </si>
  <si>
    <t>Captona Carver LLC</t>
  </si>
  <si>
    <t>Plainfield Pike</t>
  </si>
  <si>
    <t>Captona Plainfield Pike Johnston LLC</t>
  </si>
  <si>
    <t>Chicopee</t>
  </si>
  <si>
    <t>Captona Chicopee LLC</t>
  </si>
  <si>
    <t>County Road 16</t>
  </si>
  <si>
    <t>Kenmare - Mansfield Branch Street</t>
  </si>
  <si>
    <t>Bloom-Altice Fuel Cell</t>
  </si>
  <si>
    <t>Newton Rumford Landfill</t>
  </si>
  <si>
    <t>Newton Municipal Solar LLC - Rumford</t>
  </si>
  <si>
    <t>Hadley 3 Solar (North)</t>
  </si>
  <si>
    <t>Hadley 3 Solar, LLC (North)</t>
  </si>
  <si>
    <t>Hadley 3 Solar (South)</t>
  </si>
  <si>
    <t>Hadley 3 Solar, LLC (South)</t>
  </si>
  <si>
    <t>Lawrence Brook</t>
  </si>
  <si>
    <t>Corning Riverview (CSG)</t>
  </si>
  <si>
    <t>Corning Riverview Project</t>
  </si>
  <si>
    <t>WED Coventry Seven, LLC</t>
  </si>
  <si>
    <t>GD Glocester White Oak I, LLC</t>
  </si>
  <si>
    <t>Orbit Bloom Fuel Cell</t>
  </si>
  <si>
    <t>DG Fuel Cell, LLC</t>
  </si>
  <si>
    <t>Plainfield Solar 1</t>
  </si>
  <si>
    <t>Signature Breads Chelsea</t>
  </si>
  <si>
    <t>IXYS - Beverly</t>
  </si>
  <si>
    <t>IXYS Integrated Circuits Division, LLC</t>
  </si>
  <si>
    <t>Georges River Energy</t>
  </si>
  <si>
    <t>Wilbraham</t>
  </si>
  <si>
    <t>BWC East Brook, LLC</t>
  </si>
  <si>
    <t>Elm Street</t>
  </si>
  <si>
    <t>ISM Solar Dighton 3, LLC</t>
  </si>
  <si>
    <t>Sunvestment Energy Group NY 63 LLC</t>
  </si>
  <si>
    <t>Breckenridge Solar</t>
  </si>
  <si>
    <t>Breckenridge Street Solar 1, LLC</t>
  </si>
  <si>
    <t>Rounseville Solar</t>
  </si>
  <si>
    <t>Rounseville Solar 1, LLC</t>
  </si>
  <si>
    <t>Wilmarth Solar</t>
  </si>
  <si>
    <t>Wilmarth Lane Solar 1, LLC</t>
  </si>
  <si>
    <t>County of Dutchess, NY (Airport)</t>
  </si>
  <si>
    <t>Merrimack Solar Farm, LLC</t>
  </si>
  <si>
    <t>Merrimack Solar Farm</t>
  </si>
  <si>
    <t>Stamford Health</t>
  </si>
  <si>
    <t>Stamford Health Systems, Inc.</t>
  </si>
  <si>
    <t>Troupsburg</t>
  </si>
  <si>
    <t>Smithfield Solar Farm, LLC</t>
  </si>
  <si>
    <t>Smithfield Solar Farm</t>
  </si>
  <si>
    <t>Dudley</t>
  </si>
  <si>
    <t>AMP MA Dudley</t>
  </si>
  <si>
    <t>Joe Jenny</t>
  </si>
  <si>
    <t>AMP MA Joe Jenny</t>
  </si>
  <si>
    <t>Westport Community Solar Garden</t>
  </si>
  <si>
    <t>BWC Bass River LLC</t>
  </si>
  <si>
    <t>Mendon</t>
  </si>
  <si>
    <t>BWC Box Pond LLC</t>
  </si>
  <si>
    <t>Dover</t>
  </si>
  <si>
    <t>BWC Buckmaster Pond LLC</t>
  </si>
  <si>
    <t>Adirondack A+B Community Solar Garden</t>
  </si>
  <si>
    <t>BWC Connecticut River LLC</t>
  </si>
  <si>
    <t>Westport B Community Solar Garden</t>
  </si>
  <si>
    <t>BWC Hamilton Brook LLC</t>
  </si>
  <si>
    <t>TPE Hopkins Solar Holdings1, LLC</t>
  </si>
  <si>
    <t>Alton Road Solar</t>
  </si>
  <si>
    <t>Revity Energy LLC</t>
  </si>
  <si>
    <t>Goldman Sachs Carports Solar</t>
  </si>
  <si>
    <t>Fuel Cell 18A Sneden Avenue</t>
  </si>
  <si>
    <t>Annadale Community Clean Energy Projects LLC</t>
  </si>
  <si>
    <t>Fuel Cell 18B Sneden Avenue</t>
  </si>
  <si>
    <t>FDX010.0 FedEx Fuel Cell</t>
  </si>
  <si>
    <t>ISO New England - Energy, Load, and Demand Reports (iso-ne.com)</t>
  </si>
  <si>
    <t>10/12/21 - no update.</t>
  </si>
  <si>
    <t>landfill gas (methane)</t>
  </si>
  <si>
    <t>MA Electric Generation including MA net GIS certificates (MWh)</t>
  </si>
  <si>
    <t>from MA to CT</t>
  </si>
  <si>
    <t>NET=ALLin-MSSout</t>
  </si>
  <si>
    <t xml:space="preserve">Fuel cell (Natural Gas) non-combustion CO2 emissions are calculated directly from MWh (certificates) instead of MMBTUs so the heat rate values remain blank. </t>
  </si>
  <si>
    <t>Vineyard Reliability LLC</t>
  </si>
  <si>
    <t>PSEG- Provport Coal Storage</t>
  </si>
  <si>
    <t>MATEP LLC</t>
  </si>
  <si>
    <t>Herkimer</t>
  </si>
  <si>
    <t>ECOsponsible LLC</t>
  </si>
  <si>
    <t>NewYork-Presbyterian Brooklyn Methodist Hospital</t>
  </si>
  <si>
    <t>Henkel U.S. Operations Corporation</t>
  </si>
  <si>
    <t>NexteraEnergy</t>
  </si>
  <si>
    <t>Cassadaga Wind Farm</t>
  </si>
  <si>
    <t>Excelsior Energy Capital</t>
  </si>
  <si>
    <t>631-56 Airport Owner, LLC</t>
  </si>
  <si>
    <t>Concord New Energy</t>
  </si>
  <si>
    <t>Anaergia</t>
  </si>
  <si>
    <t>Salem Harbor Power Development LP</t>
  </si>
  <si>
    <t>AIS Solar Project</t>
  </si>
  <si>
    <t>Roaring Brook, LLC</t>
  </si>
  <si>
    <t>DG Haverhill</t>
  </si>
  <si>
    <t>DG Foxborough Elm</t>
  </si>
  <si>
    <t>West Brookfield Solar - Gilbertsville Rd (CSG)</t>
  </si>
  <si>
    <t>DG Tufts Science, LLC</t>
  </si>
  <si>
    <t>DG Dighton, LLC</t>
  </si>
  <si>
    <t>DG Tufts Knoll, LLC</t>
  </si>
  <si>
    <t>DG Webster, LLC</t>
  </si>
  <si>
    <t>Adapture Renewables, Inc.</t>
  </si>
  <si>
    <t>Gloversville Landfill Solar</t>
  </si>
  <si>
    <t>Gloversville Community Solar LLC</t>
  </si>
  <si>
    <t>Big Tree Community Solar Farm</t>
  </si>
  <si>
    <t>Telegraph Rd #1 Community Solar Farm</t>
  </si>
  <si>
    <t>Telegraph Rd #2 Community Solar Farm</t>
  </si>
  <si>
    <t>Route 22 Community Solar Farm CSG</t>
  </si>
  <si>
    <t>Nautilus Goat Island Solar LLC (CSG)</t>
  </si>
  <si>
    <t>10 Briggs Solar NG, LLC (East)</t>
  </si>
  <si>
    <t>SolRiver Capital LLC</t>
  </si>
  <si>
    <t>98th Street Battery Storage Station</t>
  </si>
  <si>
    <t>RoxWind</t>
  </si>
  <si>
    <t>RoxWind LLC</t>
  </si>
  <si>
    <t>Syncarpha Puddon I Hybrid CSG</t>
  </si>
  <si>
    <t>Syncarpha Puddon I, LLC</t>
  </si>
  <si>
    <t>Syncarpha Puddon II Hybrid CSG</t>
  </si>
  <si>
    <t>Syncarpha Puddon II, LLC</t>
  </si>
  <si>
    <t>Syncarpha Leicester Hybrid CSG</t>
  </si>
  <si>
    <t>Syncarpha Leicester, LLC</t>
  </si>
  <si>
    <t>Syncarpha Northbridge I Hybrid(CSG)</t>
  </si>
  <si>
    <t>Syncarpha Northbridge I, LLC</t>
  </si>
  <si>
    <t>Syncarpha Northbridge II Hybrid CSG</t>
  </si>
  <si>
    <t>Syncarpha Northbridge II, LLC</t>
  </si>
  <si>
    <t>Lane Ave Solar LLC</t>
  </si>
  <si>
    <t>Ryan Road Solar LLC Hybrid(CSG)</t>
  </si>
  <si>
    <t>W. Orange Rd Solar LLC</t>
  </si>
  <si>
    <t>Wilbur Woods Solar LLC</t>
  </si>
  <si>
    <t>Granby Solar, LLC CSG</t>
  </si>
  <si>
    <t>Granby Solar, LLC</t>
  </si>
  <si>
    <t>Randall Solar Project Hybrid</t>
  </si>
  <si>
    <t>SWM Fuel Cell</t>
  </si>
  <si>
    <t>Yaphank Fuel Cell Park, LLC</t>
  </si>
  <si>
    <t>CES Marbletown Solar</t>
  </si>
  <si>
    <t>Fogarty CSG</t>
  </si>
  <si>
    <t>Fogarty Solar LLC</t>
  </si>
  <si>
    <t>CES Agawam Tuckahoe Solar Hybrid</t>
  </si>
  <si>
    <t>CES Agawam Tuckahoe Solar LLC</t>
  </si>
  <si>
    <t>Williamsville Hybrid CSG</t>
  </si>
  <si>
    <t>Williamsville Road LLC</t>
  </si>
  <si>
    <t>Milo PV - BD Solar 1 LLC</t>
  </si>
  <si>
    <t>BD Solar 1 LLC</t>
  </si>
  <si>
    <t>Augusta PV - BD Solar Augusta LLC</t>
  </si>
  <si>
    <t>BD Solar Augusta LLC</t>
  </si>
  <si>
    <t>Fairfield PV - BD Solar Fairfield LLC</t>
  </si>
  <si>
    <t>BD Solar Fairfield LLC</t>
  </si>
  <si>
    <t>Oxford PV - BD Solar Oxford LLC</t>
  </si>
  <si>
    <t>BD Solar Oxford LLC</t>
  </si>
  <si>
    <t>Amaterasu LLC</t>
  </si>
  <si>
    <t>SELCO Community Solar</t>
  </si>
  <si>
    <t>Podunque Road CSG</t>
  </si>
  <si>
    <t>Townsend Road(CSG)</t>
  </si>
  <si>
    <t>Ware Palmer Road Solar LLC CSG</t>
  </si>
  <si>
    <t>Ware Palmer Road Solar LLC</t>
  </si>
  <si>
    <t>East Brookfield Adams Road Solar LLC CSG</t>
  </si>
  <si>
    <t>East Brookfield Adams Road Solar LLC</t>
  </si>
  <si>
    <t>BWC Stony Brook, LLC Hybrid</t>
  </si>
  <si>
    <t>ZPD-PT Solar Project 2017-038 Hybrid LLC</t>
  </si>
  <si>
    <t>BWC Muddy Brook, LLC Hybrid</t>
  </si>
  <si>
    <t>BWC Lake Lashaway, LLC Hybrid</t>
  </si>
  <si>
    <t>ZPD-PT Solar Project 2017-044 LLC CSG</t>
  </si>
  <si>
    <t>ZPD-PT Solar Project 2017-023 LLC Hybrid CSG</t>
  </si>
  <si>
    <t>ZPD-PT Solar Project 2017-021 LLC Hybrid CSG</t>
  </si>
  <si>
    <t>Blair Solar</t>
  </si>
  <si>
    <t>Madison Solar</t>
  </si>
  <si>
    <t>Few Solar</t>
  </si>
  <si>
    <t>Roger Williams - Melville at Portsmouth</t>
  </si>
  <si>
    <t>Farmington Solar</t>
  </si>
  <si>
    <t>Farmington Solar, LLC</t>
  </si>
  <si>
    <t>Amazon JFK8 Solar Project</t>
  </si>
  <si>
    <t>Solar Star Prime 2, LLC</t>
  </si>
  <si>
    <t>Cortlandville I Solar CSG</t>
  </si>
  <si>
    <t>DG New York CS, LLC</t>
  </si>
  <si>
    <t>Sangerfield Solar CSG</t>
  </si>
  <si>
    <t>Clay Solar CSG</t>
  </si>
  <si>
    <t>Norwich Solar and Energy Storage CSG</t>
  </si>
  <si>
    <t>JDC 65R Owner, LLC</t>
  </si>
  <si>
    <t>Quinebaug Solar</t>
  </si>
  <si>
    <t>Quinebaug Solar, LLC</t>
  </si>
  <si>
    <t>ZPD-PT Solar Project 2017-006 LLC Hybrid</t>
  </si>
  <si>
    <t>Town of Ware - Canadian Tree(CSG)</t>
  </si>
  <si>
    <t>MA CS Ware West, LLC</t>
  </si>
  <si>
    <t>Dresser Hill CSG</t>
  </si>
  <si>
    <t>Dresser Hill Solar, LLC</t>
  </si>
  <si>
    <t>Golden Solar</t>
  </si>
  <si>
    <t>Alchemy Renewable Energy</t>
  </si>
  <si>
    <t>Rosemond Solar Community Solar</t>
  </si>
  <si>
    <t>Volney II</t>
  </si>
  <si>
    <t>Raboth - Marion Drive</t>
  </si>
  <si>
    <t>Madison Energy Holdings LLC</t>
  </si>
  <si>
    <t>Bright Field Solar LLC(CSG)</t>
  </si>
  <si>
    <t>Bright Oak Solar LLC(CSG)</t>
  </si>
  <si>
    <t>Bright Hill Solar LLC(CSG)</t>
  </si>
  <si>
    <t>Wallingford Solar</t>
  </si>
  <si>
    <t>Wallingford Renewable Energy, LLC</t>
  </si>
  <si>
    <t>Tioga Solar South(CSG)</t>
  </si>
  <si>
    <t>237 State Route 96 Site 2, LLC</t>
  </si>
  <si>
    <t>Tioga Solar North(CSG)</t>
  </si>
  <si>
    <t>237 State Route 96 Site 1, LLC</t>
  </si>
  <si>
    <t>Washingtonville(CSG)</t>
  </si>
  <si>
    <t>Washingtonville</t>
  </si>
  <si>
    <t>Minisink CSG</t>
  </si>
  <si>
    <t>Minisink Solar LLC</t>
  </si>
  <si>
    <t>Slate Hill(CSG)</t>
  </si>
  <si>
    <t>Slate Hill Solar LLC</t>
  </si>
  <si>
    <t>Bellisario Solar 1</t>
  </si>
  <si>
    <t>Lapeer-Cortland Solar, LLC</t>
  </si>
  <si>
    <t>Bellisario Solar 2</t>
  </si>
  <si>
    <t>Bellisario Solar 3</t>
  </si>
  <si>
    <t>Kearsarge William Way</t>
  </si>
  <si>
    <t>Kearsarge William Way LLC</t>
  </si>
  <si>
    <t>Kearsarge Haverhill</t>
  </si>
  <si>
    <t>Kearsarge Haverhill LLC</t>
  </si>
  <si>
    <t>Kearsarge Montague BD(CSG)</t>
  </si>
  <si>
    <t>Kearsarge Montague BD LLC</t>
  </si>
  <si>
    <t>Blodgett Solar CSG</t>
  </si>
  <si>
    <t>Blodgett Street Solar 1, LLC</t>
  </si>
  <si>
    <t>Clark Road Solar 1, LLC</t>
  </si>
  <si>
    <t>Acton</t>
  </si>
  <si>
    <t>Acton H Road Solar 1, LLC</t>
  </si>
  <si>
    <t>Naples</t>
  </si>
  <si>
    <t>Naples Casco Solar 1, LLC</t>
  </si>
  <si>
    <t>Hamlin Solar 1, LLC</t>
  </si>
  <si>
    <t>Clifton Park Solar 1, LLC</t>
  </si>
  <si>
    <t>Clifton Park Solar 2, LLC</t>
  </si>
  <si>
    <t>Fredonia Solar LLC</t>
  </si>
  <si>
    <t>Dunstable Solar 1, LLC</t>
  </si>
  <si>
    <t>Fairhaven MA 2</t>
  </si>
  <si>
    <t>Dusenberry</t>
  </si>
  <si>
    <t>Knapp East (CSG)</t>
  </si>
  <si>
    <t>Glenmere Lake</t>
  </si>
  <si>
    <t>Knapp West(CSG)</t>
  </si>
  <si>
    <t>Rowe (CSG)</t>
  </si>
  <si>
    <t>Williams Rd</t>
  </si>
  <si>
    <t>Maple(CSG)</t>
  </si>
  <si>
    <t>Maple Street Solar 1, LLC</t>
  </si>
  <si>
    <t>Kearsarge Westerly</t>
  </si>
  <si>
    <t>Kearsarge Westerly LLC</t>
  </si>
  <si>
    <t>Kearsarge Fogland</t>
  </si>
  <si>
    <t>Kearsarge Fogland LLC</t>
  </si>
  <si>
    <t>Kearsarge East Providence</t>
  </si>
  <si>
    <t>Kearsarge East Providence LLC</t>
  </si>
  <si>
    <t>Freehold(CSG)</t>
  </si>
  <si>
    <t>Freehold Solar, LLC</t>
  </si>
  <si>
    <t>Billings Road</t>
  </si>
  <si>
    <t>ER Salvage Yard</t>
  </si>
  <si>
    <t>276 Federal Rd(CSG)</t>
  </si>
  <si>
    <t>276FED WHAM8 Solar, LLC</t>
  </si>
  <si>
    <t>0 Hammond St CSG</t>
  </si>
  <si>
    <t>0HAM WHAM8 Solar, LLC</t>
  </si>
  <si>
    <t>59 Federal Rd(CSG)</t>
  </si>
  <si>
    <t>59FED WHAM8 Solar, LLC</t>
  </si>
  <si>
    <t>Park St</t>
  </si>
  <si>
    <t>Torrington Solar One, LLC</t>
  </si>
  <si>
    <t>DG Connecticut III, LLC</t>
  </si>
  <si>
    <t>Bristol Solar One, LLC</t>
  </si>
  <si>
    <t>Watertown Solar One, LLC</t>
  </si>
  <si>
    <t>UMass Boston</t>
  </si>
  <si>
    <t>71 Charlotte Furnace Rd Hybrid(CSG)</t>
  </si>
  <si>
    <t>71CFR WHAM8 Solar, LLC</t>
  </si>
  <si>
    <t>77 Farm to Market Rd Hybrid(CSG)</t>
  </si>
  <si>
    <t>77F2M WHAM8 Solar, LLC</t>
  </si>
  <si>
    <t>160 Tihonet Rd Hybrid(CSG)</t>
  </si>
  <si>
    <t>160TIH WHAM8 Solar, LLC</t>
  </si>
  <si>
    <t>299 Farm to Market Rd Hybrid(CSG)</t>
  </si>
  <si>
    <t>299F2M WHAM8 Solar, LLC</t>
  </si>
  <si>
    <t>Halifax Solar</t>
  </si>
  <si>
    <t>580 River Solar</t>
  </si>
  <si>
    <t>115 G Fisher</t>
  </si>
  <si>
    <t>154 D Fisher</t>
  </si>
  <si>
    <t>196 Tremont St(CSG)</t>
  </si>
  <si>
    <t>196TRE WHAM8 Solar, LLC</t>
  </si>
  <si>
    <t>NY8 - Branscomb Solar</t>
  </si>
  <si>
    <t>Clinton Solar</t>
  </si>
  <si>
    <t>Cranberry Highway Solar LLC</t>
  </si>
  <si>
    <t>Cranberry Highway Solar, LLC</t>
  </si>
  <si>
    <t>ENGIE 2019 ProjectCo-MA1, LLC</t>
  </si>
  <si>
    <t>ENGIE 2019 ProjectCo MA-1, LLC</t>
  </si>
  <si>
    <t>Norton LLC</t>
  </si>
  <si>
    <t>Holliston LLC</t>
  </si>
  <si>
    <t>Medtronic - New Haven 2</t>
  </si>
  <si>
    <t>Medtronic - New Haven</t>
  </si>
  <si>
    <t>Certain Solar - Staten Island</t>
  </si>
  <si>
    <t>Equinix - Billerica</t>
  </si>
  <si>
    <t>Altice - Hicksville</t>
  </si>
  <si>
    <t>Woburn</t>
  </si>
  <si>
    <t>Chambers 3 - Lewis County</t>
  </si>
  <si>
    <t>Chambers 3 - Erie County Alden</t>
  </si>
  <si>
    <t>Charlemont A</t>
  </si>
  <si>
    <t>Charlemont MA, LLC</t>
  </si>
  <si>
    <t>Fairhaven E</t>
  </si>
  <si>
    <t>Fairhaven MA 1, LLC</t>
  </si>
  <si>
    <t>Barrow Solar</t>
  </si>
  <si>
    <t>Indian River Hydro</t>
  </si>
  <si>
    <t>DOCCS Midstate</t>
  </si>
  <si>
    <t>DOCCS Eastern</t>
  </si>
  <si>
    <t>DOCCS Wende</t>
  </si>
  <si>
    <t>DOCCS Greenhaven</t>
  </si>
  <si>
    <t>MacKinnon Solar</t>
  </si>
  <si>
    <t>McHenry Solar</t>
  </si>
  <si>
    <t>BWC Maces Pond LLC</t>
  </si>
  <si>
    <t>OYA State Route 122</t>
  </si>
  <si>
    <t>OYA State Route 122, LLC</t>
  </si>
  <si>
    <t>Hartland Solar</t>
  </si>
  <si>
    <t>Unity Solar</t>
  </si>
  <si>
    <t>GD Johnson Scituate I, LLC</t>
  </si>
  <si>
    <t>GDIM 1, LLC</t>
  </si>
  <si>
    <t>GDIM 2, LLC</t>
  </si>
  <si>
    <t>GDIM 3, LLC</t>
  </si>
  <si>
    <t>GDIM 4, LLC</t>
  </si>
  <si>
    <t>Green Providence Wind I, LLC</t>
  </si>
  <si>
    <t>Green Providence WInd I, LLC</t>
  </si>
  <si>
    <t>Green Providence Wind II, LLC</t>
  </si>
  <si>
    <t>JB-Tobin 2</t>
  </si>
  <si>
    <t>AES Clean Energy</t>
  </si>
  <si>
    <t>Castleton</t>
  </si>
  <si>
    <t>Conductive Power</t>
  </si>
  <si>
    <t>Brockelman Road Solar 2</t>
  </si>
  <si>
    <t>Brockelman Road Solar 2, LLC</t>
  </si>
  <si>
    <t>TES Rowtier</t>
  </si>
  <si>
    <t>SkyHigh 2 Solar</t>
  </si>
  <si>
    <t>East Windsor Solar One</t>
  </si>
  <si>
    <t>Southington Solar One</t>
  </si>
  <si>
    <t>Long Plain Solar</t>
  </si>
  <si>
    <t>Long Plain Solar, LLC</t>
  </si>
  <si>
    <t>Settlers Solar</t>
  </si>
  <si>
    <t>Settlers Solar, LLC</t>
  </si>
  <si>
    <t>Griffin Road Solar 2</t>
  </si>
  <si>
    <t>Griffin Road Solar 2, LLC</t>
  </si>
  <si>
    <t>Woodland Avenue Solar 1</t>
  </si>
  <si>
    <t>Woodland Avenue Solar 1, LLC</t>
  </si>
  <si>
    <t>RT405 Westerlo Solar 2</t>
  </si>
  <si>
    <t>RT405 Westerlo Solar 2, LLC</t>
  </si>
  <si>
    <t>Webster Solar</t>
  </si>
  <si>
    <t>Webster Solar, LLC</t>
  </si>
  <si>
    <t>LR Wheatfield Solar 1</t>
  </si>
  <si>
    <t>LR Wheatfield Solar 1, LLC</t>
  </si>
  <si>
    <t>Pendleton Solar 1</t>
  </si>
  <si>
    <t>Pendleton Solar 1, LLC</t>
  </si>
  <si>
    <t>Centech Gas Generator</t>
  </si>
  <si>
    <t>Generation-Load="Imports" (GWh)</t>
  </si>
  <si>
    <t>Actual Imports-"Imports"=Pumping (GWh)</t>
  </si>
  <si>
    <t>Gowanus Generating Station</t>
  </si>
  <si>
    <t>CT01-1</t>
  </si>
  <si>
    <t>CT01-2</t>
  </si>
  <si>
    <t>CT01-3</t>
  </si>
  <si>
    <t>CT01-4</t>
  </si>
  <si>
    <t>CT01-5</t>
  </si>
  <si>
    <t>CT01-6</t>
  </si>
  <si>
    <t>CT01-7</t>
  </si>
  <si>
    <t>CT01-8</t>
  </si>
  <si>
    <t>CT02-5</t>
  </si>
  <si>
    <t>CT02-6</t>
  </si>
  <si>
    <t>CT02-7</t>
  </si>
  <si>
    <t>CT02-8</t>
  </si>
  <si>
    <t>CT03-5</t>
  </si>
  <si>
    <t>CT03-6</t>
  </si>
  <si>
    <t>CT03-7</t>
  </si>
  <si>
    <t>CT03-8</t>
  </si>
  <si>
    <t>CT04-1</t>
  </si>
  <si>
    <t>CT04-2</t>
  </si>
  <si>
    <t>CT04-3</t>
  </si>
  <si>
    <t>CT04-4</t>
  </si>
  <si>
    <t>CT04-5</t>
  </si>
  <si>
    <t>CT04-6</t>
  </si>
  <si>
    <t>CT04-7</t>
  </si>
  <si>
    <t>CT04-8</t>
  </si>
  <si>
    <t>CT0003</t>
  </si>
  <si>
    <t>CT0004</t>
  </si>
  <si>
    <t>CT0005</t>
  </si>
  <si>
    <t>Narrows Generating Station</t>
  </si>
  <si>
    <t>CT0001</t>
  </si>
  <si>
    <t>CT0010</t>
  </si>
  <si>
    <t>CT0011</t>
  </si>
  <si>
    <t>CT0002</t>
  </si>
  <si>
    <t>UGT014</t>
  </si>
  <si>
    <t>UGT011</t>
  </si>
  <si>
    <t>from CT to ME</t>
  </si>
  <si>
    <t>from 923 tab filtered for only Electric Utilities, NAICS Cogen, and NAICS Non-Cogen, cell 2434</t>
  </si>
  <si>
    <t>MSSout</t>
  </si>
  <si>
    <t>NEWFOUNDLAND</t>
  </si>
  <si>
    <t>LABRADOR</t>
  </si>
  <si>
    <t>IMP (Q)</t>
  </si>
  <si>
    <t>IMP (N)</t>
  </si>
  <si>
    <t>IMP (L)</t>
  </si>
  <si>
    <t>System Mix</t>
  </si>
  <si>
    <t>WEIGHTED AVG HEAT RATE</t>
  </si>
  <si>
    <t>Quebec, Newfoundland and Labrador (through Quebec) Fuels Adding to Total CO2e</t>
  </si>
  <si>
    <t>Quebec, Newfoundland and Labrador - Total CO2e</t>
  </si>
  <si>
    <t>Q, N, L</t>
  </si>
  <si>
    <t>From Q, N and L</t>
  </si>
  <si>
    <t>From QUEBEC, NEWFOUNDLAND and LABRADOR</t>
  </si>
  <si>
    <t>Emissions are calculated for each state using emissions data from 'EPA Part 75 &amp; GHGRP' tabs, wherever possible, or MMBTU data from the 'EIA Form 923' combined with Global Warming Potentials (GWP) and fuel-specific emissions factors on the "GWPs &amp; Fuel EFs' tab.</t>
  </si>
  <si>
    <t>% MSN &amp; % MSB</t>
  </si>
  <si>
    <t>https://campd.epa.gov/</t>
  </si>
  <si>
    <t>See the 'EIA Form 923 data' tab and the 'EPA Part 75 &amp; GHGRP' tab (from MA and CT) for the determination of MSN (non-biogenic)/MSB (biogenic) split for Municipal Solid Waste &amp; Trash-to-Energy.</t>
  </si>
  <si>
    <t>2022_energy_peak_by_source.xlsx (live.com)</t>
  </si>
  <si>
    <t>9/27/23-NE-ISO 2022 Net Energy Peak by Source (dated 6/16/23)</t>
  </si>
  <si>
    <t>EIA-923 Monthly Generation and Fuel Consumption Time Series File, 2022 Final Data</t>
  </si>
  <si>
    <t>Generation Bridge II Connecticut, LLC</t>
  </si>
  <si>
    <t>Constellation Power, Inc</t>
  </si>
  <si>
    <t>Canal Generating LLC</t>
  </si>
  <si>
    <t>Generation Bridge II New York LLC</t>
  </si>
  <si>
    <t>Constellation Nuclear</t>
  </si>
  <si>
    <t>Selkirk Cogen</t>
  </si>
  <si>
    <t>Selkirk Cogen Partners LP</t>
  </si>
  <si>
    <t>NE Renewable Springfield, LLC</t>
  </si>
  <si>
    <t>NE Renewable Whitefield, LLC</t>
  </si>
  <si>
    <t>NE Renewable Bethlehem, LLC</t>
  </si>
  <si>
    <t>Dichotomy Power, LLC</t>
  </si>
  <si>
    <t>NE Renewable Tamworth, LLC</t>
  </si>
  <si>
    <t>Ampersand Ogdensburg Hydro, LLC</t>
  </si>
  <si>
    <t>Cartier Energy, LLC</t>
  </si>
  <si>
    <t>Riverbay</t>
  </si>
  <si>
    <t>Riverbay Corp</t>
  </si>
  <si>
    <t>BT Generation Holdings, LLC</t>
  </si>
  <si>
    <t>NE Renewable Fitchburg, LLC</t>
  </si>
  <si>
    <t>Thundermist Hydro</t>
  </si>
  <si>
    <t>City of Woonsocket</t>
  </si>
  <si>
    <t>BiOrigin Specialty Products</t>
  </si>
  <si>
    <t>Equus Power I, L.P.</t>
  </si>
  <si>
    <t>RWE Renewables Americas, LLC</t>
  </si>
  <si>
    <t>Luminace Solar Net Metering, LLC</t>
  </si>
  <si>
    <t>Luminace Solar Massachusetts, LLC</t>
  </si>
  <si>
    <t>Consolidated Edison Solutions Inc.</t>
  </si>
  <si>
    <t>CVI CleanCapital Solar 1 LLC</t>
  </si>
  <si>
    <t>CleanCapital Holdings</t>
  </si>
  <si>
    <t>MN8 Energy LLC</t>
  </si>
  <si>
    <t>Luminace Solar Holding, LLC</t>
  </si>
  <si>
    <t>Hilton NY Co Gen Plant</t>
  </si>
  <si>
    <t>Powergen Development Group, LLC</t>
  </si>
  <si>
    <t>Clean Focus Yield, LLC</t>
  </si>
  <si>
    <t>Subase Microgrid Project</t>
  </si>
  <si>
    <t>Palmer Solar LLC</t>
  </si>
  <si>
    <t>Pepperidge Farm Bloomfield</t>
  </si>
  <si>
    <t>Pepperidge Farm, Inc.- Bloomfield</t>
  </si>
  <si>
    <t>Duke Energy Renewables Services</t>
  </si>
  <si>
    <t>Naval Sub Base New London Fuel Cell</t>
  </si>
  <si>
    <t>Groton Station Fuel Cell, LLC</t>
  </si>
  <si>
    <t>IKEA New Haven Rooftop PV &amp; Fuel Cell</t>
  </si>
  <si>
    <t>North Stonington Solar Center, LLC</t>
  </si>
  <si>
    <t>Route 19 #1 Community Solar Farm</t>
  </si>
  <si>
    <t>Route 19 #2 Community Solar Farm</t>
  </si>
  <si>
    <t>Yellow Mills Rd #1 Community Solar Farm</t>
  </si>
  <si>
    <t>Yellow Mills Rd #2 Community Solar Farm</t>
  </si>
  <si>
    <t>Yellow Mills Rd #3 Community Solar Farm</t>
  </si>
  <si>
    <t>Outer Cape Community Battery</t>
  </si>
  <si>
    <t>Eversource</t>
  </si>
  <si>
    <t>Minuteman Energy Storage, LLC</t>
  </si>
  <si>
    <t>West Valley West</t>
  </si>
  <si>
    <t>West Valley East</t>
  </si>
  <si>
    <t>GSPP Raynham TMLP, LLC CSG</t>
  </si>
  <si>
    <t>Syncarpha Tewksbury Hybrid CSG</t>
  </si>
  <si>
    <t>Syncarpha Tewksbury, LLC</t>
  </si>
  <si>
    <t>Syncarpha Westminster Hybrid CSG</t>
  </si>
  <si>
    <t>Syncarpha Westminster, LLC</t>
  </si>
  <si>
    <t>Syncarpha Millbury Hybrid (CSG)</t>
  </si>
  <si>
    <t>Syncarpha Millbury, LLC</t>
  </si>
  <si>
    <t>Fordham University</t>
  </si>
  <si>
    <t>NY3 Battery</t>
  </si>
  <si>
    <t>Orange &amp; Rockland Utils Inc</t>
  </si>
  <si>
    <t>St. Mary's Hospital For Children</t>
  </si>
  <si>
    <t>Mount Kisco Landfill Solar &amp; Storage CSG</t>
  </si>
  <si>
    <t>Palmyra PV - BD Solar Palmyra LLC</t>
  </si>
  <si>
    <t>BD Solar Palmyra LLC</t>
  </si>
  <si>
    <t>BD Solar Hancock LLC</t>
  </si>
  <si>
    <t>Winslow PV - BD Solar 2 LLC</t>
  </si>
  <si>
    <t>BD Solar 2 LLC</t>
  </si>
  <si>
    <t>BD Solar Ellsworth LLC</t>
  </si>
  <si>
    <t>BD Solar Hancock North LLC</t>
  </si>
  <si>
    <t>Auburn Solar Project</t>
  </si>
  <si>
    <t>Agilitas Energy, LLC</t>
  </si>
  <si>
    <t>Luminace Solar Rhode Island, LLC</t>
  </si>
  <si>
    <t>Mt Pleasant Community Center</t>
  </si>
  <si>
    <t>Coxsackie Solar</t>
  </si>
  <si>
    <t>FPS Coxsackie Solar LLC</t>
  </si>
  <si>
    <t>River Valley LLC (NY) (CSG)</t>
  </si>
  <si>
    <t>TPE King Solar Holdings1, LLC (CSG)</t>
  </si>
  <si>
    <t>Orangeville Storage</t>
  </si>
  <si>
    <t>Main Rd Community Solar</t>
  </si>
  <si>
    <t>Redman North Community Solar</t>
  </si>
  <si>
    <t>Redman South Community Solar</t>
  </si>
  <si>
    <t>Townline Community Solar</t>
  </si>
  <si>
    <t>West Haydenville PJ Community Solar</t>
  </si>
  <si>
    <t>Brookwood Drive Community Solar</t>
  </si>
  <si>
    <t>Fuel Cell 3245 Yates Avenue</t>
  </si>
  <si>
    <t>Bronx Community Clean Energy Project LLC</t>
  </si>
  <si>
    <t>Ocean State BTM</t>
  </si>
  <si>
    <t>Capital Hill Solar LLC</t>
  </si>
  <si>
    <t>Rock Island Road Solar Community Solar</t>
  </si>
  <si>
    <t>RPNY Solar 1, LLC</t>
  </si>
  <si>
    <t>Bullis Road Solar (CSG)</t>
  </si>
  <si>
    <t>RPNY Solar 2, LLC</t>
  </si>
  <si>
    <t>ASD Wallum MA Solar LLC(CSG)</t>
  </si>
  <si>
    <t>ASD Wallum MA Solar LLC</t>
  </si>
  <si>
    <t>Buffalo NY GigaFactory</t>
  </si>
  <si>
    <t>River Road</t>
  </si>
  <si>
    <t>Norridgewock River Road Solar, LLC</t>
  </si>
  <si>
    <t>NY8 - Regan Solar</t>
  </si>
  <si>
    <t>NY8 - Puckett Solar</t>
  </si>
  <si>
    <t>ER Bone Hill Solar, LLC</t>
  </si>
  <si>
    <t>UMass PV Lot 22</t>
  </si>
  <si>
    <t>Orioles Community Solar</t>
  </si>
  <si>
    <t>Azimuth 180 Solar Electric, LLC</t>
  </si>
  <si>
    <t>ER Center Road Solar, LLC</t>
  </si>
  <si>
    <t>South Goshen Community Solar</t>
  </si>
  <si>
    <t>County Road 17 (CSG)</t>
  </si>
  <si>
    <t>MA CS Uxbridge Community Solar</t>
  </si>
  <si>
    <t>MA CS Uxbridge, LLC</t>
  </si>
  <si>
    <t>OYA Robinson Road</t>
  </si>
  <si>
    <t>OYA Robinson Road, LLC</t>
  </si>
  <si>
    <t>Airport Road Solar (CSG)</t>
  </si>
  <si>
    <t>NJR Clean Energy Ventures Corporation</t>
  </si>
  <si>
    <t>Mill Pond Hydro</t>
  </si>
  <si>
    <t>Rivers Electric, LLC</t>
  </si>
  <si>
    <t>OYA Wayside Drive</t>
  </si>
  <si>
    <t>OYA Wayside Drive LLC</t>
  </si>
  <si>
    <t>OYA Pulaski</t>
  </si>
  <si>
    <t>OYA Pulaski LLC</t>
  </si>
  <si>
    <t>SERC</t>
  </si>
  <si>
    <t>OYA Main Street</t>
  </si>
  <si>
    <t>OYA Main Street LLC</t>
  </si>
  <si>
    <t>NY - PANYNJ - LaGuardia - Rooftop</t>
  </si>
  <si>
    <t>Forefront Power, LLC</t>
  </si>
  <si>
    <t>OYA Church Road</t>
  </si>
  <si>
    <t>OYA Church Road A LLC</t>
  </si>
  <si>
    <t>Washington Avenue Solar, LLC</t>
  </si>
  <si>
    <t>Baldwin</t>
  </si>
  <si>
    <t>Maine DG Solar Baldwin, LLC</t>
  </si>
  <si>
    <t>Augusta</t>
  </si>
  <si>
    <t>Maine DG Solar Augusta, LLC</t>
  </si>
  <si>
    <t>Monmouth</t>
  </si>
  <si>
    <t>Maine DG Solar Monmouth, LLC</t>
  </si>
  <si>
    <t>Nolan</t>
  </si>
  <si>
    <t>Strata Manager, LLC</t>
  </si>
  <si>
    <t>Truck Stop</t>
  </si>
  <si>
    <t>Bradford Solar</t>
  </si>
  <si>
    <t>Whatley Renewables</t>
  </si>
  <si>
    <t>Whatley Renewables, LLC</t>
  </si>
  <si>
    <t>Wachusett Solar</t>
  </si>
  <si>
    <t>Wachusett Solar, LLC</t>
  </si>
  <si>
    <t>RT32 Westerlo Solar 1</t>
  </si>
  <si>
    <t>RT32 Westerlo Solar 1, LLC</t>
  </si>
  <si>
    <t>ER Sand Hill</t>
  </si>
  <si>
    <t>100 Lower</t>
  </si>
  <si>
    <t>456 Lower</t>
  </si>
  <si>
    <t>Union Springs 40</t>
  </si>
  <si>
    <t>EF NY CDG 011, LLC</t>
  </si>
  <si>
    <t>Union Springs 963</t>
  </si>
  <si>
    <t>EF NY CDG 003, LLC</t>
  </si>
  <si>
    <t>North Eagle Village Solar</t>
  </si>
  <si>
    <t>EF NY CDG 001, LLC</t>
  </si>
  <si>
    <t>Green Lakes Solar</t>
  </si>
  <si>
    <t>EF NY CDG 002, LLC</t>
  </si>
  <si>
    <t>Judd Road Solar</t>
  </si>
  <si>
    <t>EF NY CDG 007, LLC</t>
  </si>
  <si>
    <t>Dartmouth Farms Solar</t>
  </si>
  <si>
    <t>Dartmouth Farms Solar, LLC</t>
  </si>
  <si>
    <t>Foster Solar</t>
  </si>
  <si>
    <t>Foster Solar, LLC</t>
  </si>
  <si>
    <t>Croton Solar</t>
  </si>
  <si>
    <t>Croton Solar LLC</t>
  </si>
  <si>
    <t>Faunce Corner Community Solar</t>
  </si>
  <si>
    <t>Faunce Corner Road Dartmouth Solar 1, LLC</t>
  </si>
  <si>
    <t>Ventura</t>
  </si>
  <si>
    <t>Ventura Drive Dartmouth Solar 1, LLC</t>
  </si>
  <si>
    <t>Calverton Solar Energy Center</t>
  </si>
  <si>
    <t>LI Solar Generation, LLC</t>
  </si>
  <si>
    <t>Kearsarge Ludlow LLC</t>
  </si>
  <si>
    <t>Kearsarge Acushnet</t>
  </si>
  <si>
    <t>Kearsarge Acushnet LLC</t>
  </si>
  <si>
    <t>East Fishkill CSG</t>
  </si>
  <si>
    <t>ELP Greenport CSG</t>
  </si>
  <si>
    <t>ELP Kinderhook CSG</t>
  </si>
  <si>
    <t>ELP Myer CSG</t>
  </si>
  <si>
    <t>ELP Saugerties CSG</t>
  </si>
  <si>
    <t>Cream Street Solar</t>
  </si>
  <si>
    <t>Cream Street Solar, LLC</t>
  </si>
  <si>
    <t>Little Falls Solar</t>
  </si>
  <si>
    <t>Little Falls Solar 1</t>
  </si>
  <si>
    <t>Little Falls Solar 1, LLC</t>
  </si>
  <si>
    <t>Burlington Solar 1</t>
  </si>
  <si>
    <t>1639 RT 29 Solar 1</t>
  </si>
  <si>
    <t>1639 RT 29 Solar 1, LLC</t>
  </si>
  <si>
    <t>1639 RT 29 Solar 2</t>
  </si>
  <si>
    <t>1639 RT 29 Solar 2, LLC</t>
  </si>
  <si>
    <t>NY - Mines Press</t>
  </si>
  <si>
    <t>Dynamic Corinth (CSG)</t>
  </si>
  <si>
    <t>Dynamic Madison</t>
  </si>
  <si>
    <t>Kearsarge West Shore Solar LLC</t>
  </si>
  <si>
    <t>Harmony Solar</t>
  </si>
  <si>
    <t>Maine DG Solar Harmony, LLC</t>
  </si>
  <si>
    <t>Norton Powerhouse 2</t>
  </si>
  <si>
    <t>Sugar Hill Solar 1</t>
  </si>
  <si>
    <t>Sugar Hill Solar 1, LLC</t>
  </si>
  <si>
    <t>3104 Batavia Solar</t>
  </si>
  <si>
    <t>3104 Batavia Solar, LLC</t>
  </si>
  <si>
    <t>3232 Batavia Solar</t>
  </si>
  <si>
    <t>3232 Batavia Solar, LLC</t>
  </si>
  <si>
    <t>Generate Colchester Fuel Cells, LLC</t>
  </si>
  <si>
    <t>Angelica Solar Site 1</t>
  </si>
  <si>
    <t>NSF Angelica Site 1, LLC</t>
  </si>
  <si>
    <t>Angelica Solar Site 2</t>
  </si>
  <si>
    <t>NSF Angelica Site 2, LLC</t>
  </si>
  <si>
    <t>Angelica Solar Site 3</t>
  </si>
  <si>
    <t>NSF Angelica Site 3, LLC</t>
  </si>
  <si>
    <t>Angelica Solar Site 4</t>
  </si>
  <si>
    <t>NSF Angelica Site 4, LLC</t>
  </si>
  <si>
    <t>West Valley Solar</t>
  </si>
  <si>
    <t>West Valley Solar, LLC</t>
  </si>
  <si>
    <t>Marlborough Solar</t>
  </si>
  <si>
    <t>Marlborough Solar, LLC</t>
  </si>
  <si>
    <t>Blacksmith Road Solar 1</t>
  </si>
  <si>
    <t>Blacksmith Road Solar 1, LLC</t>
  </si>
  <si>
    <t>Electric Avenue Lunenburg Solar 1</t>
  </si>
  <si>
    <t>Electric Avenue Lunenburg Solar 1, LLC</t>
  </si>
  <si>
    <t>Harbor Road Solar 1</t>
  </si>
  <si>
    <t>Harbor Road Solar 1, LLC</t>
  </si>
  <si>
    <t>Lenox Renewables</t>
  </si>
  <si>
    <t>Lenox Renewables, LLC</t>
  </si>
  <si>
    <t>Milo CSG</t>
  </si>
  <si>
    <t>Milo CSG, LLC</t>
  </si>
  <si>
    <t>Livermore Falls CSG</t>
  </si>
  <si>
    <t>Livermore Falls CSG, LLC</t>
  </si>
  <si>
    <t>Water Street Solar</t>
  </si>
  <si>
    <t>Equinix - Elmsford</t>
  </si>
  <si>
    <t>CoreSite - Somerville</t>
  </si>
  <si>
    <t>Connecticut College</t>
  </si>
  <si>
    <t>Landau Solar</t>
  </si>
  <si>
    <t>Drinkwater Solar</t>
  </si>
  <si>
    <t>Huxley Solar</t>
  </si>
  <si>
    <t>Huxley Solar, LLC</t>
  </si>
  <si>
    <t>Town of Amherst Solar</t>
  </si>
  <si>
    <t>Town of Amherst Solar, LLC</t>
  </si>
  <si>
    <t>McCarthy Solar</t>
  </si>
  <si>
    <t>Niagara Bottling - Bloomfield</t>
  </si>
  <si>
    <t>Westbound Solar 3, LLC</t>
  </si>
  <si>
    <t>Mohawk View Solar</t>
  </si>
  <si>
    <t>Mohawk View Solar, LLC</t>
  </si>
  <si>
    <t>Van Epps Solar</t>
  </si>
  <si>
    <t>Van Epps Solar, LLC</t>
  </si>
  <si>
    <t>Bantam Solar</t>
  </si>
  <si>
    <t>Bogart Solar</t>
  </si>
  <si>
    <t>Brickchurch Solar</t>
  </si>
  <si>
    <t>Canoga Solar</t>
  </si>
  <si>
    <t>Costanza Solar</t>
  </si>
  <si>
    <t>County Route 84 Solar</t>
  </si>
  <si>
    <t>Cafferty Hill Solar</t>
  </si>
  <si>
    <t>Donati Solar</t>
  </si>
  <si>
    <t>Dubois Solar (Hybrid)</t>
  </si>
  <si>
    <t>Finney Solar</t>
  </si>
  <si>
    <t>Henrietta Solar</t>
  </si>
  <si>
    <t>Landau II Solar (Hybrid)</t>
  </si>
  <si>
    <t>Lockenhurst Pond Solar</t>
  </si>
  <si>
    <t>New Beginnings Solar</t>
  </si>
  <si>
    <t>NY70 Solar</t>
  </si>
  <si>
    <t>Reid Solar</t>
  </si>
  <si>
    <t>Reisender Solar</t>
  </si>
  <si>
    <t>Salt Point Solar (Hybrid)</t>
  </si>
  <si>
    <t>Sangolqui Solar</t>
  </si>
  <si>
    <t>State Route 14A Solar</t>
  </si>
  <si>
    <t>State Highway 17B Solar</t>
  </si>
  <si>
    <t>Svenski Solar (Hybrid)</t>
  </si>
  <si>
    <t>West Creek Solar</t>
  </si>
  <si>
    <t>Wheatland 2A Solar</t>
  </si>
  <si>
    <t>Wheatland 2B Solar</t>
  </si>
  <si>
    <t>Wildflower Way Solar</t>
  </si>
  <si>
    <t>Lewiston Junction Road Solar</t>
  </si>
  <si>
    <t>NextGrid Peppertree, LLC</t>
  </si>
  <si>
    <t>Webb Road Solar</t>
  </si>
  <si>
    <t>NextGrid Mastic, LLC</t>
  </si>
  <si>
    <t>Merrill Road Solar</t>
  </si>
  <si>
    <t>NextGrid Mangrove, LLC</t>
  </si>
  <si>
    <t>Lisbon Street Solar</t>
  </si>
  <si>
    <t>NextGrid Cliffrose, LLC</t>
  </si>
  <si>
    <t>Silver Maple</t>
  </si>
  <si>
    <t>WEB Silver Maple Wind LLC</t>
  </si>
  <si>
    <t>Brimfield</t>
  </si>
  <si>
    <t>WEB Brimfield Solar LLC</t>
  </si>
  <si>
    <t>WEB Brookfield</t>
  </si>
  <si>
    <t>WEB Brookfield Solar LLC</t>
  </si>
  <si>
    <t>SCS Penfield One 010750 Penfield, LLC</t>
  </si>
  <si>
    <t>Sol Systems</t>
  </si>
  <si>
    <t>SCS Harpswell 012903 Brunswick, LLC</t>
  </si>
  <si>
    <t>Manheim New England</t>
  </si>
  <si>
    <t>Cox Enterprises</t>
  </si>
  <si>
    <t>Emerald Marshfields, LLC</t>
  </si>
  <si>
    <t>Emerald Marshfield, LLC</t>
  </si>
  <si>
    <t>Emerald Gardens PKI, LLC</t>
  </si>
  <si>
    <t>LSE Musca Solar</t>
  </si>
  <si>
    <t>Inovateus Solar, LLC</t>
  </si>
  <si>
    <t>Yale New Haven - New London</t>
  </si>
  <si>
    <t>Apple Staten Island - Industrial Loop</t>
  </si>
  <si>
    <t>Apple Staten Island - Winant Place</t>
  </si>
  <si>
    <t>LSE Pavo Solar</t>
  </si>
  <si>
    <t>MA Blackstone</t>
  </si>
  <si>
    <t>Catalyze Blackstone 83 Federal Street Microgrid, LLC</t>
  </si>
  <si>
    <t>Union Vale</t>
  </si>
  <si>
    <t>VC Renewables</t>
  </si>
  <si>
    <t>Ghent (NY)</t>
  </si>
  <si>
    <t>Stanford</t>
  </si>
  <si>
    <t>Genesee - CCR Solar</t>
  </si>
  <si>
    <t>Cicero Energy Storage 1 LLC</t>
  </si>
  <si>
    <t>Cicero Energy Storage 2 LLC</t>
  </si>
  <si>
    <t>North Kingstown Solar LLC</t>
  </si>
  <si>
    <t>Phillips Route 82 Solar LLC</t>
  </si>
  <si>
    <t>White Rock Road LLC</t>
  </si>
  <si>
    <t>French King Solar LLC</t>
  </si>
  <si>
    <t>DOCCS Greene</t>
  </si>
  <si>
    <t>Green Correctional Coxsackie NY Solar LLC</t>
  </si>
  <si>
    <t>(3K) 59 Hetcheltown Rd</t>
  </si>
  <si>
    <t>Distributed Solar Development, LLC</t>
  </si>
  <si>
    <t>Lightstar Renewables - Project 1001</t>
  </si>
  <si>
    <t>Lightstar Renewables - Project 1002</t>
  </si>
  <si>
    <t>Marathon Solar Farm LLC South</t>
  </si>
  <si>
    <t>Herrington Solar</t>
  </si>
  <si>
    <t>Herrington Solar, LLC</t>
  </si>
  <si>
    <t>SCH County - (1B) 10 Alice Wagner Way Ni</t>
  </si>
  <si>
    <t>SCH County - (1E) 398 Anthony St Schenec</t>
  </si>
  <si>
    <t>SCH - (2A) 156 Barhydt Rd Glenville</t>
  </si>
  <si>
    <t>SCH County - (2B) 4982 Rynex Corners Rd</t>
  </si>
  <si>
    <t>SCH County - (2D) 98 Cheltingham Ave Sch</t>
  </si>
  <si>
    <t>Source Power Company - Richland</t>
  </si>
  <si>
    <t>Source Power Company - Silver Creek</t>
  </si>
  <si>
    <t>Marathon Solar Farm II LLC North</t>
  </si>
  <si>
    <t>Geneseo Solar</t>
  </si>
  <si>
    <t>Helios Energy New York 15 LLC</t>
  </si>
  <si>
    <t>Carthage A</t>
  </si>
  <si>
    <t>NY USLE Carthage SR26 A LLC</t>
  </si>
  <si>
    <t>Carthage B</t>
  </si>
  <si>
    <t>NY USLE Carthage SR26 B LLC</t>
  </si>
  <si>
    <t>Lightstar Renewables - Project 1004</t>
  </si>
  <si>
    <t>Jogee Road Solar</t>
  </si>
  <si>
    <t>Barefoot Solar</t>
  </si>
  <si>
    <t>Madison Energy Investments LLC</t>
  </si>
  <si>
    <t>Release Date 9/28/23</t>
  </si>
  <si>
    <t>NOTE: 2022 923</t>
  </si>
  <si>
    <t>data via email on 12/20/23 (request 12/20/23)</t>
  </si>
  <si>
    <t>x</t>
  </si>
  <si>
    <t>says Non-Cogen and did not burn biomass in 2022</t>
  </si>
  <si>
    <t>Did not burn wood in 2022, just NG</t>
  </si>
  <si>
    <t>combusts OBL</t>
  </si>
  <si>
    <t>12/19/23-ISO Gen-Nel-ISO-States (Revised published: 12/17/2023)</t>
  </si>
  <si>
    <t>New York, New Brunswick and Quebec System Mix certificates that settle in a state are included as a 'fuel type' in these tables. Emissions are calculated on the 'GIS CO2e' tab using an emission rate from the 'State &amp; Provinces Summary Tables' tab.</t>
  </si>
  <si>
    <t>New in 2020</t>
  </si>
  <si>
    <t>New in 2021</t>
  </si>
  <si>
    <t>Fuel Cell GIS notes: 2020 was the first year that Fuel Cell certificates transferred between states (NON certificates from MA to CT) and in 2021 MSS certificates transferred from CT to ME.</t>
  </si>
  <si>
    <t>EIA Form 923 and EPA Part 75</t>
  </si>
  <si>
    <t xml:space="preserve">MSS </t>
  </si>
  <si>
    <t>SRECII Factor Adjustment added to MA to MA Solar Photovoltaic certificates</t>
  </si>
  <si>
    <t>SRECII Adjustment</t>
  </si>
  <si>
    <t>Solar Carve-out and Solar Carve-out II Program Information | Mass.gov</t>
  </si>
  <si>
    <t>AR6 = 2021 Sixth Assessment Report</t>
  </si>
  <si>
    <t>AR6, 100-year</t>
  </si>
  <si>
    <t>AR6, 20-year</t>
  </si>
  <si>
    <t>Released: October 19, 2023 with data for 2022
Next Update: October 2024</t>
  </si>
  <si>
    <t>5/22/24-Updates to Lignite Coal, Waste</t>
  </si>
  <si>
    <t>Federal Register :: Greenhouse Gas Reporting Rule: Revisions and Confidentiality Determinations for Petroleum and Natural Gas Systems</t>
  </si>
  <si>
    <r>
      <t>1</t>
    </r>
    <r>
      <rPr>
        <sz val="10"/>
        <rFont val="Arial"/>
        <family val="2"/>
      </rPr>
      <t xml:space="preserve">  Reporters subject to subpart W of this part may only use the default CH </t>
    </r>
    <r>
      <rPr>
        <vertAlign val="subscript"/>
        <sz val="10"/>
        <rFont val="Arial"/>
        <family val="2"/>
      </rPr>
      <t>4</t>
    </r>
    <r>
      <rPr>
        <sz val="10"/>
        <rFont val="Arial"/>
        <family val="2"/>
      </rPr>
      <t xml:space="preserve"> emission factor for natural gas-fired combustion units that are not reciprocating internal combustion engines or gas turbines. For natural gas-fired reciprocating internal combustion engines or gas turbines, at facilities subject to subpart W of this part, reporters must use a CH</t>
    </r>
    <r>
      <rPr>
        <vertAlign val="subscript"/>
        <sz val="10"/>
        <rFont val="Arial"/>
        <family val="2"/>
      </rPr>
      <t>4</t>
    </r>
    <r>
      <rPr>
        <sz val="10"/>
        <rFont val="Arial"/>
        <family val="2"/>
      </rPr>
      <t xml:space="preserve"> emission factor determined in accordance with § 98.233(z)(4).</t>
    </r>
  </si>
  <si>
    <r>
      <t>Natural Gas</t>
    </r>
    <r>
      <rPr>
        <vertAlign val="superscript"/>
        <sz val="9"/>
        <rFont val="Arial"/>
        <family val="2"/>
      </rPr>
      <t>1</t>
    </r>
  </si>
  <si>
    <t>GHG Emission Factors (EFs) for Massachusetts Retail Seller GHG Reporting (before and after Retail Seller claiming specific generation)</t>
  </si>
  <si>
    <r>
      <t>The</t>
    </r>
    <r>
      <rPr>
        <b/>
        <sz val="10"/>
        <color indexed="8"/>
        <rFont val="Calibri (Body)"/>
      </rPr>
      <t xml:space="preserve"> Summary Tables </t>
    </r>
    <r>
      <rPr>
        <sz val="10"/>
        <color indexed="8"/>
        <rFont val="Calibri (Body)"/>
      </rPr>
      <t>[D14:Q17] include the Initial Emission Factors Summary Table [D14:G17], the Retail Seller MWh and GHGs [I14:L17] and the Final Emissions Factors Summary Table [N14:Q17].</t>
    </r>
  </si>
  <si>
    <r>
      <t>The</t>
    </r>
    <r>
      <rPr>
        <b/>
        <sz val="10"/>
        <color indexed="8"/>
        <rFont val="Calibri (Body)"/>
      </rPr>
      <t xml:space="preserve"> Initial Emissions Factor Summary Table </t>
    </r>
    <r>
      <rPr>
        <sz val="10"/>
        <color indexed="8"/>
        <rFont val="Calibri (Body)"/>
      </rPr>
      <t>[D14:G17] summarizes the initial Massachusetts-based and Regional non-biogenic and biogenic CO2e emission rates for Massachusetts retail sellers of electricity in pounds of CO2e per MWh, after accounting for all GIS certificates.</t>
    </r>
  </si>
  <si>
    <r>
      <rPr>
        <b/>
        <sz val="10"/>
        <color indexed="8"/>
        <rFont val="Calibri (Body)"/>
      </rPr>
      <t xml:space="preserve">Specific Generation from Massachusetts Retail Sellers: MWh and GHGs </t>
    </r>
    <r>
      <rPr>
        <sz val="10"/>
        <color indexed="8"/>
        <rFont val="Calibri (Body)"/>
      </rPr>
      <t>[I13:L17] summarizes the specific MWh and non-biogenic and biogenic CO2e emissions claimed by retail sellers in their GHG tabs and optional AQ31 reports.</t>
    </r>
  </si>
  <si>
    <t>Initial Emission Factors
 Summary Table</t>
  </si>
  <si>
    <t>GHG Emission Factors accounting for all GIS certificates
(lb CO2e/MWh)</t>
  </si>
  <si>
    <t>These values are used for the initial GHG emission factors in MA Retail Seller GHG reporting.</t>
  </si>
  <si>
    <t>Massachusetts-Based</t>
  </si>
  <si>
    <t>Regional</t>
  </si>
  <si>
    <t xml:space="preserve">Specific Generation from Massachusetts Retail Sellers: MWh and GHGs </t>
  </si>
  <si>
    <t>Fom Municipal Electric Departments &amp; Light Boards
(AQ31)</t>
  </si>
  <si>
    <t>From Competitive Suppliers &amp; Electric Utilities
(GHG tab)</t>
  </si>
  <si>
    <t>MWh</t>
  </si>
  <si>
    <t>Non-Biogenic CO2e (lb)</t>
  </si>
  <si>
    <t>Biogenic CO2e (lb)</t>
  </si>
  <si>
    <t>FINAL Emission Factors
Summary Table</t>
  </si>
  <si>
    <t>GHG Emission Factors after accounting for Massachusetts Retail Seller's specific GIS certificates
(lb CO2e/MWh)</t>
  </si>
  <si>
    <t>These are the emission factors to be used for MA Retail Seller GHG reporting.</t>
  </si>
  <si>
    <t>Massachusetts-
Based</t>
  </si>
  <si>
    <t>The GIS Tables also include electricity generation certificates settled or reserved by a retail seller, state, or municipality in accordance with a contract (or some other mechanism). .</t>
  </si>
  <si>
    <t>The NON MMBTUs do not need to be subtracted from the generating state since emissions from these units they not originally included in the 923 or ISO data.</t>
  </si>
  <si>
    <r>
      <t xml:space="preserve">The </t>
    </r>
    <r>
      <rPr>
        <b/>
        <sz val="10"/>
        <rFont val="Calibri (Body)"/>
      </rPr>
      <t>Final Emissions Factor Summary Table</t>
    </r>
    <r>
      <rPr>
        <sz val="10"/>
        <rFont val="Calibri (Body)"/>
      </rPr>
      <t xml:space="preserve"> [N14:Q17] summarizes the Final EFs that would be used for Retail Seller emissions reporting. It shows the EFs after removing MA retail seller specific claims in the Retail Seller MWh and GHGs Summary Table from the Initial EFs. The Final EF is set to zero if it was otherise negative after removing retail seller specific claims.</t>
    </r>
  </si>
  <si>
    <t>MWh Value is entered above [Cell Q46] and then added to MA GIS certificate Imports Summary [Cell V296] and NY GIS certificates Exported Summary data [Cell AK297] below.</t>
  </si>
  <si>
    <t>Certificates that settle or are reserved in the same state they were generated in are in the grey columns. (Certificates that do not settle in any particular state are typically not counted.)</t>
  </si>
  <si>
    <r>
      <t xml:space="preserve">Certain MWh associated with the Massachusetts municipal retail sellers' contracts for hydropower from Niagara Falls (NYPA) are entered in </t>
    </r>
    <r>
      <rPr>
        <b/>
        <sz val="10"/>
        <rFont val="Arial"/>
        <family val="2"/>
      </rPr>
      <t>Cell Q46</t>
    </r>
    <r>
      <rPr>
        <sz val="10"/>
        <rFont val="Arial"/>
        <family val="2"/>
      </rPr>
      <t xml:space="preserve"> below. These MWh are included in the summary table at bottom but not in the individual state tables below.</t>
    </r>
  </si>
  <si>
    <r>
      <t xml:space="preserve">Note that NYPA unit-specific GIS certificates became available part way through the 2022 emissions year. The value in </t>
    </r>
    <r>
      <rPr>
        <b/>
        <sz val="10"/>
        <rFont val="Arial"/>
        <family val="2"/>
      </rPr>
      <t>Cell Q46</t>
    </r>
    <r>
      <rPr>
        <sz val="10"/>
        <rFont val="Arial"/>
        <family val="2"/>
      </rPr>
      <t xml:space="preserve"> is the difference between the MWh claimed on the AQ31 Reports (and DPU returns) filed for 2022 and the unit-specific certificates reserved for 2022.</t>
    </r>
  </si>
  <si>
    <t xml:space="preserve">Included in the GIS Tables below: 427,300 Hydroelectric NEPOOL GIS certificates, purchased by the Commonwealth of Massachusetts/MBTA as shown in the 2022 GIS Transfer Report provided to MassDEP. These MWh were not settled or reserved. </t>
  </si>
  <si>
    <t>RPS SRECII units are each assigned a factor that reduces the number of MA Solar Photovoltaic certificates minted by up to 50% of their MWh output.</t>
  </si>
  <si>
    <r>
      <t xml:space="preserve">To account for the full output of SRECII units, </t>
    </r>
    <r>
      <rPr>
        <b/>
        <sz val="10"/>
        <rFont val="Arial"/>
        <family val="2"/>
      </rPr>
      <t>Cells Q52 and R52 a</t>
    </r>
    <r>
      <rPr>
        <sz val="10"/>
        <rFont val="Arial"/>
        <family val="2"/>
      </rPr>
      <t xml:space="preserve">re added to the solar photovoltaic totals for MA in </t>
    </r>
    <r>
      <rPr>
        <b/>
        <sz val="10"/>
        <rFont val="Arial"/>
        <family val="2"/>
      </rPr>
      <t xml:space="preserve">Cells T109 and U109 </t>
    </r>
    <r>
      <rPr>
        <sz val="10"/>
        <rFont val="Arial"/>
        <family val="2"/>
      </rPr>
      <t>by meter type.</t>
    </r>
  </si>
  <si>
    <t>Fuel Cell GIS note: MA APS allows 1.5 certificates for each MWh from fuel cells; therefore, MA certificates are reduced accordingly in Row 100.</t>
  </si>
  <si>
    <t>https://www.govinfo.gov/content/pkg/CFR-2023-title40-vol23/pdf/CFR-2023-title40-vol23-part98-subpartC-appC.pdf</t>
  </si>
  <si>
    <t>https://www.govinfo.gov/content/pkg/CFR-2023-title40-vol23/pdf/CFR-2023-title40-vol23-part98-subpartC-appC-id531.pdf</t>
  </si>
  <si>
    <t>Changes made in 2016 (effective 1/1/2018) do not change the values from the 2014 tables, just some of the fuel names</t>
  </si>
  <si>
    <t>5/22/24 - Table C2 update just adds the note to Natural Gas.</t>
  </si>
  <si>
    <r>
      <rPr>
        <b/>
        <sz val="10"/>
        <rFont val="Calibri"/>
        <family val="2"/>
      </rPr>
      <t>MWh:</t>
    </r>
    <r>
      <rPr>
        <sz val="10"/>
        <rFont val="Calibri"/>
        <family val="2"/>
      </rPr>
      <t xml:space="preserve"> Displays generation and load for each ISO-New England state, and imports from outside ISO-NE, adjusted by GIS certificates. Calculates power exported from states and provinces, and Massachusetts' share of this exported power. Also displays specific generation reported by MA retail sellers.</t>
    </r>
  </si>
  <si>
    <r>
      <rPr>
        <b/>
        <sz val="10"/>
        <rFont val="Calibri"/>
        <family val="2"/>
      </rPr>
      <t xml:space="preserve">lb CO2e: </t>
    </r>
    <r>
      <rPr>
        <sz val="10"/>
        <rFont val="Calibri"/>
        <family val="2"/>
      </rPr>
      <t>Displays emissions from each state and province adjusted by GIS certificates. Calculates emissions exported from states and provinces using export emission rates from the 'State &amp; Province Summary' tab, and Massachusetts' share of these exported emissions.</t>
    </r>
  </si>
  <si>
    <r>
      <rPr>
        <b/>
        <sz val="10"/>
        <rFont val="Calibri"/>
        <family val="2"/>
      </rPr>
      <t>lb CO2e/MWh:</t>
    </r>
    <r>
      <rPr>
        <sz val="10"/>
        <rFont val="Calibri"/>
        <family val="2"/>
      </rPr>
      <t xml:space="preserve"> Calculates MA-Based and Regional Emission Rates from Electricity Consumption Emissions (including for GIS certificates) and Electric Load (including GIS certificates and pumping).</t>
    </r>
  </si>
  <si>
    <t>NE Load [except N. ME] including NE behind-the-meter GIS certificates (MWh)</t>
  </si>
  <si>
    <t>NE GHG Emissions Associated with Load including NE GIS certificate emissions (lb)</t>
  </si>
  <si>
    <t>Total Biogenic CO2 Emissions Exported to MA from Outside NE excluding emissions from GIS certificates) (lb)</t>
  </si>
  <si>
    <r>
      <t xml:space="preserve">Note: </t>
    </r>
    <r>
      <rPr>
        <sz val="10"/>
        <rFont val="Arial"/>
        <family val="2"/>
      </rPr>
      <t>The New Brunswick data summarized here and on the 'Imported Emissions' tab includes: MWh imported into ISO-NE from New Brunswick ('Generation Load Import' tab), emissions from New Brunswick generation ('Generation CO2e' tab), and GIS certificate data.</t>
    </r>
  </si>
  <si>
    <t>MA-Based and Regional Emission Rates &amp; GIS System Mix Emission Rates (NY, NB, Q) [Column H, this tab]</t>
  </si>
  <si>
    <r>
      <rPr>
        <b/>
        <u/>
        <sz val="12"/>
        <rFont val="Arial"/>
        <family val="2"/>
      </rPr>
      <t>GENERATION EMISSIONS TABLES</t>
    </r>
    <r>
      <rPr>
        <b/>
        <sz val="12"/>
        <rFont val="Arial"/>
        <family val="2"/>
      </rPr>
      <t xml:space="preserve">: CALCULATE CO2e EMISSIONS FROM ELECTRICITY GENERATION IN EACH STATE OR PROVINCE </t>
    </r>
  </si>
  <si>
    <t>Scotch Settlement</t>
  </si>
  <si>
    <t>Equus Power I</t>
  </si>
  <si>
    <t>Column E consolidates MMBTUs from GIS certificates leaving a state or province; MSS data for each NE-ISO state, and IMP data for states and provinces outside ISO-NE.</t>
  </si>
  <si>
    <t>ME fuel-specific MSS &amp; IMP MMBTUs to RI</t>
  </si>
  <si>
    <t>MMBTUs for certificates that settle or are reserved in-state (grey columns) are not calculated in these tables since they have no impact on certificate transfer emissions.</t>
  </si>
  <si>
    <t>Distributed generation comes from the commercial, industrial or residential sectors, rather than the electricity sector, so the emissions from this generation are also not included data sources for the 'Generation CO2e' tab.</t>
  </si>
  <si>
    <t>The certificates may be either RPS-eligible electricity generation certificates or electricity generation certificates settled or reserved by a retail seller, state, or municipality in accordance with a contract (or some other mechanism).</t>
  </si>
  <si>
    <t>* Factors for synthesis gas derived from coal and synthesis gas derived from petroleum coke are based on the fuel source used to produce the synthesis gas.</t>
  </si>
  <si>
    <t>Non-combustion process emissions of CO2 from Fuel Cells using natural gas for each state are calculated separately from natural gas combustion emissions on the Generation CO2e tab. Non-combustion emissions from GIS certificates for fuel cells using natural gas are calculated on the GIS CO2e tab.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</si>
</sst>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9">
    <numFmt numFmtId="43" formatCode="_(* #,##0.00_);_(* \(#,##0.00\);_(* &quot;-&quot;??_);_(@_)"/>
    <numFmt numFmtId="164" formatCode="#,##0.000"/>
    <numFmt numFmtId="165" formatCode="_(* #,##0.0_);_(* \(#,##0.0\);_(* &quot;-&quot;??_);_(@_)"/>
    <numFmt numFmtId="166" formatCode="_(* #,##0_);_(* \(#,##0\);_(* &quot;-&quot;??_);_(@_)"/>
    <numFmt numFmtId="167" formatCode="0.0%"/>
    <numFmt numFmtId="168" formatCode="#,##0.0"/>
    <numFmt numFmtId="169" formatCode="#,##0.0000"/>
    <numFmt numFmtId="170" formatCode="0.0000"/>
    <numFmt numFmtId="171" formatCode="0.000"/>
    <numFmt numFmtId="172" formatCode="0.0"/>
    <numFmt numFmtId="173" formatCode="_(* #,##0.0_);_(* \(#,##0.0\);_(* &quot;-&quot;?_);_(@_)"/>
    <numFmt numFmtId="174" formatCode="#,##0.0_);[Red]\(#,##0.0\)"/>
    <numFmt numFmtId="175" formatCode="0.00000"/>
    <numFmt numFmtId="176" formatCode="#,##0.000000"/>
    <numFmt numFmtId="177" formatCode="_-* #,##0.00_-;\-* #,##0.00_-;_-* &quot;-&quot;??_-;_-@_-"/>
    <numFmt numFmtId="178" formatCode="&quot;$&quot;#,##0\ ;\(&quot;$&quot;#,##0\)"/>
    <numFmt numFmtId="179" formatCode="m/d"/>
    <numFmt numFmtId="180" formatCode="0.0000%"/>
    <numFmt numFmtId="181" formatCode="m/d/yy\ h:mm:ss"/>
  </numFmts>
  <fonts count="150">
    <font>
      <sz val="10"/>
      <name val="Arial"/>
    </font>
    <font>
      <sz val="11"/>
      <color theme="1"/>
      <name val="Calibri"/>
      <family val="2"/>
      <scheme val="minor"/>
    </font>
    <font>
      <sz val="10"/>
      <name val="Arial"/>
      <family val="2"/>
    </font>
    <font>
      <b/>
      <sz val="12"/>
      <name val="Arial"/>
      <family val="2"/>
    </font>
    <font>
      <sz val="10"/>
      <color indexed="8"/>
      <name val="Arial"/>
      <family val="2"/>
    </font>
    <font>
      <sz val="10"/>
      <name val="Arial"/>
      <family val="2"/>
    </font>
    <font>
      <sz val="8"/>
      <name val="Arial"/>
      <family val="2"/>
    </font>
    <font>
      <u/>
      <sz val="10"/>
      <color indexed="12"/>
      <name val="Arial"/>
      <family val="2"/>
    </font>
    <font>
      <sz val="8"/>
      <name val="Arial"/>
      <family val="2"/>
    </font>
    <font>
      <b/>
      <sz val="10"/>
      <name val="Arial"/>
      <family val="2"/>
    </font>
    <font>
      <b/>
      <sz val="11"/>
      <color indexed="8"/>
      <name val="Calibri"/>
      <family val="2"/>
    </font>
    <font>
      <sz val="11"/>
      <color indexed="8"/>
      <name val="Calibri"/>
      <family val="2"/>
    </font>
    <font>
      <sz val="11"/>
      <color indexed="10"/>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u/>
      <sz val="10"/>
      <name val="Arial"/>
      <family val="2"/>
    </font>
    <font>
      <b/>
      <sz val="12"/>
      <color indexed="8"/>
      <name val="Arial"/>
      <family val="2"/>
    </font>
    <font>
      <b/>
      <sz val="10"/>
      <color indexed="8"/>
      <name val="Arial"/>
      <family val="2"/>
    </font>
    <font>
      <sz val="9"/>
      <name val="Arial"/>
      <family val="2"/>
    </font>
    <font>
      <b/>
      <sz val="9"/>
      <name val="Arial"/>
      <family val="2"/>
    </font>
    <font>
      <sz val="8"/>
      <color indexed="8"/>
      <name val="Arial"/>
      <family val="2"/>
    </font>
    <font>
      <b/>
      <sz val="11"/>
      <name val="Arial"/>
      <family val="2"/>
    </font>
    <font>
      <b/>
      <sz val="12"/>
      <color indexed="30"/>
      <name val="Arial"/>
      <family val="2"/>
    </font>
    <font>
      <b/>
      <sz val="9"/>
      <color indexed="61"/>
      <name val="Arial"/>
      <family val="2"/>
    </font>
    <font>
      <b/>
      <sz val="10"/>
      <color indexed="8"/>
      <name val="Arial"/>
      <family val="2"/>
    </font>
    <font>
      <b/>
      <u/>
      <sz val="10"/>
      <name val="Arial"/>
      <family val="2"/>
    </font>
    <font>
      <b/>
      <u/>
      <sz val="12"/>
      <name val="Arial"/>
      <family val="2"/>
    </font>
    <font>
      <sz val="12"/>
      <name val="Arial"/>
      <family val="2"/>
    </font>
    <font>
      <i/>
      <u/>
      <sz val="10"/>
      <name val="Arial"/>
      <family val="2"/>
    </font>
    <font>
      <sz val="10"/>
      <name val="Calibri"/>
      <family val="2"/>
    </font>
    <font>
      <b/>
      <sz val="10"/>
      <name val="Calibri"/>
      <family val="2"/>
    </font>
    <font>
      <sz val="11"/>
      <color indexed="8"/>
      <name val="Arial"/>
      <family val="2"/>
    </font>
    <font>
      <sz val="11"/>
      <name val="Arial"/>
      <family val="2"/>
    </font>
    <font>
      <b/>
      <sz val="8"/>
      <name val="Arial"/>
      <family val="2"/>
    </font>
    <font>
      <b/>
      <sz val="11"/>
      <color indexed="53"/>
      <name val="Arial"/>
      <family val="2"/>
    </font>
    <font>
      <b/>
      <sz val="11"/>
      <color indexed="55"/>
      <name val="Arial"/>
      <family val="2"/>
    </font>
    <font>
      <sz val="9"/>
      <color indexed="81"/>
      <name val="Tahoma"/>
      <family val="2"/>
    </font>
    <font>
      <b/>
      <sz val="9"/>
      <color indexed="81"/>
      <name val="Tahoma"/>
      <family val="2"/>
    </font>
    <font>
      <sz val="10"/>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1"/>
      <color theme="10"/>
      <name val="Calibri"/>
      <family val="2"/>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0"/>
      <color rgb="FFFF0000"/>
      <name val="Arial"/>
      <family val="2"/>
    </font>
    <font>
      <sz val="11"/>
      <name val="Calibri"/>
      <family val="2"/>
      <scheme val="minor"/>
    </font>
    <font>
      <b/>
      <sz val="10"/>
      <color rgb="FF0000FF"/>
      <name val="Arial"/>
      <family val="2"/>
    </font>
    <font>
      <sz val="16"/>
      <color rgb="FFFF0000"/>
      <name val="Arial"/>
      <family val="2"/>
    </font>
    <font>
      <b/>
      <sz val="11"/>
      <name val="Calibri"/>
      <family val="2"/>
      <scheme val="minor"/>
    </font>
    <font>
      <sz val="9"/>
      <color rgb="FFFF0000"/>
      <name val="Arial"/>
      <family val="2"/>
    </font>
    <font>
      <sz val="10"/>
      <name val="Calibri"/>
      <family val="2"/>
      <scheme val="minor"/>
    </font>
    <font>
      <b/>
      <u/>
      <sz val="10"/>
      <color rgb="FFFF0000"/>
      <name val="Arial"/>
      <family val="2"/>
    </font>
    <font>
      <sz val="8"/>
      <name val="Calibri"/>
      <family val="2"/>
      <scheme val="minor"/>
    </font>
    <font>
      <b/>
      <sz val="10"/>
      <color rgb="FFFF0000"/>
      <name val="Arial"/>
      <family val="2"/>
    </font>
    <font>
      <u/>
      <sz val="10"/>
      <color rgb="FFFF0000"/>
      <name val="Arial"/>
      <family val="2"/>
    </font>
    <font>
      <sz val="10"/>
      <color theme="0" tint="-0.34998626667073579"/>
      <name val="Arial"/>
      <family val="2"/>
    </font>
    <font>
      <b/>
      <sz val="12"/>
      <name val="Calibri"/>
      <family val="2"/>
      <scheme val="minor"/>
    </font>
    <font>
      <b/>
      <u/>
      <sz val="12"/>
      <color indexed="8"/>
      <name val="Calibri"/>
      <family val="2"/>
      <scheme val="minor"/>
    </font>
    <font>
      <i/>
      <sz val="11"/>
      <color indexed="8"/>
      <name val="Calibri"/>
      <family val="2"/>
      <scheme val="minor"/>
    </font>
    <font>
      <sz val="10"/>
      <color rgb="FFFF0000"/>
      <name val="Calibri"/>
      <family val="2"/>
      <scheme val="minor"/>
    </font>
    <font>
      <sz val="10"/>
      <color theme="7"/>
      <name val="Calibri"/>
      <family val="2"/>
      <scheme val="minor"/>
    </font>
    <font>
      <sz val="10"/>
      <color theme="5" tint="-0.249977111117893"/>
      <name val="Calibri"/>
      <family val="2"/>
      <scheme val="minor"/>
    </font>
    <font>
      <b/>
      <sz val="10"/>
      <color rgb="FFFF0000"/>
      <name val="Calibri"/>
      <family val="2"/>
      <scheme val="minor"/>
    </font>
    <font>
      <b/>
      <sz val="10"/>
      <color indexed="8"/>
      <name val="Calibri"/>
      <family val="2"/>
      <scheme val="minor"/>
    </font>
    <font>
      <sz val="10"/>
      <color indexed="8"/>
      <name val="Calibri"/>
      <family val="2"/>
      <scheme val="minor"/>
    </font>
    <font>
      <b/>
      <sz val="10"/>
      <name val="Calibri"/>
      <family val="2"/>
      <scheme val="minor"/>
    </font>
    <font>
      <b/>
      <sz val="8"/>
      <color indexed="8"/>
      <name val="Calibri"/>
      <family val="2"/>
      <scheme val="minor"/>
    </font>
    <font>
      <b/>
      <sz val="8"/>
      <name val="Calibri"/>
      <family val="2"/>
      <scheme val="minor"/>
    </font>
    <font>
      <b/>
      <sz val="10"/>
      <color rgb="FF0000FF"/>
      <name val="Calibri"/>
      <family val="2"/>
      <scheme val="minor"/>
    </font>
    <font>
      <sz val="8"/>
      <color rgb="FFFF0000"/>
      <name val="Calibri"/>
      <family val="2"/>
      <scheme val="minor"/>
    </font>
    <font>
      <b/>
      <sz val="11"/>
      <color indexed="8"/>
      <name val="Calibri"/>
      <family val="2"/>
      <scheme val="minor"/>
    </font>
    <font>
      <sz val="10"/>
      <color theme="7" tint="-0.249977111117893"/>
      <name val="Calibri"/>
      <family val="2"/>
      <scheme val="minor"/>
    </font>
    <font>
      <sz val="8"/>
      <color indexed="8"/>
      <name val="Calibri"/>
      <family val="2"/>
      <scheme val="minor"/>
    </font>
    <font>
      <sz val="10"/>
      <color theme="6" tint="-0.499984740745262"/>
      <name val="Arial"/>
      <family val="2"/>
    </font>
    <font>
      <sz val="11"/>
      <color rgb="FF000000"/>
      <name val="Arial"/>
      <family val="2"/>
    </font>
    <font>
      <b/>
      <sz val="10"/>
      <color theme="1"/>
      <name val="Arial"/>
      <family val="2"/>
    </font>
    <font>
      <sz val="11"/>
      <color rgb="FFFF0000"/>
      <name val="Arial"/>
      <family val="2"/>
    </font>
    <font>
      <b/>
      <sz val="11"/>
      <color rgb="FFFF0000"/>
      <name val="Arial"/>
      <family val="2"/>
    </font>
    <font>
      <b/>
      <sz val="11"/>
      <color theme="1"/>
      <name val="Arial"/>
      <family val="2"/>
    </font>
    <font>
      <sz val="11"/>
      <color theme="1"/>
      <name val="Arial"/>
      <family val="2"/>
    </font>
    <font>
      <sz val="10"/>
      <color theme="0"/>
      <name val="Arial"/>
      <family val="2"/>
    </font>
    <font>
      <sz val="10"/>
      <color theme="1"/>
      <name val="Arial"/>
      <family val="2"/>
    </font>
    <font>
      <b/>
      <sz val="16"/>
      <color theme="0" tint="-0.499984740745262"/>
      <name val="Calibri"/>
      <family val="2"/>
      <scheme val="minor"/>
    </font>
    <font>
      <u/>
      <sz val="10"/>
      <color theme="3" tint="-0.249977111117893"/>
      <name val="Arial"/>
      <family val="2"/>
    </font>
    <font>
      <b/>
      <sz val="16"/>
      <name val="Calibri"/>
      <family val="2"/>
      <scheme val="minor"/>
    </font>
    <font>
      <i/>
      <sz val="10"/>
      <name val="Calibri"/>
      <family val="2"/>
      <scheme val="minor"/>
    </font>
    <font>
      <sz val="10"/>
      <color indexed="8"/>
      <name val="Arial"/>
      <family val="2"/>
    </font>
    <font>
      <b/>
      <sz val="12"/>
      <color indexed="30"/>
      <name val="Arial"/>
      <family val="2"/>
    </font>
    <font>
      <sz val="11"/>
      <color rgb="FF000000"/>
      <name val="Calibri"/>
      <family val="2"/>
    </font>
    <font>
      <sz val="11"/>
      <color rgb="FF000000"/>
      <name val="Calibri"/>
      <family val="2"/>
      <scheme val="minor"/>
    </font>
    <font>
      <b/>
      <sz val="11"/>
      <color rgb="FF000000"/>
      <name val="Calibri"/>
      <family val="2"/>
      <scheme val="minor"/>
    </font>
    <font>
      <b/>
      <i/>
      <sz val="10"/>
      <name val="Calibri"/>
      <family val="2"/>
      <scheme val="minor"/>
    </font>
    <font>
      <b/>
      <sz val="10"/>
      <color indexed="81"/>
      <name val="Arial"/>
      <family val="2"/>
    </font>
    <font>
      <sz val="10"/>
      <color theme="3" tint="-0.249977111117893"/>
      <name val="Arial"/>
      <family val="2"/>
    </font>
    <font>
      <b/>
      <sz val="12"/>
      <name val="Times New Roman"/>
      <family val="1"/>
    </font>
    <font>
      <sz val="9"/>
      <name val="Times New Roman"/>
      <family val="1"/>
    </font>
    <font>
      <b/>
      <sz val="9"/>
      <name val="Times New Roman"/>
      <family val="1"/>
    </font>
    <font>
      <sz val="9"/>
      <color indexed="8"/>
      <name val="Times New Roman"/>
      <family val="1"/>
    </font>
    <font>
      <sz val="12"/>
      <color indexed="8"/>
      <name val="Times New Roman"/>
      <family val="1"/>
    </font>
    <font>
      <sz val="10"/>
      <name val="Arial Cyr"/>
      <charset val="204"/>
    </font>
    <font>
      <b/>
      <sz val="18"/>
      <name val="Arial"/>
      <family val="2"/>
    </font>
    <font>
      <b/>
      <sz val="12"/>
      <color indexed="8"/>
      <name val="Times New Roman"/>
      <family val="1"/>
    </font>
    <font>
      <sz val="12"/>
      <name val="Times New Roman"/>
      <family val="1"/>
    </font>
    <font>
      <sz val="8"/>
      <name val="Helvetica"/>
      <family val="2"/>
    </font>
    <font>
      <u/>
      <sz val="10"/>
      <color indexed="12"/>
      <name val="Times New Roman"/>
      <family val="1"/>
    </font>
    <font>
      <i/>
      <sz val="10"/>
      <name val="Arial"/>
      <family val="2"/>
    </font>
    <font>
      <sz val="11"/>
      <color indexed="9"/>
      <name val="Calibri"/>
      <family val="2"/>
    </font>
    <font>
      <b/>
      <sz val="11"/>
      <color indexed="9"/>
      <name val="Calibri"/>
      <family val="2"/>
    </font>
    <font>
      <b/>
      <sz val="11"/>
      <color indexed="56"/>
      <name val="Calibri"/>
      <family val="2"/>
    </font>
    <font>
      <b/>
      <sz val="18"/>
      <color indexed="56"/>
      <name val="Cambria"/>
      <family val="2"/>
    </font>
    <font>
      <sz val="14"/>
      <name val="Arial"/>
      <family val="2"/>
    </font>
    <font>
      <sz val="18"/>
      <name val="Arial"/>
      <family val="2"/>
    </font>
    <font>
      <b/>
      <sz val="15"/>
      <color indexed="56"/>
      <name val="Calibri"/>
      <family val="2"/>
    </font>
    <font>
      <b/>
      <sz val="13"/>
      <color indexed="56"/>
      <name val="Calibri"/>
      <family val="2"/>
    </font>
    <font>
      <b/>
      <u/>
      <sz val="12"/>
      <color theme="10"/>
      <name val="Times New Roman"/>
      <family val="1"/>
    </font>
    <font>
      <u/>
      <sz val="10"/>
      <color theme="10"/>
      <name val="Arial"/>
      <family val="2"/>
    </font>
    <font>
      <sz val="11"/>
      <color indexed="10"/>
      <name val="Calibri"/>
      <family val="2"/>
      <scheme val="minor"/>
    </font>
    <font>
      <vertAlign val="superscript"/>
      <sz val="10"/>
      <name val="Arial"/>
      <family val="2"/>
    </font>
    <font>
      <vertAlign val="subscript"/>
      <sz val="10"/>
      <name val="Arial"/>
      <family val="2"/>
    </font>
    <font>
      <vertAlign val="superscript"/>
      <sz val="9"/>
      <name val="Arial"/>
      <family val="2"/>
    </font>
    <font>
      <sz val="10"/>
      <color theme="1"/>
      <name val="Calibri (Body)"/>
    </font>
    <font>
      <b/>
      <sz val="10"/>
      <color indexed="8"/>
      <name val="Calibri (Body)"/>
    </font>
    <font>
      <sz val="10"/>
      <color indexed="8"/>
      <name val="Calibri (Body)"/>
    </font>
    <font>
      <sz val="10"/>
      <name val="Calibri (Body)"/>
    </font>
    <font>
      <b/>
      <sz val="10"/>
      <name val="Calibri (Body)"/>
    </font>
  </fonts>
  <fills count="92">
    <fill>
      <patternFill patternType="none"/>
    </fill>
    <fill>
      <patternFill patternType="gray125"/>
    </fill>
    <fill>
      <patternFill patternType="solid">
        <fgColor indexed="9"/>
      </patternFill>
    </fill>
    <fill>
      <patternFill patternType="solid">
        <fgColor indexed="47"/>
      </patternFill>
    </fill>
    <fill>
      <patternFill patternType="solid">
        <fgColor indexed="45"/>
      </patternFill>
    </fill>
    <fill>
      <patternFill patternType="solid">
        <fgColor indexed="26"/>
      </patternFill>
    </fill>
    <fill>
      <patternFill patternType="solid">
        <fgColor indexed="42"/>
      </patternFill>
    </fill>
    <fill>
      <patternFill patternType="solid">
        <fgColor indexed="27"/>
      </patternFill>
    </fill>
    <fill>
      <patternFill patternType="solid">
        <fgColor indexed="22"/>
      </patternFill>
    </fill>
    <fill>
      <patternFill patternType="solid">
        <fgColor indexed="44"/>
      </patternFill>
    </fill>
    <fill>
      <patternFill patternType="solid">
        <fgColor indexed="29"/>
      </patternFill>
    </fill>
    <fill>
      <patternFill patternType="solid">
        <fgColor indexed="43"/>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55"/>
      </patternFill>
    </fill>
    <fill>
      <patternFill patternType="solid">
        <fgColor indexed="23"/>
        <bgColor indexed="64"/>
      </patternFill>
    </fill>
    <fill>
      <patternFill patternType="solid">
        <fgColor indexed="65"/>
        <bgColor indexed="64"/>
      </patternFill>
    </fill>
    <fill>
      <patternFill patternType="solid">
        <fgColor indexed="41"/>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00"/>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9" tint="-0.249977111117893"/>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rgb="FFFFFFFF"/>
        <bgColor indexed="64"/>
      </patternFill>
    </fill>
    <fill>
      <patternFill patternType="solid">
        <fgColor theme="5" tint="0.79998168889431442"/>
        <bgColor indexed="64"/>
      </patternFill>
    </fill>
    <fill>
      <patternFill patternType="solid">
        <fgColor theme="0" tint="-0.249977111117893"/>
        <bgColor indexed="64"/>
      </patternFill>
    </fill>
    <fill>
      <patternFill patternType="solid">
        <fgColor theme="9" tint="0.39997558519241921"/>
        <bgColor indexed="64"/>
      </patternFill>
    </fill>
    <fill>
      <patternFill patternType="solid">
        <fgColor rgb="FFCFEAF7"/>
        <bgColor indexed="64"/>
      </patternFill>
    </fill>
    <fill>
      <patternFill patternType="solid">
        <fgColor rgb="FFFFFFCC"/>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theme="7" tint="0.79998168889431442"/>
        <bgColor indexed="64"/>
      </patternFill>
    </fill>
    <fill>
      <patternFill patternType="solid">
        <fgColor theme="6" tint="0.59999389629810485"/>
        <bgColor indexed="64"/>
      </patternFill>
    </fill>
    <fill>
      <patternFill patternType="solid">
        <fgColor theme="1" tint="0.249977111117893"/>
        <bgColor indexed="64"/>
      </patternFill>
    </fill>
    <fill>
      <patternFill patternType="solid">
        <fgColor rgb="FFCCFFFF"/>
        <bgColor indexed="64"/>
      </patternFill>
    </fill>
    <fill>
      <patternFill patternType="solid">
        <fgColor rgb="FF00FF00"/>
        <bgColor indexed="64"/>
      </patternFill>
    </fill>
    <fill>
      <patternFill patternType="solid">
        <fgColor theme="8" tint="0.59999389629810485"/>
        <bgColor indexed="64"/>
      </patternFill>
    </fill>
    <fill>
      <patternFill patternType="solid">
        <fgColor theme="9"/>
        <bgColor indexed="64"/>
      </patternFill>
    </fill>
    <fill>
      <patternFill patternType="solid">
        <fgColor theme="0" tint="-0.34998626667073579"/>
        <bgColor indexed="64"/>
      </patternFill>
    </fill>
    <fill>
      <patternFill patternType="solid">
        <fgColor theme="2"/>
        <bgColor indexed="64"/>
      </patternFill>
    </fill>
    <fill>
      <patternFill patternType="solid">
        <fgColor theme="1" tint="0.499984740745262"/>
        <bgColor indexed="64"/>
      </patternFill>
    </fill>
    <fill>
      <patternFill patternType="solid">
        <fgColor indexed="31"/>
      </patternFill>
    </fill>
    <fill>
      <patternFill patternType="solid">
        <fgColor indexed="46"/>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27"/>
        <bgColor indexed="64"/>
      </patternFill>
    </fill>
    <fill>
      <patternFill patternType="solid">
        <fgColor indexed="42"/>
        <bgColor indexed="64"/>
      </patternFill>
    </fill>
    <fill>
      <patternFill patternType="solid">
        <fgColor indexed="47"/>
        <bgColor indexed="64"/>
      </patternFill>
    </fill>
    <fill>
      <patternFill patternType="solid">
        <fgColor indexed="22"/>
        <bgColor indexed="64"/>
      </patternFill>
    </fill>
    <fill>
      <patternFill patternType="darkTrellis"/>
    </fill>
    <fill>
      <patternFill patternType="solid">
        <fgColor indexed="55"/>
        <bgColor indexed="64"/>
      </patternFill>
    </fill>
    <fill>
      <patternFill patternType="solid">
        <fgColor theme="4" tint="0.39997558519241921"/>
        <bgColor indexed="64"/>
      </patternFill>
    </fill>
  </fills>
  <borders count="9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style="thin">
        <color indexed="64"/>
      </top>
      <bottom style="medium">
        <color indexed="64"/>
      </bottom>
      <diagonal/>
    </border>
    <border>
      <left/>
      <right/>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62"/>
      </top>
      <bottom style="double">
        <color indexed="62"/>
      </bottom>
      <diagonal/>
    </border>
    <border>
      <left/>
      <right/>
      <top/>
      <bottom style="medium">
        <color indexed="30"/>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right/>
      <top/>
      <bottom style="thick">
        <color indexed="8"/>
      </bottom>
      <diagonal/>
    </border>
    <border>
      <left/>
      <right style="thick">
        <color indexed="8"/>
      </right>
      <top/>
      <bottom/>
      <diagonal/>
    </border>
    <border>
      <left style="thin">
        <color indexed="8"/>
      </left>
      <right style="thin">
        <color indexed="8"/>
      </right>
      <top/>
      <bottom/>
      <diagonal/>
    </border>
    <border>
      <left style="thin">
        <color indexed="8"/>
      </left>
      <right/>
      <top/>
      <bottom/>
      <diagonal/>
    </border>
    <border>
      <left style="thin">
        <color indexed="8"/>
      </left>
      <right/>
      <top style="thin">
        <color indexed="8"/>
      </top>
      <bottom style="thin">
        <color indexed="8"/>
      </bottom>
      <diagonal/>
    </border>
    <border>
      <left/>
      <right style="thin">
        <color indexed="8"/>
      </right>
      <top/>
      <bottom/>
      <diagonal/>
    </border>
    <border>
      <left/>
      <right style="thin">
        <color indexed="8"/>
      </right>
      <top style="thin">
        <color indexed="8"/>
      </top>
      <bottom style="thin">
        <color indexed="8"/>
      </bottom>
      <diagonal/>
    </border>
    <border>
      <left/>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right/>
      <top style="double">
        <color indexed="0"/>
      </top>
      <bottom/>
      <diagonal/>
    </border>
    <border>
      <left/>
      <right/>
      <top/>
      <bottom style="thick">
        <color indexed="62"/>
      </bottom>
      <diagonal/>
    </border>
  </borders>
  <cellStyleXfs count="1321">
    <xf numFmtId="0" fontId="0" fillId="0" borderId="0"/>
    <xf numFmtId="0" fontId="11" fillId="2" borderId="0" applyNumberFormat="0" applyBorder="0" applyAlignment="0" applyProtection="0"/>
    <xf numFmtId="0" fontId="51" fillId="21" borderId="0" applyNumberFormat="0" applyBorder="0" applyAlignment="0" applyProtection="0"/>
    <xf numFmtId="0" fontId="11" fillId="3" borderId="0" applyNumberFormat="0" applyBorder="0" applyAlignment="0" applyProtection="0"/>
    <xf numFmtId="0" fontId="51" fillId="22" borderId="0" applyNumberFormat="0" applyBorder="0" applyAlignment="0" applyProtection="0"/>
    <xf numFmtId="0" fontId="11" fillId="5" borderId="0" applyNumberFormat="0" applyBorder="0" applyAlignment="0" applyProtection="0"/>
    <xf numFmtId="0" fontId="51" fillId="23" borderId="0" applyNumberFormat="0" applyBorder="0" applyAlignment="0" applyProtection="0"/>
    <xf numFmtId="0" fontId="11" fillId="2" borderId="0" applyNumberFormat="0" applyBorder="0" applyAlignment="0" applyProtection="0"/>
    <xf numFmtId="0" fontId="51" fillId="24" borderId="0" applyNumberFormat="0" applyBorder="0" applyAlignment="0" applyProtection="0"/>
    <xf numFmtId="0" fontId="11" fillId="7" borderId="0" applyNumberFormat="0" applyBorder="0" applyAlignment="0" applyProtection="0"/>
    <xf numFmtId="0" fontId="51" fillId="25" borderId="0" applyNumberFormat="0" applyBorder="0" applyAlignment="0" applyProtection="0"/>
    <xf numFmtId="0" fontId="11" fillId="3" borderId="0" applyNumberFormat="0" applyBorder="0" applyAlignment="0" applyProtection="0"/>
    <xf numFmtId="0" fontId="51" fillId="26" borderId="0" applyNumberFormat="0" applyBorder="0" applyAlignment="0" applyProtection="0"/>
    <xf numFmtId="0" fontId="11" fillId="8" borderId="0" applyNumberFormat="0" applyBorder="0" applyAlignment="0" applyProtection="0"/>
    <xf numFmtId="0" fontId="51" fillId="27" borderId="0" applyNumberFormat="0" applyBorder="0" applyAlignment="0" applyProtection="0"/>
    <xf numFmtId="0" fontId="11" fillId="10" borderId="0" applyNumberFormat="0" applyBorder="0" applyAlignment="0" applyProtection="0"/>
    <xf numFmtId="0" fontId="51" fillId="28" borderId="0" applyNumberFormat="0" applyBorder="0" applyAlignment="0" applyProtection="0"/>
    <xf numFmtId="0" fontId="11" fillId="11" borderId="0" applyNumberFormat="0" applyBorder="0" applyAlignment="0" applyProtection="0"/>
    <xf numFmtId="0" fontId="51" fillId="29" borderId="0" applyNumberFormat="0" applyBorder="0" applyAlignment="0" applyProtection="0"/>
    <xf numFmtId="0" fontId="11" fillId="8" borderId="0" applyNumberFormat="0" applyBorder="0" applyAlignment="0" applyProtection="0"/>
    <xf numFmtId="0" fontId="51" fillId="30" borderId="0" applyNumberFormat="0" applyBorder="0" applyAlignment="0" applyProtection="0"/>
    <xf numFmtId="0" fontId="11" fillId="9" borderId="0" applyNumberFormat="0" applyBorder="0" applyAlignment="0" applyProtection="0"/>
    <xf numFmtId="0" fontId="51" fillId="31" borderId="0" applyNumberFormat="0" applyBorder="0" applyAlignment="0" applyProtection="0"/>
    <xf numFmtId="0" fontId="11" fillId="3" borderId="0" applyNumberFormat="0" applyBorder="0" applyAlignment="0" applyProtection="0"/>
    <xf numFmtId="0" fontId="51" fillId="32" borderId="0" applyNumberFormat="0" applyBorder="0" applyAlignment="0" applyProtection="0"/>
    <xf numFmtId="0" fontId="13" fillId="12" borderId="0" applyNumberFormat="0" applyBorder="0" applyAlignment="0" applyProtection="0"/>
    <xf numFmtId="0" fontId="52" fillId="33" borderId="0" applyNumberFormat="0" applyBorder="0" applyAlignment="0" applyProtection="0"/>
    <xf numFmtId="0" fontId="13" fillId="10" borderId="0" applyNumberFormat="0" applyBorder="0" applyAlignment="0" applyProtection="0"/>
    <xf numFmtId="0" fontId="52" fillId="34" borderId="0" applyNumberFormat="0" applyBorder="0" applyAlignment="0" applyProtection="0"/>
    <xf numFmtId="0" fontId="13" fillId="11" borderId="0" applyNumberFormat="0" applyBorder="0" applyAlignment="0" applyProtection="0"/>
    <xf numFmtId="0" fontId="52" fillId="35" borderId="0" applyNumberFormat="0" applyBorder="0" applyAlignment="0" applyProtection="0"/>
    <xf numFmtId="0" fontId="13" fillId="8" borderId="0" applyNumberFormat="0" applyBorder="0" applyAlignment="0" applyProtection="0"/>
    <xf numFmtId="0" fontId="52" fillId="36" borderId="0" applyNumberFormat="0" applyBorder="0" applyAlignment="0" applyProtection="0"/>
    <xf numFmtId="0" fontId="13" fillId="12" borderId="0" applyNumberFormat="0" applyBorder="0" applyAlignment="0" applyProtection="0"/>
    <xf numFmtId="0" fontId="52" fillId="37" borderId="0" applyNumberFormat="0" applyBorder="0" applyAlignment="0" applyProtection="0"/>
    <xf numFmtId="0" fontId="13" fillId="3" borderId="0" applyNumberFormat="0" applyBorder="0" applyAlignment="0" applyProtection="0"/>
    <xf numFmtId="0" fontId="52" fillId="38" borderId="0" applyNumberFormat="0" applyBorder="0" applyAlignment="0" applyProtection="0"/>
    <xf numFmtId="0" fontId="13" fillId="12" borderId="0" applyNumberFormat="0" applyBorder="0" applyAlignment="0" applyProtection="0"/>
    <xf numFmtId="0" fontId="52" fillId="39" borderId="0" applyNumberFormat="0" applyBorder="0" applyAlignment="0" applyProtection="0"/>
    <xf numFmtId="0" fontId="13" fillId="13" borderId="0" applyNumberFormat="0" applyBorder="0" applyAlignment="0" applyProtection="0"/>
    <xf numFmtId="0" fontId="52" fillId="40" borderId="0" applyNumberFormat="0" applyBorder="0" applyAlignment="0" applyProtection="0"/>
    <xf numFmtId="0" fontId="13" fillId="14" borderId="0" applyNumberFormat="0" applyBorder="0" applyAlignment="0" applyProtection="0"/>
    <xf numFmtId="0" fontId="52" fillId="41" borderId="0" applyNumberFormat="0" applyBorder="0" applyAlignment="0" applyProtection="0"/>
    <xf numFmtId="0" fontId="13" fillId="15" borderId="0" applyNumberFormat="0" applyBorder="0" applyAlignment="0" applyProtection="0"/>
    <xf numFmtId="0" fontId="52" fillId="42" borderId="0" applyNumberFormat="0" applyBorder="0" applyAlignment="0" applyProtection="0"/>
    <xf numFmtId="0" fontId="13" fillId="12" borderId="0" applyNumberFormat="0" applyBorder="0" applyAlignment="0" applyProtection="0"/>
    <xf numFmtId="0" fontId="52" fillId="43" borderId="0" applyNumberFormat="0" applyBorder="0" applyAlignment="0" applyProtection="0"/>
    <xf numFmtId="0" fontId="13" fillId="16" borderId="0" applyNumberFormat="0" applyBorder="0" applyAlignment="0" applyProtection="0"/>
    <xf numFmtId="0" fontId="52" fillId="44" borderId="0" applyNumberFormat="0" applyBorder="0" applyAlignment="0" applyProtection="0"/>
    <xf numFmtId="0" fontId="14" fillId="4" borderId="0" applyNumberFormat="0" applyBorder="0" applyAlignment="0" applyProtection="0"/>
    <xf numFmtId="0" fontId="53" fillId="45" borderId="0" applyNumberFormat="0" applyBorder="0" applyAlignment="0" applyProtection="0"/>
    <xf numFmtId="0" fontId="15" fillId="2" borderId="1" applyNumberFormat="0" applyAlignment="0" applyProtection="0"/>
    <xf numFmtId="0" fontId="54" fillId="46" borderId="67" applyNumberFormat="0" applyAlignment="0" applyProtection="0"/>
    <xf numFmtId="0" fontId="16" fillId="17" borderId="2" applyNumberFormat="0" applyAlignment="0" applyProtection="0"/>
    <xf numFmtId="0" fontId="55" fillId="47" borderId="68" applyNumberFormat="0" applyAlignment="0" applyProtection="0"/>
    <xf numFmtId="43" fontId="2" fillId="0" borderId="0" applyFont="0" applyFill="0" applyBorder="0" applyAlignment="0" applyProtection="0"/>
    <xf numFmtId="43" fontId="5" fillId="0" borderId="0" applyFont="0" applyFill="0" applyBorder="0" applyAlignment="0" applyProtection="0"/>
    <xf numFmtId="43" fontId="5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7" fillId="0" borderId="0" applyNumberFormat="0" applyFill="0" applyBorder="0" applyAlignment="0" applyProtection="0"/>
    <xf numFmtId="0" fontId="56" fillId="0" borderId="0" applyNumberFormat="0" applyFill="0" applyBorder="0" applyAlignment="0" applyProtection="0"/>
    <xf numFmtId="0" fontId="18" fillId="6" borderId="0" applyNumberFormat="0" applyBorder="0" applyAlignment="0" applyProtection="0"/>
    <xf numFmtId="0" fontId="57" fillId="48" borderId="0" applyNumberFormat="0" applyBorder="0" applyAlignment="0" applyProtection="0"/>
    <xf numFmtId="0" fontId="19" fillId="0" borderId="3" applyNumberFormat="0" applyFill="0" applyAlignment="0" applyProtection="0"/>
    <xf numFmtId="0" fontId="58" fillId="0" borderId="69" applyNumberFormat="0" applyFill="0" applyAlignment="0" applyProtection="0"/>
    <xf numFmtId="0" fontId="20" fillId="0" borderId="4" applyNumberFormat="0" applyFill="0" applyAlignment="0" applyProtection="0"/>
    <xf numFmtId="0" fontId="59" fillId="0" borderId="70" applyNumberFormat="0" applyFill="0" applyAlignment="0" applyProtection="0"/>
    <xf numFmtId="0" fontId="21" fillId="0" borderId="5" applyNumberFormat="0" applyFill="0" applyAlignment="0" applyProtection="0"/>
    <xf numFmtId="0" fontId="60" fillId="0" borderId="71" applyNumberFormat="0" applyFill="0" applyAlignment="0" applyProtection="0"/>
    <xf numFmtId="0" fontId="21" fillId="0" borderId="0" applyNumberFormat="0" applyFill="0" applyBorder="0" applyAlignment="0" applyProtection="0"/>
    <xf numFmtId="0" fontId="60" fillId="0" borderId="0" applyNumberFormat="0" applyFill="0" applyBorder="0" applyAlignment="0" applyProtection="0"/>
    <xf numFmtId="0" fontId="7" fillId="0" borderId="0" applyNumberFormat="0" applyFill="0" applyBorder="0" applyAlignment="0" applyProtection="0">
      <alignment vertical="top"/>
      <protection locked="0"/>
    </xf>
    <xf numFmtId="0" fontId="61" fillId="0" borderId="0" applyNumberFormat="0" applyFill="0" applyBorder="0" applyAlignment="0" applyProtection="0">
      <alignment vertical="top"/>
      <protection locked="0"/>
    </xf>
    <xf numFmtId="0" fontId="22" fillId="3" borderId="1" applyNumberFormat="0" applyAlignment="0" applyProtection="0"/>
    <xf numFmtId="0" fontId="62" fillId="49" borderId="67" applyNumberFormat="0" applyAlignment="0" applyProtection="0"/>
    <xf numFmtId="0" fontId="23" fillId="0" borderId="6" applyNumberFormat="0" applyFill="0" applyAlignment="0" applyProtection="0"/>
    <xf numFmtId="0" fontId="63" fillId="0" borderId="72" applyNumberFormat="0" applyFill="0" applyAlignment="0" applyProtection="0"/>
    <xf numFmtId="0" fontId="24" fillId="11" borderId="0" applyNumberFormat="0" applyBorder="0" applyAlignment="0" applyProtection="0"/>
    <xf numFmtId="0" fontId="64" fillId="50" borderId="0" applyNumberFormat="0" applyBorder="0" applyAlignment="0" applyProtection="0"/>
    <xf numFmtId="0" fontId="51" fillId="0" borderId="0"/>
    <xf numFmtId="0" fontId="5" fillId="0" borderId="0"/>
    <xf numFmtId="0" fontId="5" fillId="0" borderId="0"/>
    <xf numFmtId="0" fontId="11" fillId="0" borderId="0"/>
    <xf numFmtId="0" fontId="11" fillId="5" borderId="7" applyNumberFormat="0" applyFont="0" applyAlignment="0" applyProtection="0"/>
    <xf numFmtId="0" fontId="51" fillId="51" borderId="73" applyNumberFormat="0" applyFont="0" applyAlignment="0" applyProtection="0"/>
    <xf numFmtId="0" fontId="25" fillId="2" borderId="8" applyNumberFormat="0" applyAlignment="0" applyProtection="0"/>
    <xf numFmtId="0" fontId="65" fillId="46" borderId="74" applyNumberFormat="0" applyAlignment="0" applyProtection="0"/>
    <xf numFmtId="9" fontId="2"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26" fillId="0" borderId="0" applyNumberFormat="0" applyFill="0" applyBorder="0" applyAlignment="0" applyProtection="0"/>
    <xf numFmtId="0" fontId="66" fillId="0" borderId="0" applyNumberFormat="0" applyFill="0" applyBorder="0" applyAlignment="0" applyProtection="0"/>
    <xf numFmtId="0" fontId="10" fillId="0" borderId="9" applyNumberFormat="0" applyFill="0" applyAlignment="0" applyProtection="0"/>
    <xf numFmtId="0" fontId="67" fillId="0" borderId="75" applyNumberFormat="0" applyFill="0" applyAlignment="0" applyProtection="0"/>
    <xf numFmtId="0" fontId="12" fillId="0" borderId="0" applyNumberFormat="0" applyFill="0" applyBorder="0" applyAlignment="0" applyProtection="0"/>
    <xf numFmtId="0" fontId="68" fillId="0" borderId="0" applyNumberFormat="0" applyFill="0" applyBorder="0" applyAlignment="0" applyProtection="0"/>
    <xf numFmtId="0" fontId="119" fillId="0" borderId="0"/>
    <xf numFmtId="0" fontId="11" fillId="77" borderId="0" applyNumberFormat="0" applyBorder="0" applyAlignment="0" applyProtection="0"/>
    <xf numFmtId="0" fontId="11" fillId="4" borderId="0" applyNumberFormat="0" applyBorder="0" applyAlignment="0" applyProtection="0"/>
    <xf numFmtId="0" fontId="11" fillId="6" borderId="0" applyNumberFormat="0" applyBorder="0" applyAlignment="0" applyProtection="0"/>
    <xf numFmtId="0" fontId="11" fillId="78" borderId="0" applyNumberFormat="0" applyBorder="0" applyAlignment="0" applyProtection="0"/>
    <xf numFmtId="0" fontId="11" fillId="77" borderId="0" applyNumberFormat="0" applyBorder="0" applyAlignment="0" applyProtection="0"/>
    <xf numFmtId="0" fontId="11" fillId="4" borderId="0" applyNumberFormat="0" applyBorder="0" applyAlignment="0" applyProtection="0"/>
    <xf numFmtId="0" fontId="11" fillId="6" borderId="0" applyNumberFormat="0" applyBorder="0" applyAlignment="0" applyProtection="0"/>
    <xf numFmtId="0" fontId="11" fillId="78" borderId="0" applyNumberFormat="0" applyBorder="0" applyAlignment="0" applyProtection="0"/>
    <xf numFmtId="0" fontId="11" fillId="7" borderId="0" applyNumberFormat="0" applyBorder="0" applyAlignment="0" applyProtection="0"/>
    <xf numFmtId="0" fontId="11" fillId="3" borderId="0" applyNumberFormat="0" applyBorder="0" applyAlignment="0" applyProtection="0"/>
    <xf numFmtId="49" fontId="120" fillId="0" borderId="16" applyNumberFormat="0" applyFont="0" applyFill="0" applyBorder="0" applyProtection="0">
      <alignment horizontal="left" vertical="center"/>
    </xf>
    <xf numFmtId="0" fontId="11" fillId="9" borderId="0" applyNumberFormat="0" applyBorder="0" applyAlignment="0" applyProtection="0"/>
    <xf numFmtId="0" fontId="11" fillId="79" borderId="0" applyNumberFormat="0" applyBorder="0" applyAlignment="0" applyProtection="0"/>
    <xf numFmtId="0" fontId="11" fillId="78" borderId="0" applyNumberFormat="0" applyBorder="0" applyAlignment="0" applyProtection="0"/>
    <xf numFmtId="0" fontId="11" fillId="80"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79" borderId="0" applyNumberFormat="0" applyBorder="0" applyAlignment="0" applyProtection="0"/>
    <xf numFmtId="0" fontId="11" fillId="78" borderId="0" applyNumberFormat="0" applyBorder="0" applyAlignment="0" applyProtection="0"/>
    <xf numFmtId="0" fontId="11" fillId="9" borderId="0" applyNumberFormat="0" applyBorder="0" applyAlignment="0" applyProtection="0"/>
    <xf numFmtId="0" fontId="11" fillId="80" borderId="0" applyNumberFormat="0" applyBorder="0" applyAlignment="0" applyProtection="0"/>
    <xf numFmtId="49" fontId="120" fillId="0" borderId="64" applyNumberFormat="0" applyFont="0" applyFill="0" applyBorder="0" applyProtection="0">
      <alignment horizontal="left" vertical="center"/>
    </xf>
    <xf numFmtId="0" fontId="131" fillId="81" borderId="0" applyNumberFormat="0" applyBorder="0" applyAlignment="0" applyProtection="0"/>
    <xf numFmtId="0" fontId="131" fillId="10" borderId="0" applyNumberFormat="0" applyBorder="0" applyAlignment="0" applyProtection="0"/>
    <xf numFmtId="0" fontId="131" fillId="79" borderId="0" applyNumberFormat="0" applyBorder="0" applyAlignment="0" applyProtection="0"/>
    <xf numFmtId="0" fontId="131" fillId="82" borderId="0" applyNumberFormat="0" applyBorder="0" applyAlignment="0" applyProtection="0"/>
    <xf numFmtId="0" fontId="131" fillId="12" borderId="0" applyNumberFormat="0" applyBorder="0" applyAlignment="0" applyProtection="0"/>
    <xf numFmtId="0" fontId="131" fillId="83" borderId="0" applyNumberFormat="0" applyBorder="0" applyAlignment="0" applyProtection="0"/>
    <xf numFmtId="0" fontId="131" fillId="81" borderId="0" applyNumberFormat="0" applyBorder="0" applyAlignment="0" applyProtection="0"/>
    <xf numFmtId="0" fontId="131" fillId="10" borderId="0" applyNumberFormat="0" applyBorder="0" applyAlignment="0" applyProtection="0"/>
    <xf numFmtId="0" fontId="131" fillId="79" borderId="0" applyNumberFormat="0" applyBorder="0" applyAlignment="0" applyProtection="0"/>
    <xf numFmtId="0" fontId="131" fillId="82" borderId="0" applyNumberFormat="0" applyBorder="0" applyAlignment="0" applyProtection="0"/>
    <xf numFmtId="0" fontId="131" fillId="12" borderId="0" applyNumberFormat="0" applyBorder="0" applyAlignment="0" applyProtection="0"/>
    <xf numFmtId="0" fontId="131" fillId="83" borderId="0" applyNumberFormat="0" applyBorder="0" applyAlignment="0" applyProtection="0"/>
    <xf numFmtId="0" fontId="131" fillId="84" borderId="0" applyNumberFormat="0" applyBorder="0" applyAlignment="0" applyProtection="0"/>
    <xf numFmtId="0" fontId="131" fillId="13" borderId="0" applyNumberFormat="0" applyBorder="0" applyAlignment="0" applyProtection="0"/>
    <xf numFmtId="0" fontId="131" fillId="14" borderId="0" applyNumberFormat="0" applyBorder="0" applyAlignment="0" applyProtection="0"/>
    <xf numFmtId="0" fontId="131" fillId="82" borderId="0" applyNumberFormat="0" applyBorder="0" applyAlignment="0" applyProtection="0"/>
    <xf numFmtId="0" fontId="131" fillId="12" borderId="0" applyNumberFormat="0" applyBorder="0" applyAlignment="0" applyProtection="0"/>
    <xf numFmtId="0" fontId="131" fillId="16" borderId="0" applyNumberFormat="0" applyBorder="0" applyAlignment="0" applyProtection="0"/>
    <xf numFmtId="0" fontId="121" fillId="85" borderId="0" applyBorder="0" applyAlignment="0"/>
    <xf numFmtId="0" fontId="120" fillId="85" borderId="0" applyBorder="0">
      <alignment horizontal="right" vertical="center"/>
    </xf>
    <xf numFmtId="4" fontId="120" fillId="86" borderId="0" applyBorder="0">
      <alignment horizontal="right" vertical="center"/>
    </xf>
    <xf numFmtId="4" fontId="120" fillId="86" borderId="0" applyBorder="0">
      <alignment horizontal="right" vertical="center"/>
    </xf>
    <xf numFmtId="0" fontId="122" fillId="86" borderId="16">
      <alignment horizontal="right" vertical="center"/>
    </xf>
    <xf numFmtId="0" fontId="123" fillId="86" borderId="16">
      <alignment horizontal="right" vertical="center"/>
    </xf>
    <xf numFmtId="0" fontId="122" fillId="87" borderId="16">
      <alignment horizontal="right" vertical="center"/>
    </xf>
    <xf numFmtId="0" fontId="122" fillId="87" borderId="16">
      <alignment horizontal="right" vertical="center"/>
    </xf>
    <xf numFmtId="0" fontId="122" fillId="87" borderId="50">
      <alignment horizontal="right" vertical="center"/>
    </xf>
    <xf numFmtId="0" fontId="122" fillId="87" borderId="64">
      <alignment horizontal="right" vertical="center"/>
    </xf>
    <xf numFmtId="0" fontId="122" fillId="87" borderId="27">
      <alignment horizontal="right" vertical="center"/>
    </xf>
    <xf numFmtId="0" fontId="131" fillId="84" borderId="0" applyNumberFormat="0" applyBorder="0" applyAlignment="0" applyProtection="0"/>
    <xf numFmtId="0" fontId="131" fillId="13" borderId="0" applyNumberFormat="0" applyBorder="0" applyAlignment="0" applyProtection="0"/>
    <xf numFmtId="0" fontId="131" fillId="14" borderId="0" applyNumberFormat="0" applyBorder="0" applyAlignment="0" applyProtection="0"/>
    <xf numFmtId="0" fontId="131" fillId="82" borderId="0" applyNumberFormat="0" applyBorder="0" applyAlignment="0" applyProtection="0"/>
    <xf numFmtId="0" fontId="131" fillId="12" borderId="0" applyNumberFormat="0" applyBorder="0" applyAlignment="0" applyProtection="0"/>
    <xf numFmtId="0" fontId="131" fillId="16" borderId="0" applyNumberFormat="0" applyBorder="0" applyAlignment="0" applyProtection="0"/>
    <xf numFmtId="0" fontId="25" fillId="8" borderId="8" applyNumberFormat="0" applyAlignment="0" applyProtection="0"/>
    <xf numFmtId="0" fontId="15" fillId="8" borderId="1" applyNumberFormat="0" applyAlignment="0" applyProtection="0"/>
    <xf numFmtId="4" fontId="121" fillId="0" borderId="35" applyFill="0" applyBorder="0" applyProtection="0">
      <alignment horizontal="right" vertical="center"/>
    </xf>
    <xf numFmtId="0" fontId="15" fillId="8" borderId="1" applyNumberFormat="0" applyAlignment="0" applyProtection="0"/>
    <xf numFmtId="0" fontId="132" fillId="17" borderId="2"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3" fontId="2" fillId="0" borderId="0" applyFont="0" applyFill="0" applyBorder="0" applyAlignment="0" applyProtection="0"/>
    <xf numFmtId="0" fontId="122" fillId="0" borderId="0" applyNumberFormat="0">
      <alignment horizontal="right"/>
    </xf>
    <xf numFmtId="178" fontId="2" fillId="0" borderId="0" applyFont="0" applyFill="0" applyBorder="0" applyAlignment="0" applyProtection="0"/>
    <xf numFmtId="0" fontId="120" fillId="87" borderId="63">
      <alignment horizontal="left" vertical="center" wrapText="1" indent="2"/>
    </xf>
    <xf numFmtId="0" fontId="120" fillId="0" borderId="63">
      <alignment horizontal="left" vertical="center" wrapText="1" indent="2"/>
    </xf>
    <xf numFmtId="0" fontId="120" fillId="86" borderId="64">
      <alignment horizontal="left" vertical="center"/>
    </xf>
    <xf numFmtId="179" fontId="2" fillId="0" borderId="0" applyFont="0" applyFill="0" applyBorder="0" applyAlignment="0" applyProtection="0"/>
    <xf numFmtId="0" fontId="122" fillId="0" borderId="52">
      <alignment horizontal="left" vertical="top" wrapText="1"/>
    </xf>
    <xf numFmtId="0" fontId="22" fillId="3" borderId="1" applyNumberFormat="0" applyAlignment="0" applyProtection="0"/>
    <xf numFmtId="0" fontId="124" fillId="0" borderId="56"/>
    <xf numFmtId="0" fontId="10" fillId="0" borderId="76" applyNumberFormat="0" applyFill="0" applyAlignment="0" applyProtection="0"/>
    <xf numFmtId="0" fontId="17" fillId="0" borderId="0" applyNumberFormat="0" applyFill="0" applyBorder="0" applyAlignment="0" applyProtection="0"/>
    <xf numFmtId="2" fontId="2" fillId="0" borderId="0" applyFont="0" applyFill="0" applyBorder="0" applyAlignment="0" applyProtection="0"/>
    <xf numFmtId="0" fontId="18" fillId="6" borderId="0" applyNumberFormat="0" applyBorder="0" applyAlignment="0" applyProtection="0"/>
    <xf numFmtId="0" fontId="125" fillId="0" borderId="0" applyNumberFormat="0" applyFont="0" applyFill="0" applyAlignment="0" applyProtection="0"/>
    <xf numFmtId="0" fontId="3" fillId="0" borderId="0" applyNumberFormat="0" applyFont="0" applyFill="0" applyAlignment="0" applyProtection="0"/>
    <xf numFmtId="0" fontId="133" fillId="0" borderId="77" applyNumberFormat="0" applyFill="0" applyAlignment="0" applyProtection="0"/>
    <xf numFmtId="0" fontId="133" fillId="0" borderId="0" applyNumberFormat="0" applyFill="0" applyBorder="0" applyAlignment="0" applyProtection="0"/>
    <xf numFmtId="0" fontId="119" fillId="0" borderId="0" applyNumberFormat="0" applyFill="0" applyBorder="0" applyAlignment="0" applyProtection="0"/>
    <xf numFmtId="0" fontId="120" fillId="0" borderId="0" applyBorder="0">
      <alignment horizontal="right" vertical="center"/>
    </xf>
    <xf numFmtId="0" fontId="120" fillId="0" borderId="16">
      <alignment horizontal="right" vertical="center"/>
    </xf>
    <xf numFmtId="1" fontId="126" fillId="86" borderId="0" applyBorder="0">
      <alignment horizontal="right" vertical="center"/>
    </xf>
    <xf numFmtId="2" fontId="127" fillId="0" borderId="0" applyFill="0" applyBorder="0" applyProtection="0"/>
    <xf numFmtId="0" fontId="119"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4" fontId="120" fillId="0" borderId="16" applyFill="0" applyBorder="0" applyProtection="0">
      <alignment horizontal="right" vertical="center"/>
    </xf>
    <xf numFmtId="49" fontId="121" fillId="0" borderId="16" applyNumberFormat="0" applyFill="0" applyBorder="0" applyProtection="0">
      <alignment horizontal="left" vertical="center"/>
    </xf>
    <xf numFmtId="0" fontId="120" fillId="0" borderId="16" applyNumberFormat="0" applyFill="0" applyAlignment="0" applyProtection="0"/>
    <xf numFmtId="0" fontId="128" fillId="88" borderId="0" applyNumberFormat="0" applyFont="0" applyBorder="0" applyAlignment="0" applyProtection="0"/>
    <xf numFmtId="0" fontId="2" fillId="0" borderId="0"/>
    <xf numFmtId="0" fontId="2" fillId="5" borderId="7" applyNumberFormat="0" applyFont="0" applyAlignment="0" applyProtection="0"/>
    <xf numFmtId="0" fontId="2" fillId="5" borderId="7" applyNumberFormat="0" applyFont="0" applyAlignment="0" applyProtection="0"/>
    <xf numFmtId="0" fontId="25" fillId="8" borderId="8" applyNumberFormat="0" applyAlignment="0" applyProtection="0"/>
    <xf numFmtId="169" fontId="120" fillId="89" borderId="16" applyNumberFormat="0" applyFont="0" applyBorder="0" applyAlignment="0" applyProtection="0">
      <alignment horizontal="right" vertical="center"/>
    </xf>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80" fontId="2" fillId="0" borderId="0" applyFont="0" applyFill="0" applyBorder="0" applyAlignment="0" applyProtection="0"/>
    <xf numFmtId="0" fontId="2" fillId="0" borderId="78" applyNumberFormat="0" applyFont="0" applyFill="0" applyAlignment="0" applyProtection="0"/>
    <xf numFmtId="0" fontId="2" fillId="0" borderId="79" applyNumberFormat="0" applyFont="0" applyFill="0" applyAlignment="0" applyProtection="0"/>
    <xf numFmtId="0" fontId="2" fillId="0" borderId="80" applyNumberFormat="0" applyFont="0" applyFill="0" applyAlignment="0" applyProtection="0"/>
    <xf numFmtId="0" fontId="2" fillId="0" borderId="81" applyNumberFormat="0" applyFont="0" applyFill="0" applyAlignment="0" applyProtection="0"/>
    <xf numFmtId="0" fontId="2" fillId="0" borderId="82" applyNumberFormat="0" applyFont="0" applyFill="0" applyAlignment="0" applyProtection="0"/>
    <xf numFmtId="0" fontId="2" fillId="2" borderId="0" applyNumberFormat="0" applyFont="0" applyBorder="0" applyAlignment="0" applyProtection="0"/>
    <xf numFmtId="0" fontId="2" fillId="0" borderId="83" applyNumberFormat="0" applyFont="0" applyFill="0" applyAlignment="0" applyProtection="0"/>
    <xf numFmtId="0" fontId="2" fillId="0" borderId="84" applyNumberFormat="0" applyFont="0" applyFill="0" applyAlignment="0" applyProtection="0"/>
    <xf numFmtId="46" fontId="2" fillId="0" borderId="0" applyFont="0" applyFill="0" applyBorder="0" applyAlignment="0" applyProtection="0"/>
    <xf numFmtId="0" fontId="4" fillId="0" borderId="0" applyNumberFormat="0" applyFill="0" applyBorder="0" applyAlignment="0" applyProtection="0"/>
    <xf numFmtId="0" fontId="2" fillId="0" borderId="85" applyNumberFormat="0" applyFont="0" applyFill="0" applyAlignment="0" applyProtection="0"/>
    <xf numFmtId="0" fontId="2" fillId="0" borderId="86" applyNumberFormat="0" applyFont="0" applyFill="0" applyAlignment="0" applyProtection="0"/>
    <xf numFmtId="0" fontId="2" fillId="0" borderId="7" applyNumberFormat="0" applyFont="0" applyFill="0" applyAlignment="0" applyProtection="0"/>
    <xf numFmtId="0" fontId="2" fillId="0" borderId="87" applyNumberFormat="0" applyFont="0" applyFill="0" applyAlignment="0" applyProtection="0"/>
    <xf numFmtId="0" fontId="2" fillId="0" borderId="7" applyNumberFormat="0" applyFont="0" applyFill="0" applyAlignment="0" applyProtection="0"/>
    <xf numFmtId="0" fontId="2" fillId="0" borderId="0" applyNumberFormat="0" applyFont="0" applyFill="0" applyBorder="0" applyProtection="0">
      <alignment horizontal="center"/>
    </xf>
    <xf numFmtId="0" fontId="135" fillId="0" borderId="0" applyNumberFormat="0" applyFill="0" applyBorder="0" applyAlignment="0" applyProtection="0"/>
    <xf numFmtId="0" fontId="130" fillId="0" borderId="0" applyNumberFormat="0" applyFill="0" applyBorder="0" applyAlignment="0" applyProtection="0"/>
    <xf numFmtId="0" fontId="31" fillId="0" borderId="0" applyNumberFormat="0" applyFill="0" applyBorder="0" applyProtection="0">
      <alignment horizontal="left"/>
    </xf>
    <xf numFmtId="0" fontId="2" fillId="2" borderId="0" applyNumberFormat="0" applyFont="0" applyBorder="0" applyAlignment="0" applyProtection="0"/>
    <xf numFmtId="0" fontId="136" fillId="0" borderId="0" applyNumberFormat="0" applyFill="0" applyBorder="0" applyAlignment="0" applyProtection="0"/>
    <xf numFmtId="0" fontId="4" fillId="0" borderId="0" applyNumberFormat="0" applyFill="0" applyBorder="0" applyAlignment="0" applyProtection="0"/>
    <xf numFmtId="0" fontId="2" fillId="0" borderId="88" applyNumberFormat="0" applyFont="0" applyFill="0" applyAlignment="0" applyProtection="0"/>
    <xf numFmtId="0" fontId="2" fillId="0" borderId="89" applyNumberFormat="0" applyFont="0" applyFill="0" applyAlignment="0" applyProtection="0"/>
    <xf numFmtId="181" fontId="2" fillId="0" borderId="0" applyFont="0" applyFill="0" applyBorder="0" applyAlignment="0" applyProtection="0"/>
    <xf numFmtId="0" fontId="2" fillId="0" borderId="90" applyNumberFormat="0" applyFont="0" applyFill="0" applyAlignment="0" applyProtection="0"/>
    <xf numFmtId="0" fontId="2" fillId="0" borderId="91" applyNumberFormat="0" applyFont="0" applyFill="0" applyAlignment="0" applyProtection="0"/>
    <xf numFmtId="0" fontId="2" fillId="0" borderId="92" applyNumberFormat="0" applyFont="0" applyFill="0" applyAlignment="0" applyProtection="0"/>
    <xf numFmtId="0" fontId="2" fillId="0" borderId="93" applyNumberFormat="0" applyFont="0" applyFill="0" applyAlignment="0" applyProtection="0"/>
    <xf numFmtId="0" fontId="2" fillId="0" borderId="94" applyNumberFormat="0" applyFont="0" applyFill="0" applyAlignment="0" applyProtection="0"/>
    <xf numFmtId="0" fontId="14" fillId="4" borderId="0" applyNumberFormat="0" applyBorder="0" applyAlignment="0" applyProtection="0"/>
    <xf numFmtId="0" fontId="120" fillId="90" borderId="16"/>
    <xf numFmtId="0" fontId="134" fillId="0" borderId="0" applyNumberFormat="0" applyFill="0" applyBorder="0" applyAlignment="0" applyProtection="0"/>
    <xf numFmtId="0" fontId="2" fillId="0" borderId="95" applyNumberFormat="0" applyFont="0" applyBorder="0" applyAlignment="0" applyProtection="0"/>
    <xf numFmtId="0" fontId="134" fillId="0" borderId="0" applyNumberFormat="0" applyFill="0" applyBorder="0" applyAlignment="0" applyProtection="0"/>
    <xf numFmtId="0" fontId="137" fillId="0" borderId="96" applyNumberFormat="0" applyFill="0" applyAlignment="0" applyProtection="0"/>
    <xf numFmtId="0" fontId="138" fillId="0" borderId="4" applyNumberFormat="0" applyFill="0" applyAlignment="0" applyProtection="0"/>
    <xf numFmtId="0" fontId="133" fillId="0" borderId="77" applyNumberFormat="0" applyFill="0" applyAlignment="0" applyProtection="0"/>
    <xf numFmtId="0" fontId="133" fillId="0" borderId="0" applyNumberFormat="0" applyFill="0" applyBorder="0" applyAlignment="0" applyProtection="0"/>
    <xf numFmtId="0" fontId="23" fillId="0" borderId="6" applyNumberFormat="0" applyFill="0" applyAlignment="0" applyProtection="0"/>
    <xf numFmtId="0" fontId="12" fillId="0" borderId="0" applyNumberFormat="0" applyFill="0" applyBorder="0" applyAlignment="0" applyProtection="0"/>
    <xf numFmtId="0" fontId="132" fillId="17" borderId="2" applyNumberFormat="0" applyAlignment="0" applyProtection="0"/>
    <xf numFmtId="0" fontId="129" fillId="0" borderId="0" applyNumberFormat="0" applyFill="0" applyBorder="0" applyAlignment="0" applyProtection="0"/>
    <xf numFmtId="0" fontId="120" fillId="0" borderId="0"/>
    <xf numFmtId="0" fontId="2" fillId="0" borderId="0"/>
    <xf numFmtId="0" fontId="1" fillId="0" borderId="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131" fillId="81" borderId="0" applyNumberFormat="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131" fillId="83" borderId="0" applyNumberFormat="0" applyBorder="0" applyAlignment="0" applyProtection="0"/>
    <xf numFmtId="0" fontId="131" fillId="12" borderId="0" applyNumberFormat="0" applyBorder="0" applyAlignment="0" applyProtection="0"/>
    <xf numFmtId="0" fontId="131" fillId="82" borderId="0" applyNumberFormat="0" applyBorder="0" applyAlignment="0" applyProtection="0"/>
    <xf numFmtId="0" fontId="131" fillId="79" borderId="0" applyNumberFormat="0" applyBorder="0" applyAlignment="0" applyProtection="0"/>
    <xf numFmtId="0" fontId="131" fillId="10" borderId="0" applyNumberFormat="0" applyBorder="0" applyAlignment="0" applyProtection="0"/>
    <xf numFmtId="0" fontId="11" fillId="80" borderId="0" applyNumberFormat="0" applyBorder="0" applyAlignment="0" applyProtection="0"/>
    <xf numFmtId="0" fontId="11" fillId="9" borderId="0" applyNumberFormat="0" applyBorder="0" applyAlignment="0" applyProtection="0"/>
    <xf numFmtId="0" fontId="11" fillId="78" borderId="0" applyNumberFormat="0" applyBorder="0" applyAlignment="0" applyProtection="0"/>
    <xf numFmtId="0" fontId="11" fillId="79" borderId="0" applyNumberFormat="0" applyBorder="0" applyAlignment="0" applyProtection="0"/>
    <xf numFmtId="0" fontId="11" fillId="10" borderId="0" applyNumberFormat="0" applyBorder="0" applyAlignment="0" applyProtection="0"/>
    <xf numFmtId="0" fontId="11" fillId="9" borderId="0" applyNumberFormat="0" applyBorder="0" applyAlignment="0" applyProtection="0"/>
    <xf numFmtId="0" fontId="11" fillId="3" borderId="0" applyNumberFormat="0" applyBorder="0" applyAlignment="0" applyProtection="0"/>
    <xf numFmtId="0" fontId="11" fillId="7" borderId="0" applyNumberFormat="0" applyBorder="0" applyAlignment="0" applyProtection="0"/>
    <xf numFmtId="0" fontId="11" fillId="78" borderId="0" applyNumberFormat="0" applyBorder="0" applyAlignment="0" applyProtection="0"/>
    <xf numFmtId="0" fontId="11" fillId="6" borderId="0" applyNumberFormat="0" applyBorder="0" applyAlignment="0" applyProtection="0"/>
    <xf numFmtId="0" fontId="11" fillId="4" borderId="0" applyNumberFormat="0" applyBorder="0" applyAlignment="0" applyProtection="0"/>
    <xf numFmtId="0" fontId="11" fillId="77" borderId="0" applyNumberFormat="0" applyBorder="0" applyAlignment="0" applyProtection="0"/>
    <xf numFmtId="0" fontId="119" fillId="0" borderId="0"/>
    <xf numFmtId="0" fontId="131" fillId="84" borderId="0" applyNumberFormat="0" applyBorder="0" applyAlignment="0" applyProtection="0"/>
    <xf numFmtId="0" fontId="131" fillId="13" borderId="0" applyNumberFormat="0" applyBorder="0" applyAlignment="0" applyProtection="0"/>
    <xf numFmtId="0" fontId="131" fillId="14" borderId="0" applyNumberFormat="0" applyBorder="0" applyAlignment="0" applyProtection="0"/>
    <xf numFmtId="0" fontId="131" fillId="82" borderId="0" applyNumberFormat="0" applyBorder="0" applyAlignment="0" applyProtection="0"/>
    <xf numFmtId="0" fontId="131" fillId="12" borderId="0" applyNumberFormat="0" applyBorder="0" applyAlignment="0" applyProtection="0"/>
    <xf numFmtId="0" fontId="131" fillId="16" borderId="0" applyNumberFormat="0" applyBorder="0" applyAlignment="0" applyProtection="0"/>
    <xf numFmtId="0" fontId="14" fillId="4" borderId="0" applyNumberFormat="0" applyBorder="0" applyAlignment="0" applyProtection="0"/>
    <xf numFmtId="0" fontId="15" fillId="8" borderId="1" applyNumberFormat="0" applyAlignment="0" applyProtection="0"/>
    <xf numFmtId="0" fontId="132" fillId="17" borderId="2" applyNumberFormat="0" applyAlignment="0" applyProtection="0"/>
    <xf numFmtId="43" fontId="2" fillId="0" borderId="0" applyFont="0" applyFill="0" applyBorder="0" applyAlignment="0" applyProtection="0"/>
    <xf numFmtId="0" fontId="17" fillId="0" borderId="0" applyNumberFormat="0" applyFill="0" applyBorder="0" applyAlignment="0" applyProtection="0"/>
    <xf numFmtId="0" fontId="18" fillId="6" borderId="0" applyNumberFormat="0" applyBorder="0" applyAlignment="0" applyProtection="0"/>
    <xf numFmtId="0" fontId="125" fillId="0" borderId="0" applyNumberFormat="0" applyFont="0" applyFill="0" applyAlignment="0" applyProtection="0"/>
    <xf numFmtId="0" fontId="3" fillId="0" borderId="0" applyNumberFormat="0" applyFont="0" applyFill="0" applyAlignment="0" applyProtection="0"/>
    <xf numFmtId="0" fontId="133" fillId="0" borderId="77" applyNumberFormat="0" applyFill="0" applyAlignment="0" applyProtection="0"/>
    <xf numFmtId="0" fontId="133" fillId="0" borderId="0" applyNumberFormat="0" applyFill="0" applyBorder="0" applyAlignment="0" applyProtection="0"/>
    <xf numFmtId="0" fontId="22" fillId="3" borderId="1" applyNumberFormat="0" applyAlignment="0" applyProtection="0"/>
    <xf numFmtId="0" fontId="23" fillId="0" borderId="6" applyNumberFormat="0" applyFill="0" applyAlignment="0" applyProtection="0"/>
    <xf numFmtId="0" fontId="24" fillId="11" borderId="0" applyNumberFormat="0" applyBorder="0" applyAlignment="0" applyProtection="0"/>
    <xf numFmtId="0" fontId="119" fillId="0" borderId="0"/>
    <xf numFmtId="0" fontId="2" fillId="0" borderId="0"/>
    <xf numFmtId="0" fontId="2" fillId="0" borderId="0"/>
    <xf numFmtId="0" fontId="2" fillId="5" borderId="7" applyNumberFormat="0" applyFont="0" applyAlignment="0" applyProtection="0"/>
    <xf numFmtId="0" fontId="25" fillId="8" borderId="8" applyNumberFormat="0" applyAlignment="0" applyProtection="0"/>
    <xf numFmtId="9" fontId="2" fillId="0" borderId="0" applyFont="0" applyFill="0" applyBorder="0" applyAlignment="0" applyProtection="0"/>
    <xf numFmtId="9" fontId="2" fillId="0" borderId="0" applyFon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134" fillId="0" borderId="0" applyNumberFormat="0" applyFill="0" applyBorder="0" applyAlignment="0" applyProtection="0"/>
    <xf numFmtId="0" fontId="2" fillId="0" borderId="95" applyNumberFormat="0" applyFont="0" applyBorder="0" applyAlignment="0" applyProtection="0"/>
    <xf numFmtId="0" fontId="12" fillId="0" borderId="0" applyNumberForma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1" fillId="0" borderId="0"/>
    <xf numFmtId="0" fontId="1" fillId="0" borderId="0"/>
    <xf numFmtId="0" fontId="11" fillId="79" borderId="0" applyNumberFormat="0" applyBorder="0" applyAlignment="0" applyProtection="0"/>
    <xf numFmtId="0" fontId="11" fillId="80" borderId="0" applyNumberFormat="0" applyBorder="0" applyAlignment="0" applyProtection="0"/>
    <xf numFmtId="0" fontId="11" fillId="9" borderId="0" applyNumberFormat="0" applyBorder="0" applyAlignment="0" applyProtection="0"/>
    <xf numFmtId="0" fontId="11" fillId="78" borderId="0" applyNumberFormat="0" applyBorder="0" applyAlignment="0" applyProtection="0"/>
    <xf numFmtId="0" fontId="11" fillId="10" borderId="0" applyNumberFormat="0" applyBorder="0" applyAlignment="0" applyProtection="0"/>
    <xf numFmtId="0" fontId="11" fillId="9" borderId="0" applyNumberFormat="0" applyBorder="0" applyAlignment="0" applyProtection="0"/>
    <xf numFmtId="0" fontId="11" fillId="3" borderId="0" applyNumberFormat="0" applyBorder="0" applyAlignment="0" applyProtection="0"/>
    <xf numFmtId="0" fontId="11" fillId="7" borderId="0" applyNumberFormat="0" applyBorder="0" applyAlignment="0" applyProtection="0"/>
    <xf numFmtId="0" fontId="11" fillId="78" borderId="0" applyNumberFormat="0" applyBorder="0" applyAlignment="0" applyProtection="0"/>
    <xf numFmtId="0" fontId="11" fillId="6" borderId="0" applyNumberFormat="0" applyBorder="0" applyAlignment="0" applyProtection="0"/>
    <xf numFmtId="0" fontId="11" fillId="4" borderId="0" applyNumberFormat="0" applyBorder="0" applyAlignment="0" applyProtection="0"/>
    <xf numFmtId="0" fontId="11" fillId="77" borderId="0" applyNumberFormat="0" applyBorder="0" applyAlignment="0" applyProtection="0"/>
    <xf numFmtId="0" fontId="119" fillId="0" borderId="0"/>
    <xf numFmtId="0" fontId="131" fillId="81" borderId="0" applyNumberFormat="0" applyBorder="0" applyAlignment="0" applyProtection="0"/>
    <xf numFmtId="0" fontId="131" fillId="10" borderId="0" applyNumberFormat="0" applyBorder="0" applyAlignment="0" applyProtection="0"/>
    <xf numFmtId="0" fontId="131" fillId="79" borderId="0" applyNumberFormat="0" applyBorder="0" applyAlignment="0" applyProtection="0"/>
    <xf numFmtId="0" fontId="131" fillId="82" borderId="0" applyNumberFormat="0" applyBorder="0" applyAlignment="0" applyProtection="0"/>
    <xf numFmtId="0" fontId="131" fillId="12" borderId="0" applyNumberFormat="0" applyBorder="0" applyAlignment="0" applyProtection="0"/>
    <xf numFmtId="0" fontId="131" fillId="83" borderId="0" applyNumberFormat="0" applyBorder="0" applyAlignment="0" applyProtection="0"/>
    <xf numFmtId="0" fontId="131" fillId="84" borderId="0" applyNumberFormat="0" applyBorder="0" applyAlignment="0" applyProtection="0"/>
    <xf numFmtId="0" fontId="131" fillId="13" borderId="0" applyNumberFormat="0" applyBorder="0" applyAlignment="0" applyProtection="0"/>
    <xf numFmtId="0" fontId="131" fillId="14" borderId="0" applyNumberFormat="0" applyBorder="0" applyAlignment="0" applyProtection="0"/>
    <xf numFmtId="0" fontId="131" fillId="82" borderId="0" applyNumberFormat="0" applyBorder="0" applyAlignment="0" applyProtection="0"/>
    <xf numFmtId="0" fontId="131" fillId="12" borderId="0" applyNumberFormat="0" applyBorder="0" applyAlignment="0" applyProtection="0"/>
    <xf numFmtId="0" fontId="131" fillId="16" borderId="0" applyNumberFormat="0" applyBorder="0" applyAlignment="0" applyProtection="0"/>
    <xf numFmtId="0" fontId="14" fillId="4" borderId="0" applyNumberFormat="0" applyBorder="0" applyAlignment="0" applyProtection="0"/>
    <xf numFmtId="0" fontId="15" fillId="8" borderId="1" applyNumberFormat="0" applyAlignment="0" applyProtection="0"/>
    <xf numFmtId="0" fontId="132" fillId="17" borderId="2" applyNumberFormat="0" applyAlignment="0" applyProtection="0"/>
    <xf numFmtId="0" fontId="17" fillId="0" borderId="0" applyNumberFormat="0" applyFill="0" applyBorder="0" applyAlignment="0" applyProtection="0"/>
    <xf numFmtId="0" fontId="18" fillId="6" borderId="0" applyNumberFormat="0" applyBorder="0" applyAlignment="0" applyProtection="0"/>
    <xf numFmtId="0" fontId="125" fillId="0" borderId="0" applyNumberFormat="0" applyFont="0" applyFill="0" applyAlignment="0" applyProtection="0"/>
    <xf numFmtId="0" fontId="3" fillId="0" borderId="0" applyNumberFormat="0" applyFont="0" applyFill="0" applyAlignment="0" applyProtection="0"/>
    <xf numFmtId="0" fontId="133" fillId="0" borderId="77" applyNumberFormat="0" applyFill="0" applyAlignment="0" applyProtection="0"/>
    <xf numFmtId="0" fontId="133" fillId="0" borderId="0" applyNumberFormat="0" applyFill="0" applyBorder="0" applyAlignment="0" applyProtection="0"/>
    <xf numFmtId="0" fontId="22" fillId="3" borderId="1" applyNumberFormat="0" applyAlignment="0" applyProtection="0"/>
    <xf numFmtId="0" fontId="23" fillId="0" borderId="6" applyNumberFormat="0" applyFill="0" applyAlignment="0" applyProtection="0"/>
    <xf numFmtId="0" fontId="24" fillId="11" borderId="0" applyNumberFormat="0" applyBorder="0" applyAlignment="0" applyProtection="0"/>
    <xf numFmtId="0" fontId="119" fillId="0" borderId="0"/>
    <xf numFmtId="0" fontId="2" fillId="5" borderId="7" applyNumberFormat="0" applyFont="0" applyAlignment="0" applyProtection="0"/>
    <xf numFmtId="0" fontId="25" fillId="8" borderId="8" applyNumberFormat="0" applyAlignment="0" applyProtection="0"/>
    <xf numFmtId="0" fontId="134" fillId="0" borderId="0" applyNumberFormat="0" applyFill="0" applyBorder="0" applyAlignment="0" applyProtection="0"/>
    <xf numFmtId="0" fontId="2" fillId="0" borderId="95" applyNumberFormat="0" applyFont="0" applyBorder="0" applyAlignment="0" applyProtection="0"/>
    <xf numFmtId="0" fontId="12" fillId="0" borderId="0" applyNumberFormat="0" applyFill="0" applyBorder="0" applyAlignment="0" applyProtection="0"/>
    <xf numFmtId="0" fontId="2" fillId="0" borderId="0"/>
    <xf numFmtId="0" fontId="2" fillId="0" borderId="0"/>
    <xf numFmtId="0" fontId="119" fillId="0" borderId="0"/>
    <xf numFmtId="0" fontId="11" fillId="77" borderId="0" applyNumberFormat="0" applyBorder="0" applyAlignment="0" applyProtection="0"/>
    <xf numFmtId="0" fontId="11" fillId="4" borderId="0" applyNumberFormat="0" applyBorder="0" applyAlignment="0" applyProtection="0"/>
    <xf numFmtId="0" fontId="11" fillId="6" borderId="0" applyNumberFormat="0" applyBorder="0" applyAlignment="0" applyProtection="0"/>
    <xf numFmtId="0" fontId="11" fillId="78" borderId="0" applyNumberFormat="0" applyBorder="0" applyAlignment="0" applyProtection="0"/>
    <xf numFmtId="0" fontId="11" fillId="7" borderId="0" applyNumberFormat="0" applyBorder="0" applyAlignment="0" applyProtection="0"/>
    <xf numFmtId="0" fontId="11" fillId="3"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79" borderId="0" applyNumberFormat="0" applyBorder="0" applyAlignment="0" applyProtection="0"/>
    <xf numFmtId="0" fontId="11" fillId="78" borderId="0" applyNumberFormat="0" applyBorder="0" applyAlignment="0" applyProtection="0"/>
    <xf numFmtId="0" fontId="11" fillId="9" borderId="0" applyNumberFormat="0" applyBorder="0" applyAlignment="0" applyProtection="0"/>
    <xf numFmtId="0" fontId="11" fillId="80" borderId="0" applyNumberFormat="0" applyBorder="0" applyAlignment="0" applyProtection="0"/>
    <xf numFmtId="0" fontId="133" fillId="0" borderId="77" applyNumberFormat="0" applyFill="0" applyAlignment="0" applyProtection="0"/>
    <xf numFmtId="0" fontId="131" fillId="81" borderId="0" applyNumberFormat="0" applyBorder="0" applyAlignment="0" applyProtection="0"/>
    <xf numFmtId="0" fontId="131" fillId="10" borderId="0" applyNumberFormat="0" applyBorder="0" applyAlignment="0" applyProtection="0"/>
    <xf numFmtId="0" fontId="131" fillId="79" borderId="0" applyNumberFormat="0" applyBorder="0" applyAlignment="0" applyProtection="0"/>
    <xf numFmtId="0" fontId="131" fillId="82" borderId="0" applyNumberFormat="0" applyBorder="0" applyAlignment="0" applyProtection="0"/>
    <xf numFmtId="0" fontId="131" fillId="12" borderId="0" applyNumberFormat="0" applyBorder="0" applyAlignment="0" applyProtection="0"/>
    <xf numFmtId="0" fontId="131" fillId="83" borderId="0" applyNumberFormat="0" applyBorder="0" applyAlignment="0" applyProtection="0"/>
    <xf numFmtId="0" fontId="131" fillId="84" borderId="0" applyNumberFormat="0" applyBorder="0" applyAlignment="0" applyProtection="0"/>
    <xf numFmtId="0" fontId="131" fillId="13" borderId="0" applyNumberFormat="0" applyBorder="0" applyAlignment="0" applyProtection="0"/>
    <xf numFmtId="0" fontId="131" fillId="14" borderId="0" applyNumberFormat="0" applyBorder="0" applyAlignment="0" applyProtection="0"/>
    <xf numFmtId="0" fontId="131" fillId="82" borderId="0" applyNumberFormat="0" applyBorder="0" applyAlignment="0" applyProtection="0"/>
    <xf numFmtId="0" fontId="131" fillId="12" borderId="0" applyNumberFormat="0" applyBorder="0" applyAlignment="0" applyProtection="0"/>
    <xf numFmtId="0" fontId="131" fillId="16" borderId="0" applyNumberFormat="0" applyBorder="0" applyAlignment="0" applyProtection="0"/>
    <xf numFmtId="0" fontId="133" fillId="0" borderId="77" applyNumberFormat="0" applyFill="0" applyAlignment="0" applyProtection="0"/>
    <xf numFmtId="0" fontId="14" fillId="4" borderId="0" applyNumberFormat="0" applyBorder="0" applyAlignment="0" applyProtection="0"/>
    <xf numFmtId="0" fontId="15" fillId="8" borderId="1" applyNumberFormat="0" applyAlignment="0" applyProtection="0"/>
    <xf numFmtId="0" fontId="132" fillId="17" borderId="2"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33" fillId="0" borderId="77" applyNumberFormat="0" applyFill="0" applyAlignment="0" applyProtection="0"/>
    <xf numFmtId="0" fontId="17" fillId="0" borderId="0" applyNumberFormat="0" applyFill="0" applyBorder="0" applyAlignment="0" applyProtection="0"/>
    <xf numFmtId="0" fontId="18" fillId="6" borderId="0" applyNumberFormat="0" applyBorder="0" applyAlignment="0" applyProtection="0"/>
    <xf numFmtId="0" fontId="125" fillId="0" borderId="0" applyNumberFormat="0" applyFont="0" applyFill="0" applyAlignment="0" applyProtection="0"/>
    <xf numFmtId="0" fontId="3" fillId="0" borderId="0" applyNumberFormat="0" applyFont="0" applyFill="0" applyAlignment="0" applyProtection="0"/>
    <xf numFmtId="0" fontId="133" fillId="0" borderId="77" applyNumberFormat="0" applyFill="0" applyAlignment="0" applyProtection="0"/>
    <xf numFmtId="0" fontId="133" fillId="0" borderId="0" applyNumberFormat="0" applyFill="0" applyBorder="0" applyAlignment="0" applyProtection="0"/>
    <xf numFmtId="0" fontId="22" fillId="3" borderId="1" applyNumberFormat="0" applyAlignment="0" applyProtection="0"/>
    <xf numFmtId="0" fontId="23" fillId="0" borderId="6" applyNumberFormat="0" applyFill="0" applyAlignment="0" applyProtection="0"/>
    <xf numFmtId="0" fontId="24" fillId="11" borderId="0" applyNumberFormat="0" applyBorder="0" applyAlignment="0" applyProtection="0"/>
    <xf numFmtId="0" fontId="119" fillId="0" borderId="0"/>
    <xf numFmtId="0" fontId="2" fillId="0" borderId="0"/>
    <xf numFmtId="0" fontId="1" fillId="0" borderId="0"/>
    <xf numFmtId="0" fontId="2" fillId="5" borderId="7" applyNumberFormat="0" applyFont="0" applyAlignment="0" applyProtection="0"/>
    <xf numFmtId="0" fontId="25" fillId="8" borderId="8" applyNumberFormat="0" applyAlignment="0" applyProtection="0"/>
    <xf numFmtId="9" fontId="2" fillId="0" borderId="0" applyFont="0" applyFill="0" applyBorder="0" applyAlignment="0" applyProtection="0"/>
    <xf numFmtId="0" fontId="133" fillId="0" borderId="77" applyNumberFormat="0" applyFill="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134" fillId="0" borderId="0" applyNumberFormat="0" applyFill="0" applyBorder="0" applyAlignment="0" applyProtection="0"/>
    <xf numFmtId="0" fontId="2" fillId="0" borderId="95" applyNumberFormat="0" applyFont="0" applyBorder="0" applyAlignment="0" applyProtection="0"/>
    <xf numFmtId="0" fontId="133" fillId="0" borderId="77" applyNumberFormat="0" applyFill="0" applyAlignment="0" applyProtection="0"/>
    <xf numFmtId="0" fontId="12" fillId="0" borderId="0" applyNumberFormat="0" applyFill="0" applyBorder="0" applyAlignment="0" applyProtection="0"/>
    <xf numFmtId="0" fontId="133" fillId="0" borderId="77" applyNumberFormat="0" applyFill="0" applyAlignment="0" applyProtection="0"/>
    <xf numFmtId="9"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3" fontId="2" fillId="0" borderId="0" applyFont="0" applyFill="0" applyBorder="0" applyAlignment="0" applyProtection="0"/>
    <xf numFmtId="178" fontId="2" fillId="0" borderId="0" applyFont="0" applyFill="0" applyBorder="0" applyAlignment="0" applyProtection="0"/>
    <xf numFmtId="179" fontId="2" fillId="0" borderId="0" applyFont="0" applyFill="0" applyBorder="0" applyAlignment="0" applyProtection="0"/>
    <xf numFmtId="2"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5" borderId="7" applyNumberFormat="0" applyFont="0" applyAlignment="0" applyProtection="0"/>
    <xf numFmtId="0" fontId="2" fillId="5" borderId="7" applyNumberFormat="0" applyFont="0" applyAlignment="0" applyProtection="0"/>
    <xf numFmtId="0" fontId="2" fillId="5" borderId="7" applyNumberFormat="0" applyFont="0" applyAlignment="0" applyProtection="0"/>
    <xf numFmtId="0" fontId="2" fillId="5" borderId="7"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80" fontId="2" fillId="0" borderId="0" applyFont="0" applyFill="0" applyBorder="0" applyAlignment="0" applyProtection="0"/>
    <xf numFmtId="0" fontId="2" fillId="0" borderId="78" applyNumberFormat="0" applyFont="0" applyFill="0" applyAlignment="0" applyProtection="0"/>
    <xf numFmtId="0" fontId="2" fillId="0" borderId="79" applyNumberFormat="0" applyFont="0" applyFill="0" applyAlignment="0" applyProtection="0"/>
    <xf numFmtId="0" fontId="2" fillId="0" borderId="80" applyNumberFormat="0" applyFont="0" applyFill="0" applyAlignment="0" applyProtection="0"/>
    <xf numFmtId="0" fontId="2" fillId="0" borderId="81" applyNumberFormat="0" applyFont="0" applyFill="0" applyAlignment="0" applyProtection="0"/>
    <xf numFmtId="0" fontId="2" fillId="0" borderId="82" applyNumberFormat="0" applyFont="0" applyFill="0" applyAlignment="0" applyProtection="0"/>
    <xf numFmtId="0" fontId="2" fillId="2" borderId="0" applyNumberFormat="0" applyFont="0" applyBorder="0" applyAlignment="0" applyProtection="0"/>
    <xf numFmtId="0" fontId="2" fillId="0" borderId="83" applyNumberFormat="0" applyFont="0" applyFill="0" applyAlignment="0" applyProtection="0"/>
    <xf numFmtId="0" fontId="2" fillId="0" borderId="84" applyNumberFormat="0" applyFont="0" applyFill="0" applyAlignment="0" applyProtection="0"/>
    <xf numFmtId="46" fontId="2" fillId="0" borderId="0" applyFont="0" applyFill="0" applyBorder="0" applyAlignment="0" applyProtection="0"/>
    <xf numFmtId="0" fontId="2" fillId="0" borderId="85" applyNumberFormat="0" applyFont="0" applyFill="0" applyAlignment="0" applyProtection="0"/>
    <xf numFmtId="0" fontId="2" fillId="0" borderId="86" applyNumberFormat="0" applyFont="0" applyFill="0" applyAlignment="0" applyProtection="0"/>
    <xf numFmtId="0" fontId="2" fillId="0" borderId="7" applyNumberFormat="0" applyFont="0" applyFill="0" applyAlignment="0" applyProtection="0"/>
    <xf numFmtId="0" fontId="2" fillId="0" borderId="87" applyNumberFormat="0" applyFont="0" applyFill="0" applyAlignment="0" applyProtection="0"/>
    <xf numFmtId="0" fontId="2" fillId="0" borderId="7" applyNumberFormat="0" applyFont="0" applyFill="0" applyAlignment="0" applyProtection="0"/>
    <xf numFmtId="0" fontId="2" fillId="0" borderId="0" applyNumberFormat="0" applyFont="0" applyFill="0" applyBorder="0" applyProtection="0">
      <alignment horizontal="center"/>
    </xf>
    <xf numFmtId="0" fontId="2" fillId="2" borderId="0" applyNumberFormat="0" applyFont="0" applyBorder="0" applyAlignment="0" applyProtection="0"/>
    <xf numFmtId="0" fontId="2" fillId="0" borderId="88" applyNumberFormat="0" applyFont="0" applyFill="0" applyAlignment="0" applyProtection="0"/>
    <xf numFmtId="0" fontId="2" fillId="0" borderId="89" applyNumberFormat="0" applyFont="0" applyFill="0" applyAlignment="0" applyProtection="0"/>
    <xf numFmtId="181" fontId="2" fillId="0" borderId="0" applyFont="0" applyFill="0" applyBorder="0" applyAlignment="0" applyProtection="0"/>
    <xf numFmtId="0" fontId="2" fillId="0" borderId="90" applyNumberFormat="0" applyFont="0" applyFill="0" applyAlignment="0" applyProtection="0"/>
    <xf numFmtId="0" fontId="2" fillId="0" borderId="91" applyNumberFormat="0" applyFont="0" applyFill="0" applyAlignment="0" applyProtection="0"/>
    <xf numFmtId="0" fontId="2" fillId="0" borderId="92" applyNumberFormat="0" applyFont="0" applyFill="0" applyAlignment="0" applyProtection="0"/>
    <xf numFmtId="0" fontId="2" fillId="0" borderId="93" applyNumberFormat="0" applyFont="0" applyFill="0" applyAlignment="0" applyProtection="0"/>
    <xf numFmtId="0" fontId="2" fillId="0" borderId="94" applyNumberFormat="0" applyFont="0" applyFill="0" applyAlignment="0" applyProtection="0"/>
    <xf numFmtId="0" fontId="2" fillId="0" borderId="95" applyNumberFormat="0" applyFont="0" applyBorder="0" applyAlignment="0" applyProtection="0"/>
    <xf numFmtId="0" fontId="2" fillId="0" borderId="95" applyNumberFormat="0" applyFont="0" applyBorder="0" applyAlignment="0" applyProtection="0"/>
    <xf numFmtId="0" fontId="2" fillId="0" borderId="95" applyNumberFormat="0" applyFont="0" applyBorder="0" applyAlignment="0" applyProtection="0"/>
    <xf numFmtId="0" fontId="2" fillId="0" borderId="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3" fontId="2" fillId="0" borderId="0" applyFont="0" applyFill="0" applyBorder="0" applyAlignment="0" applyProtection="0"/>
    <xf numFmtId="178" fontId="2" fillId="0" borderId="0" applyFont="0" applyFill="0" applyBorder="0" applyAlignment="0" applyProtection="0"/>
    <xf numFmtId="179" fontId="2" fillId="0" borderId="0" applyFont="0" applyFill="0" applyBorder="0" applyAlignment="0" applyProtection="0"/>
    <xf numFmtId="2" fontId="2" fillId="0" borderId="0" applyFont="0" applyFill="0" applyBorder="0" applyAlignment="0" applyProtection="0"/>
    <xf numFmtId="0" fontId="2" fillId="0" borderId="0"/>
    <xf numFmtId="0" fontId="2" fillId="0" borderId="0"/>
    <xf numFmtId="0" fontId="2" fillId="0" borderId="0"/>
    <xf numFmtId="0" fontId="2" fillId="5" borderId="7" applyNumberFormat="0" applyFont="0" applyAlignment="0" applyProtection="0"/>
    <xf numFmtId="0" fontId="2" fillId="5" borderId="7"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80" fontId="2" fillId="0" borderId="0" applyFont="0" applyFill="0" applyBorder="0" applyAlignment="0" applyProtection="0"/>
    <xf numFmtId="0" fontId="2" fillId="0" borderId="78" applyNumberFormat="0" applyFont="0" applyFill="0" applyAlignment="0" applyProtection="0"/>
    <xf numFmtId="0" fontId="2" fillId="0" borderId="79" applyNumberFormat="0" applyFont="0" applyFill="0" applyAlignment="0" applyProtection="0"/>
    <xf numFmtId="0" fontId="2" fillId="0" borderId="80" applyNumberFormat="0" applyFont="0" applyFill="0" applyAlignment="0" applyProtection="0"/>
    <xf numFmtId="0" fontId="2" fillId="0" borderId="81" applyNumberFormat="0" applyFont="0" applyFill="0" applyAlignment="0" applyProtection="0"/>
    <xf numFmtId="0" fontId="2" fillId="0" borderId="82" applyNumberFormat="0" applyFont="0" applyFill="0" applyAlignment="0" applyProtection="0"/>
    <xf numFmtId="0" fontId="2" fillId="2" borderId="0" applyNumberFormat="0" applyFont="0" applyBorder="0" applyAlignment="0" applyProtection="0"/>
    <xf numFmtId="0" fontId="2" fillId="0" borderId="83" applyNumberFormat="0" applyFont="0" applyFill="0" applyAlignment="0" applyProtection="0"/>
    <xf numFmtId="0" fontId="2" fillId="0" borderId="84" applyNumberFormat="0" applyFont="0" applyFill="0" applyAlignment="0" applyProtection="0"/>
    <xf numFmtId="46" fontId="2" fillId="0" borderId="0" applyFont="0" applyFill="0" applyBorder="0" applyAlignment="0" applyProtection="0"/>
    <xf numFmtId="0" fontId="2" fillId="0" borderId="85" applyNumberFormat="0" applyFont="0" applyFill="0" applyAlignment="0" applyProtection="0"/>
    <xf numFmtId="0" fontId="2" fillId="0" borderId="86" applyNumberFormat="0" applyFont="0" applyFill="0" applyAlignment="0" applyProtection="0"/>
    <xf numFmtId="0" fontId="2" fillId="0" borderId="7" applyNumberFormat="0" applyFont="0" applyFill="0" applyAlignment="0" applyProtection="0"/>
    <xf numFmtId="0" fontId="2" fillId="0" borderId="87" applyNumberFormat="0" applyFont="0" applyFill="0" applyAlignment="0" applyProtection="0"/>
    <xf numFmtId="0" fontId="2" fillId="0" borderId="7" applyNumberFormat="0" applyFont="0" applyFill="0" applyAlignment="0" applyProtection="0"/>
    <xf numFmtId="0" fontId="2" fillId="0" borderId="0" applyNumberFormat="0" applyFont="0" applyFill="0" applyBorder="0" applyProtection="0">
      <alignment horizontal="center"/>
    </xf>
    <xf numFmtId="0" fontId="2" fillId="2" borderId="0" applyNumberFormat="0" applyFont="0" applyBorder="0" applyAlignment="0" applyProtection="0"/>
    <xf numFmtId="0" fontId="2" fillId="0" borderId="88" applyNumberFormat="0" applyFont="0" applyFill="0" applyAlignment="0" applyProtection="0"/>
    <xf numFmtId="0" fontId="2" fillId="0" borderId="89" applyNumberFormat="0" applyFont="0" applyFill="0" applyAlignment="0" applyProtection="0"/>
    <xf numFmtId="181" fontId="2" fillId="0" borderId="0" applyFont="0" applyFill="0" applyBorder="0" applyAlignment="0" applyProtection="0"/>
    <xf numFmtId="0" fontId="2" fillId="0" borderId="90" applyNumberFormat="0" applyFont="0" applyFill="0" applyAlignment="0" applyProtection="0"/>
    <xf numFmtId="0" fontId="2" fillId="0" borderId="91" applyNumberFormat="0" applyFont="0" applyFill="0" applyAlignment="0" applyProtection="0"/>
    <xf numFmtId="0" fontId="2" fillId="0" borderId="92" applyNumberFormat="0" applyFont="0" applyFill="0" applyAlignment="0" applyProtection="0"/>
    <xf numFmtId="0" fontId="2" fillId="0" borderId="93" applyNumberFormat="0" applyFont="0" applyFill="0" applyAlignment="0" applyProtection="0"/>
    <xf numFmtId="0" fontId="2" fillId="0" borderId="94" applyNumberFormat="0" applyFont="0" applyFill="0" applyAlignment="0" applyProtection="0"/>
    <xf numFmtId="0" fontId="2" fillId="0" borderId="95" applyNumberFormat="0" applyFon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5" borderId="7"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95" applyNumberFormat="0" applyFont="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5" borderId="7" applyNumberFormat="0" applyFont="0" applyAlignment="0" applyProtection="0"/>
    <xf numFmtId="0" fontId="2" fillId="0" borderId="95" applyNumberFormat="0" applyFont="0" applyBorder="0" applyAlignment="0" applyProtection="0"/>
    <xf numFmtId="0" fontId="2" fillId="0" borderId="0"/>
    <xf numFmtId="0" fontId="2" fillId="0" borderId="0"/>
    <xf numFmtId="0" fontId="2" fillId="0" borderId="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1"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1" fillId="0" borderId="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3" fontId="2" fillId="0" borderId="0" applyFont="0" applyFill="0" applyBorder="0" applyAlignment="0" applyProtection="0"/>
    <xf numFmtId="178" fontId="2" fillId="0" borderId="0" applyFont="0" applyFill="0" applyBorder="0" applyAlignment="0" applyProtection="0"/>
    <xf numFmtId="179" fontId="2" fillId="0" borderId="0" applyFont="0" applyFill="0" applyBorder="0" applyAlignment="0" applyProtection="0"/>
    <xf numFmtId="2" fontId="2" fillId="0" borderId="0" applyFont="0" applyFill="0" applyBorder="0" applyAlignment="0" applyProtection="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5" borderId="7" applyNumberFormat="0" applyFont="0" applyAlignment="0" applyProtection="0"/>
    <xf numFmtId="0" fontId="2" fillId="5" borderId="7"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80" fontId="2" fillId="0" borderId="0" applyFont="0" applyFill="0" applyBorder="0" applyAlignment="0" applyProtection="0"/>
    <xf numFmtId="0" fontId="2" fillId="0" borderId="78" applyNumberFormat="0" applyFont="0" applyFill="0" applyAlignment="0" applyProtection="0"/>
    <xf numFmtId="0" fontId="2" fillId="0" borderId="79" applyNumberFormat="0" applyFont="0" applyFill="0" applyAlignment="0" applyProtection="0"/>
    <xf numFmtId="0" fontId="2" fillId="0" borderId="80" applyNumberFormat="0" applyFont="0" applyFill="0" applyAlignment="0" applyProtection="0"/>
    <xf numFmtId="0" fontId="2" fillId="0" borderId="81" applyNumberFormat="0" applyFont="0" applyFill="0" applyAlignment="0" applyProtection="0"/>
    <xf numFmtId="0" fontId="2" fillId="0" borderId="82" applyNumberFormat="0" applyFont="0" applyFill="0" applyAlignment="0" applyProtection="0"/>
    <xf numFmtId="0" fontId="2" fillId="2" borderId="0" applyNumberFormat="0" applyFont="0" applyBorder="0" applyAlignment="0" applyProtection="0"/>
    <xf numFmtId="0" fontId="2" fillId="0" borderId="83" applyNumberFormat="0" applyFont="0" applyFill="0" applyAlignment="0" applyProtection="0"/>
    <xf numFmtId="0" fontId="2" fillId="0" borderId="84" applyNumberFormat="0" applyFont="0" applyFill="0" applyAlignment="0" applyProtection="0"/>
    <xf numFmtId="46" fontId="2" fillId="0" borderId="0" applyFont="0" applyFill="0" applyBorder="0" applyAlignment="0" applyProtection="0"/>
    <xf numFmtId="0" fontId="2" fillId="0" borderId="85" applyNumberFormat="0" applyFont="0" applyFill="0" applyAlignment="0" applyProtection="0"/>
    <xf numFmtId="0" fontId="2" fillId="0" borderId="86" applyNumberFormat="0" applyFont="0" applyFill="0" applyAlignment="0" applyProtection="0"/>
    <xf numFmtId="0" fontId="2" fillId="0" borderId="7" applyNumberFormat="0" applyFont="0" applyFill="0" applyAlignment="0" applyProtection="0"/>
    <xf numFmtId="0" fontId="2" fillId="0" borderId="87" applyNumberFormat="0" applyFont="0" applyFill="0" applyAlignment="0" applyProtection="0"/>
    <xf numFmtId="0" fontId="2" fillId="0" borderId="7" applyNumberFormat="0" applyFont="0" applyFill="0" applyAlignment="0" applyProtection="0"/>
    <xf numFmtId="0" fontId="2" fillId="0" borderId="0" applyNumberFormat="0" applyFont="0" applyFill="0" applyBorder="0" applyProtection="0">
      <alignment horizontal="center"/>
    </xf>
    <xf numFmtId="0" fontId="2" fillId="2" borderId="0" applyNumberFormat="0" applyFont="0" applyBorder="0" applyAlignment="0" applyProtection="0"/>
    <xf numFmtId="0" fontId="2" fillId="0" borderId="88" applyNumberFormat="0" applyFont="0" applyFill="0" applyAlignment="0" applyProtection="0"/>
    <xf numFmtId="0" fontId="2" fillId="0" borderId="89" applyNumberFormat="0" applyFont="0" applyFill="0" applyAlignment="0" applyProtection="0"/>
    <xf numFmtId="181" fontId="2" fillId="0" borderId="0" applyFont="0" applyFill="0" applyBorder="0" applyAlignment="0" applyProtection="0"/>
    <xf numFmtId="0" fontId="2" fillId="0" borderId="90" applyNumberFormat="0" applyFont="0" applyFill="0" applyAlignment="0" applyProtection="0"/>
    <xf numFmtId="0" fontId="2" fillId="0" borderId="91" applyNumberFormat="0" applyFont="0" applyFill="0" applyAlignment="0" applyProtection="0"/>
    <xf numFmtId="0" fontId="2" fillId="0" borderId="92" applyNumberFormat="0" applyFont="0" applyFill="0" applyAlignment="0" applyProtection="0"/>
    <xf numFmtId="0" fontId="2" fillId="0" borderId="93" applyNumberFormat="0" applyFont="0" applyFill="0" applyAlignment="0" applyProtection="0"/>
    <xf numFmtId="0" fontId="2" fillId="0" borderId="94" applyNumberFormat="0" applyFont="0" applyFill="0" applyAlignment="0" applyProtection="0"/>
    <xf numFmtId="0" fontId="2" fillId="0" borderId="95" applyNumberFormat="0" applyFont="0" applyBorder="0" applyAlignment="0" applyProtection="0"/>
    <xf numFmtId="0" fontId="2" fillId="0" borderId="0"/>
    <xf numFmtId="0" fontId="1" fillId="0" borderId="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5" borderId="7"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95" applyNumberFormat="0" applyFont="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1" fillId="0" borderId="0"/>
    <xf numFmtId="0" fontId="1" fillId="0" borderId="0"/>
    <xf numFmtId="0" fontId="2" fillId="5" borderId="7" applyNumberFormat="0" applyFont="0" applyAlignment="0" applyProtection="0"/>
    <xf numFmtId="0" fontId="2" fillId="0" borderId="95" applyNumberFormat="0" applyFont="0" applyBorder="0" applyAlignment="0" applyProtection="0"/>
    <xf numFmtId="0" fontId="2" fillId="0" borderId="0"/>
    <xf numFmtId="0" fontId="1" fillId="0" borderId="0"/>
    <xf numFmtId="0" fontId="1" fillId="0" borderId="0"/>
    <xf numFmtId="9" fontId="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7" fontId="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3" fillId="0" borderId="77" applyNumberFormat="0" applyFill="0" applyAlignment="0" applyProtection="0"/>
    <xf numFmtId="0" fontId="2" fillId="0" borderId="0"/>
    <xf numFmtId="0" fontId="133" fillId="0" borderId="77" applyNumberFormat="0" applyFill="0" applyAlignment="0" applyProtection="0"/>
    <xf numFmtId="0" fontId="2" fillId="0" borderId="0"/>
    <xf numFmtId="0" fontId="133" fillId="0" borderId="77" applyNumberFormat="0" applyFill="0" applyAlignment="0" applyProtection="0"/>
    <xf numFmtId="0" fontId="133" fillId="0" borderId="77" applyNumberFormat="0" applyFill="0" applyAlignment="0" applyProtection="0"/>
    <xf numFmtId="0" fontId="2" fillId="0" borderId="0"/>
    <xf numFmtId="0" fontId="133" fillId="0" borderId="77" applyNumberFormat="0" applyFill="0" applyAlignment="0" applyProtection="0"/>
    <xf numFmtId="0" fontId="133" fillId="0" borderId="77" applyNumberFormat="0" applyFill="0" applyAlignment="0" applyProtection="0"/>
    <xf numFmtId="0" fontId="133" fillId="0" borderId="77" applyNumberFormat="0" applyFill="0" applyAlignment="0" applyProtection="0"/>
    <xf numFmtId="0" fontId="133" fillId="0" borderId="77" applyNumberFormat="0" applyFill="0" applyAlignment="0" applyProtection="0"/>
    <xf numFmtId="0" fontId="133" fillId="0" borderId="77" applyNumberFormat="0" applyFill="0" applyAlignment="0" applyProtection="0"/>
    <xf numFmtId="0" fontId="133" fillId="0" borderId="77" applyNumberFormat="0" applyFill="0" applyAlignment="0" applyProtection="0"/>
    <xf numFmtId="0" fontId="1" fillId="0" borderId="0"/>
    <xf numFmtId="0" fontId="133" fillId="0" borderId="77" applyNumberFormat="0" applyFill="0" applyAlignment="0" applyProtection="0"/>
    <xf numFmtId="0" fontId="133" fillId="0" borderId="77" applyNumberFormat="0" applyFill="0" applyAlignment="0" applyProtection="0"/>
    <xf numFmtId="0" fontId="133" fillId="0" borderId="77" applyNumberFormat="0" applyFill="0" applyAlignment="0" applyProtection="0"/>
    <xf numFmtId="9" fontId="2" fillId="0" borderId="0" applyFont="0" applyFill="0" applyBorder="0" applyAlignment="0" applyProtection="0"/>
    <xf numFmtId="0" fontId="133" fillId="0" borderId="77" applyNumberFormat="0" applyFill="0" applyAlignment="0" applyProtection="0"/>
    <xf numFmtId="0" fontId="2" fillId="0" borderId="0"/>
    <xf numFmtId="0" fontId="2" fillId="0" borderId="0"/>
    <xf numFmtId="0" fontId="139" fillId="0" borderId="0" applyNumberFormat="0" applyFill="0" applyBorder="0" applyAlignment="0" applyProtection="0"/>
    <xf numFmtId="0" fontId="140" fillId="0" borderId="0" applyNumberFormat="0" applyFill="0" applyBorder="0" applyAlignment="0" applyProtection="0"/>
  </cellStyleXfs>
  <cellXfs count="880">
    <xf numFmtId="0" fontId="0" fillId="0" borderId="0" xfId="0"/>
    <xf numFmtId="3" fontId="0" fillId="0" borderId="0" xfId="0" applyNumberFormat="1"/>
    <xf numFmtId="0" fontId="0" fillId="0" borderId="0" xfId="0" applyAlignment="1">
      <alignment horizontal="right"/>
    </xf>
    <xf numFmtId="0" fontId="0" fillId="0" borderId="0" xfId="0" applyAlignment="1">
      <alignment horizontal="left"/>
    </xf>
    <xf numFmtId="0" fontId="0" fillId="0" borderId="10" xfId="0" applyBorder="1"/>
    <xf numFmtId="0" fontId="0" fillId="0" borderId="11" xfId="0" applyBorder="1"/>
    <xf numFmtId="0" fontId="0" fillId="0" borderId="11" xfId="0" applyBorder="1" applyAlignment="1">
      <alignment horizontal="right"/>
    </xf>
    <xf numFmtId="0" fontId="0" fillId="0" borderId="11" xfId="0" applyBorder="1" applyAlignment="1">
      <alignment horizontal="left"/>
    </xf>
    <xf numFmtId="0" fontId="0" fillId="0" borderId="12" xfId="0" applyBorder="1"/>
    <xf numFmtId="0" fontId="0" fillId="0" borderId="13" xfId="0" applyBorder="1"/>
    <xf numFmtId="0" fontId="0" fillId="0" borderId="14" xfId="0" applyBorder="1"/>
    <xf numFmtId="0" fontId="0" fillId="0" borderId="14" xfId="0" applyBorder="1" applyAlignment="1">
      <alignment horizontal="right"/>
    </xf>
    <xf numFmtId="0" fontId="0" fillId="0" borderId="0" xfId="0" applyAlignment="1">
      <alignment wrapText="1"/>
    </xf>
    <xf numFmtId="0" fontId="0" fillId="18" borderId="0" xfId="0" applyFill="1"/>
    <xf numFmtId="164" fontId="0" fillId="0" borderId="0" xfId="0" applyNumberFormat="1"/>
    <xf numFmtId="168" fontId="0" fillId="0" borderId="0" xfId="0" applyNumberFormat="1"/>
    <xf numFmtId="0" fontId="27" fillId="0" borderId="0" xfId="0" applyFont="1"/>
    <xf numFmtId="3" fontId="27" fillId="0" borderId="0" xfId="0" applyNumberFormat="1" applyFont="1"/>
    <xf numFmtId="164" fontId="0" fillId="0" borderId="0" xfId="0" applyNumberFormat="1" applyAlignment="1">
      <alignment horizontal="right"/>
    </xf>
    <xf numFmtId="164" fontId="5" fillId="0" borderId="0" xfId="0" applyNumberFormat="1" applyFont="1" applyAlignment="1">
      <alignment horizontal="right"/>
    </xf>
    <xf numFmtId="0" fontId="5" fillId="0" borderId="0" xfId="0" applyFont="1"/>
    <xf numFmtId="0" fontId="4" fillId="0" borderId="0" xfId="0" applyFont="1"/>
    <xf numFmtId="0" fontId="28" fillId="0" borderId="0" xfId="0" applyFont="1"/>
    <xf numFmtId="38" fontId="0" fillId="0" borderId="0" xfId="0" applyNumberFormat="1" applyAlignment="1">
      <alignment horizontal="right"/>
    </xf>
    <xf numFmtId="38" fontId="0" fillId="0" borderId="0" xfId="0" applyNumberFormat="1"/>
    <xf numFmtId="0" fontId="69" fillId="0" borderId="0" xfId="0" applyFont="1"/>
    <xf numFmtId="3" fontId="9" fillId="0" borderId="14" xfId="0" applyNumberFormat="1" applyFont="1" applyBorder="1"/>
    <xf numFmtId="3" fontId="9" fillId="0" borderId="15" xfId="0" applyNumberFormat="1" applyFont="1" applyBorder="1"/>
    <xf numFmtId="0" fontId="30" fillId="0" borderId="0" xfId="0" applyFont="1"/>
    <xf numFmtId="0" fontId="32" fillId="0" borderId="0" xfId="0" applyFont="1"/>
    <xf numFmtId="3" fontId="0" fillId="52" borderId="16" xfId="0" applyNumberFormat="1" applyFill="1" applyBorder="1"/>
    <xf numFmtId="3" fontId="5" fillId="52" borderId="10" xfId="0" applyNumberFormat="1" applyFont="1" applyFill="1" applyBorder="1"/>
    <xf numFmtId="3" fontId="0" fillId="52" borderId="11" xfId="0" applyNumberFormat="1" applyFill="1" applyBorder="1"/>
    <xf numFmtId="0" fontId="70" fillId="0" borderId="17" xfId="0" applyFont="1" applyBorder="1" applyAlignment="1">
      <alignment horizontal="left"/>
    </xf>
    <xf numFmtId="171" fontId="0" fillId="0" borderId="0" xfId="0" applyNumberFormat="1"/>
    <xf numFmtId="0" fontId="9" fillId="0" borderId="0" xfId="0" applyFont="1" applyAlignment="1">
      <alignment horizontal="center"/>
    </xf>
    <xf numFmtId="0" fontId="71" fillId="0" borderId="0" xfId="0" applyFont="1"/>
    <xf numFmtId="0" fontId="70" fillId="0" borderId="17" xfId="0" applyFont="1" applyBorder="1"/>
    <xf numFmtId="0" fontId="72" fillId="0" borderId="0" xfId="0" applyFont="1"/>
    <xf numFmtId="0" fontId="9" fillId="0" borderId="0" xfId="0" applyFont="1"/>
    <xf numFmtId="0" fontId="33" fillId="0" borderId="0" xfId="0" applyFont="1"/>
    <xf numFmtId="0" fontId="70" fillId="0" borderId="0" xfId="0" applyFont="1"/>
    <xf numFmtId="0" fontId="0" fillId="0" borderId="17" xfId="0" applyBorder="1"/>
    <xf numFmtId="166" fontId="73" fillId="0" borderId="0" xfId="55" applyNumberFormat="1" applyFont="1" applyFill="1" applyBorder="1"/>
    <xf numFmtId="38" fontId="5" fillId="0" borderId="0" xfId="0" applyNumberFormat="1" applyFont="1"/>
    <xf numFmtId="174" fontId="5" fillId="0" borderId="0" xfId="0" applyNumberFormat="1" applyFont="1"/>
    <xf numFmtId="4" fontId="71" fillId="0" borderId="0" xfId="0" applyNumberFormat="1" applyFont="1"/>
    <xf numFmtId="0" fontId="5" fillId="53" borderId="18" xfId="0" applyFont="1" applyFill="1" applyBorder="1"/>
    <xf numFmtId="0" fontId="32" fillId="0" borderId="0" xfId="0" applyFont="1" applyAlignment="1">
      <alignment wrapText="1"/>
    </xf>
    <xf numFmtId="3" fontId="0" fillId="54" borderId="11" xfId="0" applyNumberFormat="1" applyFill="1" applyBorder="1"/>
    <xf numFmtId="3" fontId="0" fillId="55" borderId="11" xfId="0" applyNumberFormat="1" applyFill="1" applyBorder="1"/>
    <xf numFmtId="174" fontId="0" fillId="55" borderId="19" xfId="0" applyNumberFormat="1" applyFill="1" applyBorder="1"/>
    <xf numFmtId="3" fontId="0" fillId="54" borderId="0" xfId="0" applyNumberFormat="1" applyFill="1"/>
    <xf numFmtId="3" fontId="0" fillId="55" borderId="0" xfId="0" applyNumberFormat="1" applyFill="1"/>
    <xf numFmtId="174" fontId="0" fillId="55" borderId="20" xfId="0" applyNumberFormat="1" applyFill="1" applyBorder="1"/>
    <xf numFmtId="3" fontId="0" fillId="0" borderId="14" xfId="0" applyNumberFormat="1" applyBorder="1"/>
    <xf numFmtId="3" fontId="0" fillId="0" borderId="15" xfId="0" applyNumberFormat="1" applyBorder="1"/>
    <xf numFmtId="0" fontId="0" fillId="0" borderId="20" xfId="0" applyBorder="1"/>
    <xf numFmtId="0" fontId="5" fillId="56" borderId="21" xfId="0" applyFont="1" applyFill="1" applyBorder="1" applyAlignment="1">
      <alignment horizontal="right"/>
    </xf>
    <xf numFmtId="174" fontId="0" fillId="56" borderId="22" xfId="0" applyNumberFormat="1" applyFill="1" applyBorder="1"/>
    <xf numFmtId="0" fontId="6" fillId="56" borderId="16" xfId="0" applyFont="1" applyFill="1" applyBorder="1" applyAlignment="1">
      <alignment horizontal="center" vertical="center" wrapText="1"/>
    </xf>
    <xf numFmtId="0" fontId="5" fillId="55" borderId="23" xfId="0" applyFont="1" applyFill="1" applyBorder="1" applyAlignment="1">
      <alignment vertical="center" wrapText="1"/>
    </xf>
    <xf numFmtId="0" fontId="9" fillId="55" borderId="23" xfId="0" applyFont="1" applyFill="1" applyBorder="1" applyAlignment="1">
      <alignment wrapText="1"/>
    </xf>
    <xf numFmtId="0" fontId="5" fillId="0" borderId="24" xfId="0" applyFont="1" applyBorder="1"/>
    <xf numFmtId="0" fontId="9" fillId="0" borderId="25" xfId="0" applyFont="1" applyBorder="1"/>
    <xf numFmtId="0" fontId="31" fillId="0" borderId="0" xfId="0" applyFont="1" applyAlignment="1">
      <alignment wrapText="1"/>
    </xf>
    <xf numFmtId="0" fontId="3" fillId="57" borderId="0" xfId="0" applyFont="1" applyFill="1"/>
    <xf numFmtId="0" fontId="9" fillId="57" borderId="0" xfId="0" applyFont="1" applyFill="1" applyAlignment="1">
      <alignment horizontal="center" wrapText="1"/>
    </xf>
    <xf numFmtId="0" fontId="9" fillId="57" borderId="0" xfId="0" applyFont="1" applyFill="1" applyAlignment="1">
      <alignment wrapText="1"/>
    </xf>
    <xf numFmtId="3" fontId="9" fillId="57" borderId="0" xfId="0" applyNumberFormat="1" applyFont="1" applyFill="1" applyAlignment="1">
      <alignment wrapText="1"/>
    </xf>
    <xf numFmtId="0" fontId="0" fillId="57" borderId="0" xfId="0" applyFill="1"/>
    <xf numFmtId="3" fontId="5" fillId="57" borderId="0" xfId="0" applyNumberFormat="1" applyFont="1" applyFill="1" applyAlignment="1">
      <alignment wrapText="1"/>
    </xf>
    <xf numFmtId="3" fontId="0" fillId="57" borderId="0" xfId="0" applyNumberFormat="1" applyFill="1"/>
    <xf numFmtId="0" fontId="9" fillId="57" borderId="0" xfId="0" applyFont="1" applyFill="1"/>
    <xf numFmtId="0" fontId="0" fillId="57" borderId="0" xfId="0" applyFill="1" applyAlignment="1">
      <alignment horizontal="right"/>
    </xf>
    <xf numFmtId="4" fontId="0" fillId="57" borderId="0" xfId="0" applyNumberFormat="1" applyFill="1"/>
    <xf numFmtId="0" fontId="31" fillId="0" borderId="0" xfId="0" applyFont="1" applyAlignment="1">
      <alignment horizontal="center"/>
    </xf>
    <xf numFmtId="0" fontId="30" fillId="0" borderId="0" xfId="0" applyFont="1" applyAlignment="1">
      <alignment wrapText="1"/>
    </xf>
    <xf numFmtId="0" fontId="31" fillId="0" borderId="0" xfId="0" applyFont="1" applyAlignment="1">
      <alignment horizontal="center" wrapText="1"/>
    </xf>
    <xf numFmtId="3" fontId="30" fillId="0" borderId="0" xfId="0" applyNumberFormat="1" applyFont="1"/>
    <xf numFmtId="0" fontId="30" fillId="0" borderId="0" xfId="0" applyFont="1" applyAlignment="1">
      <alignment horizontal="right"/>
    </xf>
    <xf numFmtId="0" fontId="30" fillId="0" borderId="0" xfId="0" applyFont="1" applyAlignment="1">
      <alignment horizontal="center"/>
    </xf>
    <xf numFmtId="3" fontId="31" fillId="0" borderId="0" xfId="0" applyNumberFormat="1" applyFont="1"/>
    <xf numFmtId="0" fontId="30" fillId="18" borderId="0" xfId="0" applyFont="1" applyFill="1"/>
    <xf numFmtId="4" fontId="30" fillId="18" borderId="0" xfId="0" applyNumberFormat="1" applyFont="1" applyFill="1"/>
    <xf numFmtId="4" fontId="30" fillId="0" borderId="0" xfId="0" applyNumberFormat="1" applyFont="1"/>
    <xf numFmtId="0" fontId="31" fillId="0" borderId="0" xfId="0" applyFont="1"/>
    <xf numFmtId="3" fontId="31" fillId="0" borderId="0" xfId="0" applyNumberFormat="1" applyFont="1" applyAlignment="1">
      <alignment wrapText="1"/>
    </xf>
    <xf numFmtId="3" fontId="74" fillId="0" borderId="0" xfId="0" applyNumberFormat="1" applyFont="1"/>
    <xf numFmtId="4" fontId="30" fillId="0" borderId="0" xfId="0" applyNumberFormat="1" applyFont="1" applyAlignment="1">
      <alignment wrapText="1"/>
    </xf>
    <xf numFmtId="4" fontId="30" fillId="0" borderId="0" xfId="0" applyNumberFormat="1" applyFont="1" applyAlignment="1">
      <alignment horizontal="right"/>
    </xf>
    <xf numFmtId="0" fontId="75" fillId="0" borderId="0" xfId="0" applyFont="1"/>
    <xf numFmtId="0" fontId="35" fillId="0" borderId="0" xfId="0" applyFont="1" applyAlignment="1">
      <alignment horizontal="center" wrapText="1"/>
    </xf>
    <xf numFmtId="0" fontId="30" fillId="58" borderId="0" xfId="0" applyFont="1" applyFill="1" applyAlignment="1">
      <alignment horizontal="center"/>
    </xf>
    <xf numFmtId="3" fontId="30" fillId="58" borderId="0" xfId="0" applyNumberFormat="1" applyFont="1" applyFill="1"/>
    <xf numFmtId="165" fontId="5" fillId="0" borderId="0" xfId="0" applyNumberFormat="1" applyFont="1"/>
    <xf numFmtId="166" fontId="9" fillId="0" borderId="0" xfId="0" applyNumberFormat="1" applyFont="1"/>
    <xf numFmtId="0" fontId="5" fillId="0" borderId="13" xfId="0" applyFont="1" applyBorder="1"/>
    <xf numFmtId="0" fontId="5" fillId="0" borderId="17" xfId="0" applyFont="1" applyBorder="1"/>
    <xf numFmtId="0" fontId="5" fillId="0" borderId="15" xfId="0" applyFont="1" applyBorder="1" applyAlignment="1">
      <alignment horizontal="center"/>
    </xf>
    <xf numFmtId="0" fontId="5" fillId="0" borderId="22" xfId="0" applyFont="1" applyBorder="1" applyAlignment="1">
      <alignment horizontal="center"/>
    </xf>
    <xf numFmtId="0" fontId="5" fillId="0" borderId="26" xfId="0" applyFont="1" applyBorder="1"/>
    <xf numFmtId="2" fontId="5" fillId="0" borderId="0" xfId="0" applyNumberFormat="1" applyFont="1"/>
    <xf numFmtId="0" fontId="3" fillId="0" borderId="0" xfId="0" applyFont="1"/>
    <xf numFmtId="0" fontId="76" fillId="0" borderId="0" xfId="0" applyFont="1"/>
    <xf numFmtId="43" fontId="0" fillId="0" borderId="0" xfId="55" applyFont="1" applyFill="1"/>
    <xf numFmtId="0" fontId="74" fillId="0" borderId="0" xfId="0" applyFont="1"/>
    <xf numFmtId="0" fontId="5" fillId="60" borderId="27" xfId="0" applyFont="1" applyFill="1" applyBorder="1"/>
    <xf numFmtId="0" fontId="5" fillId="61" borderId="27" xfId="0" applyFont="1" applyFill="1" applyBorder="1"/>
    <xf numFmtId="0" fontId="5" fillId="60" borderId="24" xfId="0" applyFont="1" applyFill="1" applyBorder="1"/>
    <xf numFmtId="168" fontId="5" fillId="60" borderId="16" xfId="0" applyNumberFormat="1" applyFont="1" applyFill="1" applyBorder="1"/>
    <xf numFmtId="0" fontId="5" fillId="61" borderId="24" xfId="0" applyFont="1" applyFill="1" applyBorder="1"/>
    <xf numFmtId="168" fontId="5" fillId="61" borderId="16" xfId="0" applyNumberFormat="1" applyFont="1" applyFill="1" applyBorder="1"/>
    <xf numFmtId="0" fontId="5" fillId="60" borderId="25" xfId="0" applyFont="1" applyFill="1" applyBorder="1"/>
    <xf numFmtId="168" fontId="5" fillId="60" borderId="28" xfId="0" applyNumberFormat="1" applyFont="1" applyFill="1" applyBorder="1"/>
    <xf numFmtId="2" fontId="74" fillId="0" borderId="0" xfId="0" applyNumberFormat="1" applyFont="1"/>
    <xf numFmtId="0" fontId="5" fillId="0" borderId="0" xfId="0" applyFont="1" applyAlignment="1">
      <alignment horizontal="right"/>
    </xf>
    <xf numFmtId="0" fontId="5" fillId="0" borderId="0" xfId="0" applyFont="1" applyAlignment="1">
      <alignment horizontal="left"/>
    </xf>
    <xf numFmtId="171" fontId="5" fillId="0" borderId="0" xfId="0" applyNumberFormat="1" applyFont="1"/>
    <xf numFmtId="0" fontId="6" fillId="62" borderId="16" xfId="0" applyFont="1" applyFill="1" applyBorder="1" applyAlignment="1">
      <alignment horizontal="center" vertical="center" wrapText="1"/>
    </xf>
    <xf numFmtId="0" fontId="5" fillId="0" borderId="12" xfId="0" applyFont="1" applyBorder="1"/>
    <xf numFmtId="3" fontId="5" fillId="54" borderId="0" xfId="0" applyNumberFormat="1" applyFont="1" applyFill="1"/>
    <xf numFmtId="3" fontId="5" fillId="55" borderId="0" xfId="0" applyNumberFormat="1" applyFont="1" applyFill="1"/>
    <xf numFmtId="168" fontId="5" fillId="0" borderId="0" xfId="0" applyNumberFormat="1" applyFont="1"/>
    <xf numFmtId="0" fontId="5" fillId="56" borderId="0" xfId="0" applyFont="1" applyFill="1"/>
    <xf numFmtId="0" fontId="77" fillId="0" borderId="0" xfId="0" applyFont="1"/>
    <xf numFmtId="0" fontId="78" fillId="0" borderId="0" xfId="0" applyFont="1"/>
    <xf numFmtId="0" fontId="0" fillId="19" borderId="0" xfId="0" applyFill="1"/>
    <xf numFmtId="0" fontId="36" fillId="63" borderId="16" xfId="0" applyFont="1" applyFill="1" applyBorder="1" applyAlignment="1">
      <alignment horizontal="center" wrapText="1"/>
    </xf>
    <xf numFmtId="3" fontId="36" fillId="63" borderId="16" xfId="0" applyNumberFormat="1" applyFont="1" applyFill="1" applyBorder="1" applyAlignment="1">
      <alignment horizontal="center" wrapText="1"/>
    </xf>
    <xf numFmtId="0" fontId="5" fillId="60" borderId="29" xfId="0" applyFont="1" applyFill="1" applyBorder="1"/>
    <xf numFmtId="3" fontId="0" fillId="52" borderId="23" xfId="0" applyNumberFormat="1" applyFill="1" applyBorder="1"/>
    <xf numFmtId="3" fontId="27" fillId="52" borderId="30" xfId="0" applyNumberFormat="1" applyFont="1" applyFill="1" applyBorder="1" applyAlignment="1">
      <alignment horizontal="center" vertical="center"/>
    </xf>
    <xf numFmtId="4" fontId="27" fillId="52" borderId="31" xfId="0" applyNumberFormat="1" applyFont="1" applyFill="1" applyBorder="1" applyAlignment="1">
      <alignment horizontal="center" vertical="center"/>
    </xf>
    <xf numFmtId="0" fontId="30" fillId="52" borderId="0" xfId="0" applyFont="1" applyFill="1" applyAlignment="1">
      <alignment horizontal="right"/>
    </xf>
    <xf numFmtId="0" fontId="30" fillId="52" borderId="0" xfId="0" applyFont="1" applyFill="1" applyAlignment="1">
      <alignment horizontal="center"/>
    </xf>
    <xf numFmtId="3" fontId="31" fillId="52" borderId="0" xfId="0" applyNumberFormat="1" applyFont="1" applyFill="1" applyAlignment="1">
      <alignment wrapText="1"/>
    </xf>
    <xf numFmtId="0" fontId="69" fillId="0" borderId="0" xfId="0" applyFont="1" applyAlignment="1">
      <alignment horizontal="center"/>
    </xf>
    <xf numFmtId="0" fontId="30" fillId="0" borderId="0" xfId="0" applyFont="1" applyAlignment="1">
      <alignment horizontal="left"/>
    </xf>
    <xf numFmtId="0" fontId="9" fillId="0" borderId="0" xfId="0" applyFont="1" applyProtection="1">
      <protection locked="0"/>
    </xf>
    <xf numFmtId="0" fontId="5" fillId="0" borderId="0" xfId="0" applyFont="1" applyProtection="1">
      <protection locked="0"/>
    </xf>
    <xf numFmtId="0" fontId="30" fillId="0" borderId="0" xfId="0" applyFont="1" applyAlignment="1" applyProtection="1">
      <alignment horizontal="left"/>
      <protection locked="0"/>
    </xf>
    <xf numFmtId="3" fontId="30" fillId="52" borderId="0" xfId="0" applyNumberFormat="1" applyFont="1" applyFill="1"/>
    <xf numFmtId="0" fontId="4" fillId="0" borderId="16" xfId="0" applyFont="1" applyBorder="1" applyAlignment="1">
      <alignment horizontal="left" wrapText="1"/>
    </xf>
    <xf numFmtId="3" fontId="0" fillId="52" borderId="10" xfId="0" applyNumberFormat="1" applyFill="1" applyBorder="1"/>
    <xf numFmtId="3" fontId="0" fillId="56" borderId="17" xfId="0" applyNumberFormat="1" applyFill="1" applyBorder="1"/>
    <xf numFmtId="3" fontId="0" fillId="56" borderId="21" xfId="0" applyNumberFormat="1" applyFill="1" applyBorder="1"/>
    <xf numFmtId="0" fontId="5" fillId="0" borderId="14" xfId="0" applyFont="1" applyBorder="1"/>
    <xf numFmtId="0" fontId="5" fillId="0" borderId="14" xfId="0" applyFont="1" applyBorder="1" applyAlignment="1">
      <alignment horizontal="right"/>
    </xf>
    <xf numFmtId="0" fontId="5" fillId="0" borderId="11" xfId="0" applyFont="1" applyBorder="1"/>
    <xf numFmtId="0" fontId="5" fillId="0" borderId="11" xfId="0" applyFont="1" applyBorder="1" applyAlignment="1">
      <alignment horizontal="right"/>
    </xf>
    <xf numFmtId="0" fontId="5" fillId="0" borderId="11" xfId="0" applyFont="1" applyBorder="1" applyAlignment="1">
      <alignment horizontal="left"/>
    </xf>
    <xf numFmtId="166" fontId="69" fillId="0" borderId="0" xfId="55" applyNumberFormat="1" applyFont="1" applyFill="1"/>
    <xf numFmtId="0" fontId="5" fillId="53" borderId="32" xfId="0" applyFont="1" applyFill="1" applyBorder="1"/>
    <xf numFmtId="0" fontId="5" fillId="53" borderId="33" xfId="0" applyFont="1" applyFill="1" applyBorder="1"/>
    <xf numFmtId="0" fontId="5" fillId="53" borderId="34" xfId="0" applyFont="1" applyFill="1" applyBorder="1"/>
    <xf numFmtId="3" fontId="74" fillId="0" borderId="0" xfId="0" applyNumberFormat="1" applyFont="1" applyAlignment="1">
      <alignment wrapText="1"/>
    </xf>
    <xf numFmtId="0" fontId="6" fillId="64" borderId="16" xfId="0" applyFont="1" applyFill="1" applyBorder="1" applyAlignment="1">
      <alignment vertical="center" wrapText="1"/>
    </xf>
    <xf numFmtId="3" fontId="0" fillId="64" borderId="11" xfId="0" applyNumberFormat="1" applyFill="1" applyBorder="1"/>
    <xf numFmtId="3" fontId="0" fillId="64" borderId="0" xfId="0" applyNumberFormat="1" applyFill="1"/>
    <xf numFmtId="3" fontId="5" fillId="64" borderId="0" xfId="0" applyNumberFormat="1" applyFont="1" applyFill="1"/>
    <xf numFmtId="0" fontId="5" fillId="0" borderId="0" xfId="0" applyFont="1" applyAlignment="1" applyProtection="1">
      <alignment wrapText="1"/>
      <protection locked="0"/>
    </xf>
    <xf numFmtId="3" fontId="31" fillId="52" borderId="0" xfId="0" applyNumberFormat="1" applyFont="1" applyFill="1"/>
    <xf numFmtId="0" fontId="79" fillId="0" borderId="0" xfId="0" applyFont="1"/>
    <xf numFmtId="0" fontId="30" fillId="0" borderId="0" xfId="0" applyFont="1" applyAlignment="1">
      <alignment horizontal="center" wrapText="1"/>
    </xf>
    <xf numFmtId="0" fontId="9" fillId="65" borderId="0" xfId="0" applyFont="1" applyFill="1" applyAlignment="1">
      <alignment horizontal="left"/>
    </xf>
    <xf numFmtId="0" fontId="9" fillId="65" borderId="0" xfId="0" applyFont="1" applyFill="1" applyAlignment="1">
      <alignment horizontal="center"/>
    </xf>
    <xf numFmtId="0" fontId="3" fillId="65" borderId="0" xfId="0" applyFont="1" applyFill="1"/>
    <xf numFmtId="0" fontId="9" fillId="65" borderId="0" xfId="0" applyFont="1" applyFill="1" applyAlignment="1">
      <alignment horizontal="center" wrapText="1"/>
    </xf>
    <xf numFmtId="0" fontId="9" fillId="65" borderId="0" xfId="0" applyFont="1" applyFill="1" applyAlignment="1">
      <alignment wrapText="1"/>
    </xf>
    <xf numFmtId="3" fontId="9" fillId="65" borderId="0" xfId="0" applyNumberFormat="1" applyFont="1" applyFill="1" applyAlignment="1">
      <alignment wrapText="1"/>
    </xf>
    <xf numFmtId="3" fontId="5" fillId="65" borderId="0" xfId="0" applyNumberFormat="1" applyFont="1" applyFill="1" applyAlignment="1">
      <alignment wrapText="1"/>
    </xf>
    <xf numFmtId="0" fontId="9" fillId="65" borderId="0" xfId="0" applyFont="1" applyFill="1"/>
    <xf numFmtId="0" fontId="0" fillId="66" borderId="0" xfId="0" applyFill="1"/>
    <xf numFmtId="0" fontId="5" fillId="0" borderId="0" xfId="0" applyFont="1" applyAlignment="1" applyProtection="1">
      <alignment horizontal="center" wrapText="1"/>
      <protection locked="0"/>
    </xf>
    <xf numFmtId="166" fontId="5" fillId="0" borderId="0" xfId="55" applyNumberFormat="1" applyFont="1" applyProtection="1">
      <protection locked="0"/>
    </xf>
    <xf numFmtId="166" fontId="51" fillId="66" borderId="13" xfId="55" applyNumberFormat="1" applyFont="1" applyFill="1" applyBorder="1"/>
    <xf numFmtId="0" fontId="9" fillId="0" borderId="0" xfId="0" applyFont="1" applyAlignment="1">
      <alignment horizontal="left"/>
    </xf>
    <xf numFmtId="0" fontId="9" fillId="0" borderId="0" xfId="0" applyFont="1" applyAlignment="1">
      <alignment wrapText="1"/>
    </xf>
    <xf numFmtId="0" fontId="5" fillId="65" borderId="0" xfId="0" applyFont="1" applyFill="1" applyAlignment="1">
      <alignment horizontal="right" wrapText="1"/>
    </xf>
    <xf numFmtId="38" fontId="5" fillId="0" borderId="16" xfId="55" applyNumberFormat="1" applyFont="1" applyFill="1" applyBorder="1" applyAlignment="1">
      <alignment horizontal="center" vertical="center"/>
    </xf>
    <xf numFmtId="38" fontId="5" fillId="65" borderId="16" xfId="55" applyNumberFormat="1" applyFont="1" applyFill="1" applyBorder="1" applyAlignment="1">
      <alignment horizontal="center" vertical="center"/>
    </xf>
    <xf numFmtId="0" fontId="5" fillId="0" borderId="11" xfId="0" applyFont="1" applyBorder="1" applyAlignment="1">
      <alignment horizontal="center" wrapText="1"/>
    </xf>
    <xf numFmtId="0" fontId="5" fillId="0" borderId="14" xfId="0" applyFont="1" applyBorder="1" applyAlignment="1">
      <alignment horizontal="center" wrapText="1"/>
    </xf>
    <xf numFmtId="0" fontId="5" fillId="0" borderId="15" xfId="0" applyFont="1" applyBorder="1" applyAlignment="1">
      <alignment horizontal="center" wrapText="1"/>
    </xf>
    <xf numFmtId="0" fontId="9" fillId="0" borderId="21" xfId="0" applyFont="1" applyBorder="1" applyAlignment="1">
      <alignment horizontal="center" wrapText="1"/>
    </xf>
    <xf numFmtId="0" fontId="5" fillId="0" borderId="19" xfId="0" applyFont="1" applyBorder="1" applyAlignment="1">
      <alignment horizontal="center" wrapText="1"/>
    </xf>
    <xf numFmtId="0" fontId="5" fillId="0" borderId="0" xfId="0" applyFont="1" applyAlignment="1">
      <alignment horizontal="center" wrapText="1"/>
    </xf>
    <xf numFmtId="0" fontId="5" fillId="0" borderId="20" xfId="0" applyFont="1" applyBorder="1" applyAlignment="1">
      <alignment horizontal="center" wrapText="1"/>
    </xf>
    <xf numFmtId="38" fontId="5" fillId="0" borderId="16" xfId="55" applyNumberFormat="1" applyFont="1" applyFill="1" applyBorder="1" applyAlignment="1">
      <alignment horizontal="right" vertical="center"/>
    </xf>
    <xf numFmtId="38" fontId="5" fillId="65" borderId="16" xfId="55" applyNumberFormat="1" applyFont="1" applyFill="1" applyBorder="1" applyAlignment="1">
      <alignment horizontal="right" vertical="center"/>
    </xf>
    <xf numFmtId="38" fontId="5" fillId="56" borderId="16" xfId="55" applyNumberFormat="1" applyFont="1" applyFill="1" applyBorder="1" applyAlignment="1">
      <alignment horizontal="center" vertical="center"/>
    </xf>
    <xf numFmtId="0" fontId="69" fillId="0" borderId="20" xfId="0" applyFont="1" applyBorder="1" applyAlignment="1">
      <alignment horizontal="center" wrapText="1"/>
    </xf>
    <xf numFmtId="0" fontId="9" fillId="0" borderId="0" xfId="0" applyFont="1" applyAlignment="1">
      <alignment horizontal="center" wrapText="1"/>
    </xf>
    <xf numFmtId="38" fontId="5" fillId="56" borderId="17" xfId="55" applyNumberFormat="1" applyFont="1" applyFill="1" applyBorder="1" applyAlignment="1">
      <alignment horizontal="center" vertical="center"/>
    </xf>
    <xf numFmtId="38" fontId="5" fillId="0" borderId="0" xfId="55" applyNumberFormat="1" applyFont="1" applyFill="1" applyBorder="1" applyAlignment="1">
      <alignment horizontal="right" vertical="center"/>
    </xf>
    <xf numFmtId="0" fontId="69" fillId="0" borderId="0" xfId="0" applyFont="1" applyAlignment="1">
      <alignment horizontal="center" wrapText="1"/>
    </xf>
    <xf numFmtId="38" fontId="5" fillId="0" borderId="0" xfId="55" applyNumberFormat="1" applyFont="1" applyFill="1" applyBorder="1" applyAlignment="1">
      <alignment horizontal="center" vertical="center"/>
    </xf>
    <xf numFmtId="0" fontId="9" fillId="0" borderId="11" xfId="0" applyFont="1" applyBorder="1" applyAlignment="1">
      <alignment horizontal="center" wrapText="1"/>
    </xf>
    <xf numFmtId="0" fontId="9" fillId="0" borderId="19" xfId="0" applyFont="1" applyBorder="1" applyAlignment="1">
      <alignment horizontal="center" wrapText="1"/>
    </xf>
    <xf numFmtId="0" fontId="5" fillId="0" borderId="10" xfId="0" applyFont="1" applyBorder="1" applyAlignment="1">
      <alignment horizontal="center" wrapText="1"/>
    </xf>
    <xf numFmtId="0" fontId="5" fillId="0" borderId="13" xfId="0" applyFont="1" applyBorder="1" applyAlignment="1">
      <alignment horizontal="center" wrapText="1"/>
    </xf>
    <xf numFmtId="174" fontId="5" fillId="0" borderId="16" xfId="55" applyNumberFormat="1" applyFont="1" applyFill="1" applyBorder="1" applyAlignment="1">
      <alignment horizontal="right" vertical="center"/>
    </xf>
    <xf numFmtId="174" fontId="5" fillId="65" borderId="16" xfId="55" applyNumberFormat="1" applyFont="1" applyFill="1" applyBorder="1" applyAlignment="1">
      <alignment horizontal="right" vertical="center"/>
    </xf>
    <xf numFmtId="174" fontId="9" fillId="0" borderId="16" xfId="55" applyNumberFormat="1" applyFont="1" applyFill="1" applyBorder="1" applyAlignment="1">
      <alignment horizontal="right" vertical="center"/>
    </xf>
    <xf numFmtId="174" fontId="9" fillId="65" borderId="16" xfId="55" applyNumberFormat="1" applyFont="1" applyFill="1" applyBorder="1" applyAlignment="1">
      <alignment horizontal="right" vertical="center"/>
    </xf>
    <xf numFmtId="174" fontId="80" fillId="0" borderId="16" xfId="55" applyNumberFormat="1" applyFont="1" applyFill="1" applyBorder="1" applyAlignment="1">
      <alignment horizontal="right" vertical="center"/>
    </xf>
    <xf numFmtId="174" fontId="80" fillId="65" borderId="16" xfId="55" applyNumberFormat="1" applyFont="1" applyFill="1" applyBorder="1" applyAlignment="1">
      <alignment horizontal="right" vertical="center"/>
    </xf>
    <xf numFmtId="0" fontId="37" fillId="0" borderId="0" xfId="0" applyFont="1"/>
    <xf numFmtId="0" fontId="9" fillId="0" borderId="23" xfId="0" applyFont="1" applyBorder="1" applyAlignment="1">
      <alignment horizontal="right" wrapText="1"/>
    </xf>
    <xf numFmtId="0" fontId="9" fillId="0" borderId="35" xfId="0" applyFont="1" applyBorder="1" applyAlignment="1">
      <alignment horizontal="right" wrapText="1"/>
    </xf>
    <xf numFmtId="0" fontId="9" fillId="0" borderId="36" xfId="0" applyFont="1" applyBorder="1" applyAlignment="1">
      <alignment horizontal="right" wrapText="1"/>
    </xf>
    <xf numFmtId="0" fontId="9" fillId="0" borderId="16" xfId="0" applyFont="1" applyBorder="1" applyAlignment="1">
      <alignment horizontal="right" wrapText="1"/>
    </xf>
    <xf numFmtId="0" fontId="0" fillId="60" borderId="0" xfId="0" applyFill="1"/>
    <xf numFmtId="0" fontId="9" fillId="58" borderId="0" xfId="0" applyFont="1" applyFill="1" applyAlignment="1">
      <alignment horizontal="left"/>
    </xf>
    <xf numFmtId="0" fontId="9" fillId="58" borderId="0" xfId="0" applyFont="1" applyFill="1" applyAlignment="1">
      <alignment horizontal="center"/>
    </xf>
    <xf numFmtId="0" fontId="3" fillId="58" borderId="0" xfId="0" applyFont="1" applyFill="1"/>
    <xf numFmtId="0" fontId="9" fillId="58" borderId="0" xfId="0" applyFont="1" applyFill="1" applyAlignment="1">
      <alignment horizontal="center" wrapText="1"/>
    </xf>
    <xf numFmtId="0" fontId="9" fillId="58" borderId="0" xfId="0" applyFont="1" applyFill="1" applyAlignment="1">
      <alignment wrapText="1"/>
    </xf>
    <xf numFmtId="3" fontId="9" fillId="58" borderId="0" xfId="0" applyNumberFormat="1" applyFont="1" applyFill="1" applyAlignment="1">
      <alignment wrapText="1"/>
    </xf>
    <xf numFmtId="0" fontId="0" fillId="58" borderId="0" xfId="0" applyFill="1"/>
    <xf numFmtId="3" fontId="5" fillId="58" borderId="0" xfId="0" applyNumberFormat="1" applyFont="1" applyFill="1" applyAlignment="1">
      <alignment wrapText="1"/>
    </xf>
    <xf numFmtId="0" fontId="9" fillId="58" borderId="0" xfId="0" applyFont="1" applyFill="1"/>
    <xf numFmtId="3" fontId="0" fillId="58" borderId="0" xfId="0" applyNumberFormat="1" applyFill="1"/>
    <xf numFmtId="0" fontId="0" fillId="58" borderId="0" xfId="0" applyFill="1" applyAlignment="1">
      <alignment horizontal="right"/>
    </xf>
    <xf numFmtId="4" fontId="0" fillId="58" borderId="0" xfId="0" applyNumberFormat="1" applyFill="1"/>
    <xf numFmtId="0" fontId="3" fillId="60" borderId="0" xfId="0" applyFont="1" applyFill="1"/>
    <xf numFmtId="0" fontId="9" fillId="60" borderId="0" xfId="0" applyFont="1" applyFill="1" applyAlignment="1">
      <alignment horizontal="center" wrapText="1"/>
    </xf>
    <xf numFmtId="0" fontId="9" fillId="60" borderId="0" xfId="0" applyFont="1" applyFill="1" applyAlignment="1">
      <alignment wrapText="1"/>
    </xf>
    <xf numFmtId="3" fontId="9" fillId="60" borderId="0" xfId="0" applyNumberFormat="1" applyFont="1" applyFill="1" applyAlignment="1">
      <alignment wrapText="1"/>
    </xf>
    <xf numFmtId="3" fontId="5" fillId="60" borderId="0" xfId="0" applyNumberFormat="1" applyFont="1" applyFill="1" applyAlignment="1">
      <alignment wrapText="1"/>
    </xf>
    <xf numFmtId="0" fontId="9" fillId="60" borderId="0" xfId="0" applyFont="1" applyFill="1"/>
    <xf numFmtId="3" fontId="0" fillId="60" borderId="0" xfId="0" applyNumberFormat="1" applyFill="1"/>
    <xf numFmtId="0" fontId="0" fillId="60" borderId="0" xfId="0" applyFill="1" applyAlignment="1">
      <alignment horizontal="right"/>
    </xf>
    <xf numFmtId="4" fontId="0" fillId="60" borderId="0" xfId="0" applyNumberFormat="1" applyFill="1"/>
    <xf numFmtId="0" fontId="5" fillId="56" borderId="10" xfId="0" applyFont="1" applyFill="1" applyBorder="1" applyAlignment="1">
      <alignment horizontal="center" wrapText="1"/>
    </xf>
    <xf numFmtId="0" fontId="5" fillId="56" borderId="13" xfId="0" applyFont="1" applyFill="1" applyBorder="1" applyAlignment="1">
      <alignment horizontal="center" wrapText="1"/>
    </xf>
    <xf numFmtId="0" fontId="5" fillId="67" borderId="14" xfId="0" applyFont="1" applyFill="1" applyBorder="1" applyAlignment="1">
      <alignment horizontal="center" wrapText="1"/>
    </xf>
    <xf numFmtId="0" fontId="5" fillId="57" borderId="14" xfId="0" applyFont="1" applyFill="1" applyBorder="1" applyAlignment="1">
      <alignment horizontal="center" wrapText="1"/>
    </xf>
    <xf numFmtId="0" fontId="9" fillId="56" borderId="17" xfId="0" applyFont="1" applyFill="1" applyBorder="1" applyAlignment="1">
      <alignment horizontal="center" wrapText="1"/>
    </xf>
    <xf numFmtId="0" fontId="5" fillId="56" borderId="12" xfId="0" applyFont="1" applyFill="1" applyBorder="1" applyAlignment="1">
      <alignment horizontal="center" wrapText="1"/>
    </xf>
    <xf numFmtId="0" fontId="9" fillId="65" borderId="22" xfId="0" applyFont="1" applyFill="1" applyBorder="1" applyAlignment="1">
      <alignment horizontal="center" wrapText="1"/>
    </xf>
    <xf numFmtId="0" fontId="5" fillId="65" borderId="20" xfId="0" applyFont="1" applyFill="1" applyBorder="1" applyAlignment="1">
      <alignment horizontal="center" wrapText="1"/>
    </xf>
    <xf numFmtId="0" fontId="5" fillId="68" borderId="14" xfId="0" applyFont="1" applyFill="1" applyBorder="1" applyAlignment="1">
      <alignment horizontal="center" wrapText="1"/>
    </xf>
    <xf numFmtId="0" fontId="5" fillId="68" borderId="15" xfId="0" applyFont="1" applyFill="1" applyBorder="1" applyAlignment="1">
      <alignment horizontal="center" wrapText="1"/>
    </xf>
    <xf numFmtId="38" fontId="5" fillId="0" borderId="17" xfId="55" applyNumberFormat="1" applyFont="1" applyFill="1" applyBorder="1" applyAlignment="1">
      <alignment horizontal="center" vertical="center"/>
    </xf>
    <xf numFmtId="0" fontId="37" fillId="0" borderId="0" xfId="0" applyFont="1" applyAlignment="1">
      <alignment wrapText="1"/>
    </xf>
    <xf numFmtId="0" fontId="28" fillId="0" borderId="0" xfId="87" applyFont="1"/>
    <xf numFmtId="0" fontId="39" fillId="0" borderId="0" xfId="0" applyFont="1"/>
    <xf numFmtId="38" fontId="40" fillId="0" borderId="16" xfId="55" applyNumberFormat="1" applyFont="1" applyFill="1" applyBorder="1" applyAlignment="1">
      <alignment horizontal="center" vertical="center"/>
    </xf>
    <xf numFmtId="0" fontId="5" fillId="65" borderId="20" xfId="0" quotePrefix="1" applyFont="1" applyFill="1" applyBorder="1" applyAlignment="1">
      <alignment horizontal="center" wrapText="1"/>
    </xf>
    <xf numFmtId="0" fontId="0" fillId="69" borderId="0" xfId="0" applyFill="1"/>
    <xf numFmtId="0" fontId="82" fillId="0" borderId="0" xfId="0" applyFont="1" applyAlignment="1">
      <alignment horizontal="center" vertical="center"/>
    </xf>
    <xf numFmtId="0" fontId="82" fillId="0" borderId="0" xfId="0" applyFont="1" applyAlignment="1">
      <alignment vertical="center" wrapText="1"/>
    </xf>
    <xf numFmtId="0" fontId="83" fillId="0" borderId="0" xfId="0" applyFont="1"/>
    <xf numFmtId="0" fontId="73" fillId="0" borderId="0" xfId="0" applyFont="1"/>
    <xf numFmtId="0" fontId="75" fillId="0" borderId="0" xfId="0" applyFont="1" applyAlignment="1">
      <alignment horizontal="left"/>
    </xf>
    <xf numFmtId="0" fontId="70" fillId="0" borderId="0" xfId="0" applyFont="1" applyAlignment="1">
      <alignment vertical="center" wrapText="1"/>
    </xf>
    <xf numFmtId="0" fontId="70" fillId="0" borderId="0" xfId="0" applyFont="1" applyAlignment="1">
      <alignment horizontal="center" vertical="center"/>
    </xf>
    <xf numFmtId="0" fontId="75" fillId="70" borderId="16" xfId="0" applyFont="1" applyFill="1" applyBorder="1"/>
    <xf numFmtId="0" fontId="84" fillId="0" borderId="0" xfId="0" applyFont="1"/>
    <xf numFmtId="0" fontId="75" fillId="0" borderId="16" xfId="0" applyFont="1" applyBorder="1"/>
    <xf numFmtId="3" fontId="75" fillId="71" borderId="16" xfId="0" applyNumberFormat="1" applyFont="1" applyFill="1" applyBorder="1" applyAlignment="1">
      <alignment horizontal="center"/>
    </xf>
    <xf numFmtId="0" fontId="86" fillId="0" borderId="0" xfId="0" applyFont="1"/>
    <xf numFmtId="0" fontId="87" fillId="0" borderId="0" xfId="0" applyFont="1" applyAlignment="1">
      <alignment horizontal="left" vertical="center"/>
    </xf>
    <xf numFmtId="3" fontId="88" fillId="0" borderId="0" xfId="0" applyNumberFormat="1" applyFont="1" applyAlignment="1">
      <alignment horizontal="left"/>
    </xf>
    <xf numFmtId="3" fontId="89" fillId="0" borderId="0" xfId="0" applyNumberFormat="1" applyFont="1" applyAlignment="1">
      <alignment horizontal="right"/>
    </xf>
    <xf numFmtId="0" fontId="90" fillId="0" borderId="0" xfId="0" applyFont="1" applyAlignment="1">
      <alignment horizontal="left" vertical="center"/>
    </xf>
    <xf numFmtId="43" fontId="77" fillId="0" borderId="0" xfId="55" applyFont="1" applyFill="1" applyBorder="1"/>
    <xf numFmtId="14" fontId="75" fillId="0" borderId="0" xfId="0" applyNumberFormat="1" applyFont="1" applyAlignment="1">
      <alignment horizontal="left"/>
    </xf>
    <xf numFmtId="43" fontId="81" fillId="0" borderId="0" xfId="55" applyFont="1" applyFill="1" applyBorder="1" applyAlignment="1">
      <alignment horizontal="center" vertical="center" wrapText="1"/>
    </xf>
    <xf numFmtId="3" fontId="91" fillId="0" borderId="0" xfId="0" applyNumberFormat="1" applyFont="1" applyAlignment="1">
      <alignment horizontal="center" vertical="center"/>
    </xf>
    <xf numFmtId="0" fontId="92" fillId="0" borderId="0" xfId="0" applyFont="1" applyAlignment="1">
      <alignment horizontal="center" vertical="center"/>
    </xf>
    <xf numFmtId="3" fontId="88" fillId="0" borderId="0" xfId="0" applyNumberFormat="1" applyFont="1" applyAlignment="1">
      <alignment horizontal="center" vertical="center"/>
    </xf>
    <xf numFmtId="0" fontId="75" fillId="0" borderId="24" xfId="0" applyFont="1" applyBorder="1"/>
    <xf numFmtId="0" fontId="75" fillId="0" borderId="23" xfId="0" applyFont="1" applyBorder="1" applyAlignment="1">
      <alignment horizontal="center" wrapText="1"/>
    </xf>
    <xf numFmtId="0" fontId="75" fillId="0" borderId="26" xfId="0" applyFont="1" applyBorder="1"/>
    <xf numFmtId="0" fontId="90" fillId="0" borderId="0" xfId="0" applyFont="1" applyAlignment="1">
      <alignment horizontal="center" vertical="center"/>
    </xf>
    <xf numFmtId="0" fontId="75" fillId="0" borderId="0" xfId="0" applyFont="1" applyAlignment="1">
      <alignment wrapText="1"/>
    </xf>
    <xf numFmtId="166" fontId="77" fillId="0" borderId="0" xfId="55" applyNumberFormat="1" applyFont="1" applyFill="1" applyBorder="1" applyAlignment="1">
      <alignment horizontal="center" vertical="center"/>
    </xf>
    <xf numFmtId="3" fontId="75" fillId="0" borderId="0" xfId="0" applyNumberFormat="1" applyFont="1"/>
    <xf numFmtId="3" fontId="93" fillId="0" borderId="0" xfId="0" applyNumberFormat="1" applyFont="1" applyAlignment="1">
      <alignment horizontal="right" vertical="center"/>
    </xf>
    <xf numFmtId="0" fontId="75" fillId="0" borderId="25" xfId="0" applyFont="1" applyBorder="1"/>
    <xf numFmtId="0" fontId="75" fillId="0" borderId="38" xfId="0" applyFont="1" applyBorder="1"/>
    <xf numFmtId="0" fontId="75" fillId="0" borderId="0" xfId="0" applyFont="1" applyAlignment="1">
      <alignment vertical="center"/>
    </xf>
    <xf numFmtId="0" fontId="73" fillId="0" borderId="29" xfId="0" applyFont="1" applyBorder="1"/>
    <xf numFmtId="0" fontId="75" fillId="0" borderId="39" xfId="0" applyFont="1" applyBorder="1"/>
    <xf numFmtId="0" fontId="94" fillId="0" borderId="39" xfId="0" applyFont="1" applyBorder="1"/>
    <xf numFmtId="0" fontId="84" fillId="0" borderId="39" xfId="0" applyFont="1" applyBorder="1"/>
    <xf numFmtId="0" fontId="75" fillId="0" borderId="40" xfId="0" applyFont="1" applyBorder="1"/>
    <xf numFmtId="0" fontId="95" fillId="0" borderId="29" xfId="0" applyFont="1" applyBorder="1"/>
    <xf numFmtId="0" fontId="73" fillId="0" borderId="24" xfId="0" applyFont="1" applyBorder="1"/>
    <xf numFmtId="3" fontId="84" fillId="0" borderId="0" xfId="0" applyNumberFormat="1" applyFont="1"/>
    <xf numFmtId="0" fontId="95" fillId="0" borderId="16" xfId="0" applyFont="1" applyBorder="1"/>
    <xf numFmtId="0" fontId="95" fillId="0" borderId="17" xfId="0" applyFont="1" applyBorder="1"/>
    <xf numFmtId="0" fontId="95" fillId="0" borderId="21" xfId="0" applyFont="1" applyBorder="1"/>
    <xf numFmtId="0" fontId="75" fillId="0" borderId="21" xfId="0" applyFont="1" applyBorder="1"/>
    <xf numFmtId="0" fontId="75" fillId="0" borderId="22" xfId="0" applyFont="1" applyBorder="1"/>
    <xf numFmtId="0" fontId="95" fillId="0" borderId="26" xfId="0" applyFont="1" applyBorder="1"/>
    <xf numFmtId="0" fontId="95" fillId="0" borderId="0" xfId="0" applyFont="1"/>
    <xf numFmtId="0" fontId="77" fillId="0" borderId="41" xfId="0" applyFont="1" applyBorder="1" applyAlignment="1">
      <alignment wrapText="1"/>
    </xf>
    <xf numFmtId="0" fontId="77" fillId="0" borderId="42" xfId="0" applyFont="1" applyBorder="1" applyAlignment="1">
      <alignment wrapText="1"/>
    </xf>
    <xf numFmtId="0" fontId="77" fillId="0" borderId="43" xfId="0" applyFont="1" applyBorder="1" applyAlignment="1">
      <alignment wrapText="1"/>
    </xf>
    <xf numFmtId="0" fontId="77" fillId="0" borderId="39" xfId="0" applyFont="1" applyBorder="1" applyAlignment="1">
      <alignment wrapText="1"/>
    </xf>
    <xf numFmtId="0" fontId="77" fillId="0" borderId="44" xfId="0" applyFont="1" applyBorder="1" applyAlignment="1">
      <alignment wrapText="1"/>
    </xf>
    <xf numFmtId="0" fontId="77" fillId="0" borderId="45" xfId="0" applyFont="1" applyBorder="1" applyAlignment="1">
      <alignment wrapText="1"/>
    </xf>
    <xf numFmtId="0" fontId="77" fillId="0" borderId="15" xfId="0" applyFont="1" applyBorder="1" applyAlignment="1">
      <alignment wrapText="1"/>
    </xf>
    <xf numFmtId="0" fontId="77" fillId="0" borderId="35" xfId="0" applyFont="1" applyBorder="1" applyAlignment="1">
      <alignment wrapText="1"/>
    </xf>
    <xf numFmtId="0" fontId="77" fillId="0" borderId="46" xfId="0" applyFont="1" applyBorder="1" applyAlignment="1">
      <alignment wrapText="1"/>
    </xf>
    <xf numFmtId="0" fontId="77" fillId="0" borderId="47" xfId="0" applyFont="1" applyBorder="1" applyAlignment="1">
      <alignment wrapText="1"/>
    </xf>
    <xf numFmtId="0" fontId="77" fillId="0" borderId="48" xfId="0" applyFont="1" applyBorder="1" applyAlignment="1">
      <alignment wrapText="1"/>
    </xf>
    <xf numFmtId="0" fontId="77" fillId="0" borderId="24" xfId="0" applyFont="1" applyBorder="1" applyAlignment="1">
      <alignment wrapText="1"/>
    </xf>
    <xf numFmtId="0" fontId="77" fillId="0" borderId="16" xfId="0" applyFont="1" applyBorder="1" applyAlignment="1">
      <alignment wrapText="1"/>
    </xf>
    <xf numFmtId="0" fontId="77" fillId="0" borderId="0" xfId="0" applyFont="1" applyAlignment="1">
      <alignment wrapText="1"/>
    </xf>
    <xf numFmtId="0" fontId="77" fillId="0" borderId="23" xfId="0" applyFont="1" applyBorder="1" applyAlignment="1">
      <alignment wrapText="1"/>
    </xf>
    <xf numFmtId="0" fontId="77" fillId="0" borderId="36" xfId="0" applyFont="1" applyBorder="1" applyAlignment="1">
      <alignment wrapText="1"/>
    </xf>
    <xf numFmtId="0" fontId="77" fillId="0" borderId="12" xfId="0" applyFont="1" applyBorder="1" applyAlignment="1">
      <alignment wrapText="1"/>
    </xf>
    <xf numFmtId="0" fontId="77" fillId="0" borderId="26" xfId="0" applyFont="1" applyBorder="1" applyAlignment="1">
      <alignment wrapText="1"/>
    </xf>
    <xf numFmtId="3" fontId="75" fillId="0" borderId="24" xfId="0" applyNumberFormat="1" applyFont="1" applyBorder="1"/>
    <xf numFmtId="0" fontId="75" fillId="0" borderId="49" xfId="0" applyFont="1" applyBorder="1"/>
    <xf numFmtId="3" fontId="75" fillId="20" borderId="50" xfId="0" quotePrefix="1" applyNumberFormat="1" applyFont="1" applyFill="1" applyBorder="1"/>
    <xf numFmtId="3" fontId="75" fillId="20" borderId="28" xfId="0" quotePrefix="1" applyNumberFormat="1" applyFont="1" applyFill="1" applyBorder="1"/>
    <xf numFmtId="3" fontId="75" fillId="20" borderId="16" xfId="0" quotePrefix="1" applyNumberFormat="1" applyFont="1" applyFill="1" applyBorder="1"/>
    <xf numFmtId="3" fontId="75" fillId="0" borderId="51" xfId="0" applyNumberFormat="1" applyFont="1" applyBorder="1" applyAlignment="1">
      <alignment horizontal="right"/>
    </xf>
    <xf numFmtId="3" fontId="75" fillId="20" borderId="52" xfId="0" quotePrefix="1" applyNumberFormat="1" applyFont="1" applyFill="1" applyBorder="1"/>
    <xf numFmtId="4" fontId="75" fillId="20" borderId="54" xfId="0" quotePrefix="1" applyNumberFormat="1" applyFont="1" applyFill="1" applyBorder="1"/>
    <xf numFmtId="3" fontId="75" fillId="20" borderId="37" xfId="0" quotePrefix="1" applyNumberFormat="1" applyFont="1" applyFill="1" applyBorder="1"/>
    <xf numFmtId="3" fontId="75" fillId="0" borderId="50" xfId="0" applyNumberFormat="1" applyFont="1" applyBorder="1"/>
    <xf numFmtId="3" fontId="75" fillId="0" borderId="28" xfId="0" applyNumberFormat="1" applyFont="1" applyBorder="1"/>
    <xf numFmtId="3" fontId="75" fillId="0" borderId="37" xfId="0" applyNumberFormat="1" applyFont="1" applyBorder="1"/>
    <xf numFmtId="3" fontId="75" fillId="0" borderId="55" xfId="0" applyNumberFormat="1" applyFont="1" applyBorder="1"/>
    <xf numFmtId="3" fontId="75" fillId="0" borderId="49" xfId="0" applyNumberFormat="1" applyFont="1" applyBorder="1"/>
    <xf numFmtId="3" fontId="75" fillId="71" borderId="52" xfId="0" applyNumberFormat="1" applyFont="1" applyFill="1" applyBorder="1" applyAlignment="1">
      <alignment horizontal="center"/>
    </xf>
    <xf numFmtId="3" fontId="75" fillId="20" borderId="16" xfId="0" applyNumberFormat="1" applyFont="1" applyFill="1" applyBorder="1" applyAlignment="1">
      <alignment horizontal="right"/>
    </xf>
    <xf numFmtId="3" fontId="75" fillId="0" borderId="16" xfId="0" applyNumberFormat="1" applyFont="1" applyBorder="1" applyAlignment="1">
      <alignment horizontal="right"/>
    </xf>
    <xf numFmtId="3" fontId="75" fillId="0" borderId="16" xfId="0" applyNumberFormat="1" applyFont="1" applyBorder="1"/>
    <xf numFmtId="3" fontId="75" fillId="20" borderId="22" xfId="0" quotePrefix="1" applyNumberFormat="1" applyFont="1" applyFill="1" applyBorder="1"/>
    <xf numFmtId="166" fontId="75" fillId="20" borderId="16" xfId="55" applyNumberFormat="1" applyFont="1" applyFill="1" applyBorder="1"/>
    <xf numFmtId="166" fontId="75" fillId="20" borderId="16" xfId="55" applyNumberFormat="1" applyFont="1" applyFill="1" applyBorder="1" applyAlignment="1">
      <alignment horizontal="right"/>
    </xf>
    <xf numFmtId="3" fontId="75" fillId="20" borderId="16" xfId="0" applyNumberFormat="1" applyFont="1" applyFill="1" applyBorder="1"/>
    <xf numFmtId="3" fontId="75" fillId="71" borderId="17" xfId="0" applyNumberFormat="1" applyFont="1" applyFill="1" applyBorder="1"/>
    <xf numFmtId="3" fontId="75" fillId="0" borderId="26" xfId="0" applyNumberFormat="1" applyFont="1" applyBorder="1"/>
    <xf numFmtId="171" fontId="75" fillId="0" borderId="0" xfId="0" applyNumberFormat="1" applyFont="1"/>
    <xf numFmtId="0" fontId="75" fillId="0" borderId="56" xfId="0" applyFont="1" applyBorder="1"/>
    <xf numFmtId="3" fontId="75" fillId="0" borderId="56" xfId="0" applyNumberFormat="1" applyFont="1" applyBorder="1"/>
    <xf numFmtId="3" fontId="96" fillId="0" borderId="0" xfId="0" applyNumberFormat="1" applyFont="1"/>
    <xf numFmtId="172" fontId="75" fillId="0" borderId="0" xfId="0" applyNumberFormat="1" applyFont="1"/>
    <xf numFmtId="164" fontId="75" fillId="0" borderId="0" xfId="0" applyNumberFormat="1" applyFont="1"/>
    <xf numFmtId="1" fontId="75" fillId="0" borderId="0" xfId="0" applyNumberFormat="1" applyFont="1"/>
    <xf numFmtId="2" fontId="75" fillId="0" borderId="0" xfId="0" applyNumberFormat="1" applyFont="1"/>
    <xf numFmtId="2" fontId="89" fillId="0" borderId="0" xfId="0" applyNumberFormat="1" applyFont="1"/>
    <xf numFmtId="0" fontId="87" fillId="0" borderId="0" xfId="0" applyFont="1"/>
    <xf numFmtId="38" fontId="75" fillId="0" borderId="0" xfId="0" applyNumberFormat="1" applyFont="1"/>
    <xf numFmtId="0" fontId="95" fillId="0" borderId="0" xfId="0" applyFont="1" applyAlignment="1">
      <alignment horizontal="center" vertical="center" wrapText="1"/>
    </xf>
    <xf numFmtId="0" fontId="75" fillId="0" borderId="23" xfId="0" applyFont="1" applyBorder="1"/>
    <xf numFmtId="3" fontId="75" fillId="20" borderId="49" xfId="0" quotePrefix="1" applyNumberFormat="1" applyFont="1" applyFill="1" applyBorder="1"/>
    <xf numFmtId="4" fontId="75" fillId="20" borderId="28" xfId="0" quotePrefix="1" applyNumberFormat="1" applyFont="1" applyFill="1" applyBorder="1"/>
    <xf numFmtId="0" fontId="97" fillId="0" borderId="56" xfId="0" applyFont="1" applyBorder="1" applyAlignment="1">
      <alignment wrapText="1"/>
    </xf>
    <xf numFmtId="0" fontId="92" fillId="0" borderId="0" xfId="0" applyFont="1" applyAlignment="1">
      <alignment horizontal="left" vertical="center"/>
    </xf>
    <xf numFmtId="3" fontId="84" fillId="0" borderId="0" xfId="0" applyNumberFormat="1" applyFont="1" applyAlignment="1">
      <alignment horizontal="center" vertical="center"/>
    </xf>
    <xf numFmtId="0" fontId="75" fillId="0" borderId="0" xfId="0" applyFont="1" applyAlignment="1">
      <alignment horizontal="center" vertical="center"/>
    </xf>
    <xf numFmtId="3" fontId="91" fillId="0" borderId="0" xfId="0" applyNumberFormat="1" applyFont="1" applyAlignment="1">
      <alignment horizontal="left"/>
    </xf>
    <xf numFmtId="0" fontId="92" fillId="0" borderId="0" xfId="0" applyFont="1" applyAlignment="1">
      <alignment horizontal="center" vertical="center" wrapText="1"/>
    </xf>
    <xf numFmtId="3" fontId="91" fillId="0" borderId="0" xfId="0" applyNumberFormat="1" applyFont="1" applyAlignment="1">
      <alignment horizontal="center" vertical="center" wrapText="1"/>
    </xf>
    <xf numFmtId="38" fontId="77" fillId="0" borderId="0" xfId="55" applyNumberFormat="1" applyFont="1" applyFill="1" applyBorder="1" applyAlignment="1">
      <alignment horizontal="center" vertical="center"/>
    </xf>
    <xf numFmtId="166" fontId="75" fillId="0" borderId="0" xfId="55" applyNumberFormat="1" applyFont="1"/>
    <xf numFmtId="0" fontId="77" fillId="0" borderId="0" xfId="0" applyFont="1" applyAlignment="1">
      <alignment horizontal="center" vertical="center"/>
    </xf>
    <xf numFmtId="3" fontId="77" fillId="0" borderId="0" xfId="0" applyNumberFormat="1" applyFont="1" applyAlignment="1">
      <alignment horizontal="center" vertical="center"/>
    </xf>
    <xf numFmtId="38" fontId="77" fillId="0" borderId="0" xfId="0" applyNumberFormat="1" applyFont="1" applyAlignment="1">
      <alignment horizontal="center"/>
    </xf>
    <xf numFmtId="0" fontId="90" fillId="0" borderId="23" xfId="0" applyFont="1" applyBorder="1" applyAlignment="1">
      <alignment horizontal="center" wrapText="1"/>
    </xf>
    <xf numFmtId="0" fontId="43" fillId="0" borderId="0" xfId="87" applyFont="1"/>
    <xf numFmtId="0" fontId="7" fillId="0" borderId="0" xfId="76" applyBorder="1" applyAlignment="1" applyProtection="1"/>
    <xf numFmtId="0" fontId="29" fillId="0" borderId="29" xfId="87" applyFont="1" applyBorder="1" applyAlignment="1">
      <alignment horizontal="left"/>
    </xf>
    <xf numFmtId="0" fontId="29" fillId="0" borderId="39" xfId="87" applyFont="1" applyBorder="1" applyAlignment="1">
      <alignment horizontal="right"/>
    </xf>
    <xf numFmtId="0" fontId="29" fillId="0" borderId="39" xfId="87" applyFont="1" applyBorder="1" applyAlignment="1">
      <alignment horizontal="left"/>
    </xf>
    <xf numFmtId="0" fontId="4" fillId="0" borderId="39" xfId="87" applyFont="1" applyBorder="1"/>
    <xf numFmtId="0" fontId="4" fillId="0" borderId="40" xfId="87" applyFont="1" applyBorder="1"/>
    <xf numFmtId="14" fontId="9" fillId="0" borderId="24" xfId="87" applyNumberFormat="1" applyFont="1" applyBorder="1" applyAlignment="1">
      <alignment horizontal="left"/>
    </xf>
    <xf numFmtId="9" fontId="4" fillId="0" borderId="0" xfId="87" applyNumberFormat="1" applyFont="1" applyAlignment="1">
      <alignment horizontal="left"/>
    </xf>
    <xf numFmtId="0" fontId="4" fillId="0" borderId="0" xfId="87" applyFont="1"/>
    <xf numFmtId="9" fontId="4" fillId="0" borderId="0" xfId="87" applyNumberFormat="1" applyFont="1" applyAlignment="1">
      <alignment horizontal="right"/>
    </xf>
    <xf numFmtId="0" fontId="4" fillId="0" borderId="0" xfId="87" applyFont="1" applyAlignment="1">
      <alignment horizontal="right"/>
    </xf>
    <xf numFmtId="9" fontId="69" fillId="0" borderId="0" xfId="87" applyNumberFormat="1" applyFont="1" applyAlignment="1">
      <alignment horizontal="left"/>
    </xf>
    <xf numFmtId="0" fontId="4" fillId="0" borderId="0" xfId="87" quotePrefix="1" applyFont="1"/>
    <xf numFmtId="0" fontId="4" fillId="0" borderId="26" xfId="87" applyFont="1" applyBorder="1"/>
    <xf numFmtId="22" fontId="29" fillId="0" borderId="24" xfId="87" applyNumberFormat="1" applyFont="1" applyBorder="1" applyAlignment="1">
      <alignment horizontal="left"/>
    </xf>
    <xf numFmtId="0" fontId="29" fillId="0" borderId="0" xfId="87" applyFont="1"/>
    <xf numFmtId="0" fontId="9" fillId="0" borderId="0" xfId="87" applyFont="1"/>
    <xf numFmtId="0" fontId="4" fillId="0" borderId="24" xfId="87" applyFont="1" applyBorder="1"/>
    <xf numFmtId="0" fontId="29" fillId="0" borderId="0" xfId="87" applyFont="1" applyAlignment="1">
      <alignment horizontal="center"/>
    </xf>
    <xf numFmtId="0" fontId="5" fillId="0" borderId="24" xfId="87" applyFont="1" applyBorder="1" applyAlignment="1">
      <alignment horizontal="right"/>
    </xf>
    <xf numFmtId="3" fontId="5" fillId="0" borderId="0" xfId="87" applyNumberFormat="1" applyFont="1"/>
    <xf numFmtId="3" fontId="78" fillId="0" borderId="0" xfId="87" applyNumberFormat="1" applyFont="1"/>
    <xf numFmtId="9" fontId="29" fillId="0" borderId="0" xfId="87" applyNumberFormat="1" applyFont="1"/>
    <xf numFmtId="0" fontId="29" fillId="0" borderId="0" xfId="87" applyFont="1" applyAlignment="1">
      <alignment horizontal="right" wrapText="1"/>
    </xf>
    <xf numFmtId="0" fontId="5" fillId="0" borderId="0" xfId="87" applyFont="1"/>
    <xf numFmtId="0" fontId="9" fillId="0" borderId="0" xfId="87" applyFont="1" applyAlignment="1">
      <alignment horizontal="right"/>
    </xf>
    <xf numFmtId="0" fontId="29" fillId="0" borderId="0" xfId="87" applyFont="1" applyAlignment="1">
      <alignment horizontal="left"/>
    </xf>
    <xf numFmtId="3" fontId="69" fillId="0" borderId="0" xfId="87" applyNumberFormat="1" applyFont="1"/>
    <xf numFmtId="0" fontId="29" fillId="72" borderId="0" xfId="87" applyFont="1" applyFill="1"/>
    <xf numFmtId="3" fontId="5" fillId="72" borderId="0" xfId="87" applyNumberFormat="1" applyFont="1" applyFill="1"/>
    <xf numFmtId="0" fontId="5" fillId="0" borderId="24" xfId="87" applyFont="1" applyBorder="1"/>
    <xf numFmtId="14" fontId="4" fillId="0" borderId="0" xfId="87" applyNumberFormat="1" applyFont="1"/>
    <xf numFmtId="0" fontId="4" fillId="72" borderId="0" xfId="87" applyFont="1" applyFill="1"/>
    <xf numFmtId="0" fontId="98" fillId="72" borderId="0" xfId="87" applyFont="1" applyFill="1"/>
    <xf numFmtId="0" fontId="4" fillId="0" borderId="25" xfId="87" applyFont="1" applyBorder="1"/>
    <xf numFmtId="0" fontId="4" fillId="0" borderId="56" xfId="87" applyFont="1" applyBorder="1"/>
    <xf numFmtId="0" fontId="4" fillId="0" borderId="38" xfId="87" applyFont="1" applyBorder="1"/>
    <xf numFmtId="0" fontId="29" fillId="0" borderId="56" xfId="87" applyFont="1" applyBorder="1"/>
    <xf numFmtId="3" fontId="4" fillId="0" borderId="58" xfId="87" applyNumberFormat="1" applyFont="1" applyBorder="1"/>
    <xf numFmtId="0" fontId="9" fillId="0" borderId="0" xfId="87" applyFont="1" applyAlignment="1">
      <alignment horizontal="left"/>
    </xf>
    <xf numFmtId="0" fontId="5" fillId="65" borderId="19" xfId="0" applyFont="1" applyFill="1" applyBorder="1" applyAlignment="1">
      <alignment horizontal="center" wrapText="1"/>
    </xf>
    <xf numFmtId="0" fontId="5" fillId="65" borderId="15" xfId="0" applyFont="1" applyFill="1" applyBorder="1" applyAlignment="1">
      <alignment horizontal="center" wrapText="1"/>
    </xf>
    <xf numFmtId="0" fontId="5" fillId="65" borderId="0" xfId="0" applyFont="1" applyFill="1"/>
    <xf numFmtId="0" fontId="5" fillId="65" borderId="16" xfId="0" applyFont="1" applyFill="1" applyBorder="1" applyAlignment="1">
      <alignment horizontal="right"/>
    </xf>
    <xf numFmtId="174" fontId="5" fillId="65" borderId="16" xfId="0" applyNumberFormat="1" applyFont="1" applyFill="1" applyBorder="1" applyAlignment="1">
      <alignment horizontal="right"/>
    </xf>
    <xf numFmtId="0" fontId="5" fillId="65" borderId="0" xfId="0" applyFont="1" applyFill="1" applyAlignment="1">
      <alignment horizontal="right"/>
    </xf>
    <xf numFmtId="0" fontId="5" fillId="0" borderId="0" xfId="0" applyFont="1" applyAlignment="1">
      <alignment horizontal="center"/>
    </xf>
    <xf numFmtId="172" fontId="5" fillId="0" borderId="0" xfId="0" applyNumberFormat="1" applyFont="1" applyAlignment="1">
      <alignment horizontal="center"/>
    </xf>
    <xf numFmtId="38" fontId="6" fillId="0" borderId="0" xfId="55" applyNumberFormat="1" applyFont="1" applyFill="1" applyBorder="1" applyAlignment="1">
      <alignment horizontal="center" vertical="center"/>
    </xf>
    <xf numFmtId="2" fontId="5" fillId="0" borderId="0" xfId="0" applyNumberFormat="1" applyFont="1" applyAlignment="1">
      <alignment horizontal="center"/>
    </xf>
    <xf numFmtId="0" fontId="45" fillId="58" borderId="16" xfId="0" applyFont="1" applyFill="1" applyBorder="1" applyAlignment="1">
      <alignment horizontal="center" vertical="center"/>
    </xf>
    <xf numFmtId="0" fontId="5" fillId="0" borderId="16" xfId="0" applyFont="1" applyBorder="1"/>
    <xf numFmtId="0" fontId="5" fillId="0" borderId="29" xfId="0" applyFont="1" applyBorder="1"/>
    <xf numFmtId="0" fontId="5" fillId="0" borderId="39" xfId="0" applyFont="1" applyBorder="1"/>
    <xf numFmtId="0" fontId="5" fillId="0" borderId="40" xfId="0" applyFont="1" applyBorder="1"/>
    <xf numFmtId="0" fontId="31" fillId="0" borderId="29" xfId="0" applyFont="1" applyBorder="1" applyAlignment="1">
      <alignment horizontal="center" wrapText="1"/>
    </xf>
    <xf numFmtId="0" fontId="31" fillId="0" borderId="39" xfId="0" applyFont="1" applyBorder="1" applyAlignment="1">
      <alignment wrapText="1"/>
    </xf>
    <xf numFmtId="0" fontId="31" fillId="56" borderId="30" xfId="0" applyFont="1" applyFill="1" applyBorder="1" applyAlignment="1">
      <alignment wrapText="1"/>
    </xf>
    <xf numFmtId="0" fontId="31" fillId="56" borderId="31" xfId="0" applyFont="1" applyFill="1" applyBorder="1" applyAlignment="1">
      <alignment wrapText="1"/>
    </xf>
    <xf numFmtId="0" fontId="31" fillId="0" borderId="24" xfId="0" applyFont="1" applyBorder="1" applyAlignment="1">
      <alignment wrapText="1"/>
    </xf>
    <xf numFmtId="0" fontId="30" fillId="56" borderId="24" xfId="0" applyFont="1" applyFill="1" applyBorder="1"/>
    <xf numFmtId="0" fontId="5" fillId="56" borderId="26" xfId="0" applyFont="1" applyFill="1" applyBorder="1"/>
    <xf numFmtId="0" fontId="30" fillId="0" borderId="24" xfId="0" applyFont="1" applyBorder="1" applyAlignment="1">
      <alignment horizontal="right"/>
    </xf>
    <xf numFmtId="2" fontId="30" fillId="0" borderId="0" xfId="0" applyNumberFormat="1" applyFont="1"/>
    <xf numFmtId="2" fontId="30" fillId="56" borderId="24" xfId="0" applyNumberFormat="1" applyFont="1" applyFill="1" applyBorder="1"/>
    <xf numFmtId="0" fontId="5" fillId="56" borderId="26" xfId="0" applyFont="1" applyFill="1" applyBorder="1" applyAlignment="1">
      <alignment horizontal="right"/>
    </xf>
    <xf numFmtId="0" fontId="5" fillId="0" borderId="25" xfId="0" applyFont="1" applyBorder="1"/>
    <xf numFmtId="0" fontId="5" fillId="0" borderId="56" xfId="0" applyFont="1" applyBorder="1"/>
    <xf numFmtId="0" fontId="5" fillId="0" borderId="38" xfId="0" applyFont="1" applyBorder="1"/>
    <xf numFmtId="0" fontId="30" fillId="0" borderId="25" xfId="0" applyFont="1" applyBorder="1" applyAlignment="1">
      <alignment horizontal="right"/>
    </xf>
    <xf numFmtId="2" fontId="30" fillId="0" borderId="56" xfId="0" applyNumberFormat="1" applyFont="1" applyBorder="1"/>
    <xf numFmtId="2" fontId="30" fillId="56" borderId="25" xfId="0" applyNumberFormat="1" applyFont="1" applyFill="1" applyBorder="1"/>
    <xf numFmtId="0" fontId="5" fillId="56" borderId="38" xfId="0" applyFont="1" applyFill="1" applyBorder="1" applyAlignment="1">
      <alignment horizontal="right"/>
    </xf>
    <xf numFmtId="0" fontId="5" fillId="0" borderId="0" xfId="0" applyFont="1" applyAlignment="1">
      <alignment vertical="top" wrapText="1"/>
    </xf>
    <xf numFmtId="0" fontId="5" fillId="56" borderId="24" xfId="0" applyFont="1" applyFill="1" applyBorder="1"/>
    <xf numFmtId="170" fontId="30" fillId="0" borderId="0" xfId="0" applyNumberFormat="1" applyFont="1"/>
    <xf numFmtId="170" fontId="30" fillId="56" borderId="24" xfId="0" applyNumberFormat="1" applyFont="1" applyFill="1" applyBorder="1"/>
    <xf numFmtId="170" fontId="30" fillId="0" borderId="56" xfId="0" applyNumberFormat="1" applyFont="1" applyBorder="1"/>
    <xf numFmtId="170" fontId="30" fillId="56" borderId="25" xfId="0" applyNumberFormat="1" applyFont="1" applyFill="1" applyBorder="1"/>
    <xf numFmtId="0" fontId="3" fillId="0" borderId="0" xfId="0" applyFont="1" applyAlignment="1">
      <alignment horizontal="left"/>
    </xf>
    <xf numFmtId="0" fontId="5" fillId="74" borderId="0" xfId="0" applyFont="1" applyFill="1"/>
    <xf numFmtId="0" fontId="30" fillId="74" borderId="0" xfId="0" applyFont="1" applyFill="1" applyAlignment="1">
      <alignment horizontal="right"/>
    </xf>
    <xf numFmtId="0" fontId="7" fillId="0" borderId="0" xfId="76" applyAlignment="1" applyProtection="1"/>
    <xf numFmtId="0" fontId="100" fillId="75" borderId="0" xfId="0" applyFont="1" applyFill="1"/>
    <xf numFmtId="0" fontId="30" fillId="75" borderId="0" xfId="0" applyFont="1" applyFill="1"/>
    <xf numFmtId="0" fontId="101" fillId="75" borderId="0" xfId="0" applyFont="1" applyFill="1"/>
    <xf numFmtId="0" fontId="5" fillId="75" borderId="0" xfId="0" applyFont="1" applyFill="1"/>
    <xf numFmtId="0" fontId="100" fillId="75" borderId="0" xfId="0" applyFont="1" applyFill="1" applyAlignment="1">
      <alignment wrapText="1"/>
    </xf>
    <xf numFmtId="0" fontId="102" fillId="75" borderId="0" xfId="0" applyFont="1" applyFill="1"/>
    <xf numFmtId="0" fontId="103" fillId="0" borderId="0" xfId="0" applyFont="1"/>
    <xf numFmtId="0" fontId="31" fillId="75" borderId="0" xfId="0" applyFont="1" applyFill="1"/>
    <xf numFmtId="4" fontId="101" fillId="75" borderId="0" xfId="0" applyNumberFormat="1" applyFont="1" applyFill="1"/>
    <xf numFmtId="0" fontId="33" fillId="56" borderId="0" xfId="0" applyFont="1" applyFill="1"/>
    <xf numFmtId="0" fontId="45" fillId="56" borderId="0" xfId="0" applyFont="1" applyFill="1"/>
    <xf numFmtId="0" fontId="7" fillId="56" borderId="0" xfId="76" applyFill="1" applyBorder="1" applyAlignment="1" applyProtection="1"/>
    <xf numFmtId="0" fontId="29" fillId="56" borderId="16" xfId="0" applyFont="1" applyFill="1" applyBorder="1" applyAlignment="1">
      <alignment horizontal="center" wrapText="1"/>
    </xf>
    <xf numFmtId="4" fontId="29" fillId="56" borderId="16" xfId="0" applyNumberFormat="1" applyFont="1" applyFill="1" applyBorder="1" applyAlignment="1">
      <alignment horizontal="center" wrapText="1"/>
    </xf>
    <xf numFmtId="4" fontId="29" fillId="60" borderId="16" xfId="0" applyNumberFormat="1" applyFont="1" applyFill="1" applyBorder="1" applyAlignment="1">
      <alignment horizontal="center" wrapText="1"/>
    </xf>
    <xf numFmtId="0" fontId="29" fillId="56" borderId="16" xfId="0" applyFont="1" applyFill="1" applyBorder="1" applyAlignment="1">
      <alignment horizontal="left" wrapText="1"/>
    </xf>
    <xf numFmtId="0" fontId="4" fillId="0" borderId="16" xfId="0" applyFont="1" applyBorder="1" applyAlignment="1">
      <alignment horizontal="center" wrapText="1"/>
    </xf>
    <xf numFmtId="4" fontId="4" fillId="0" borderId="16" xfId="0" applyNumberFormat="1" applyFont="1" applyBorder="1" applyAlignment="1">
      <alignment horizontal="right" wrapText="1"/>
    </xf>
    <xf numFmtId="2" fontId="5" fillId="60" borderId="16" xfId="0" applyNumberFormat="1" applyFont="1" applyFill="1" applyBorder="1"/>
    <xf numFmtId="4" fontId="74" fillId="75" borderId="0" xfId="0" applyNumberFormat="1" applyFont="1" applyFill="1"/>
    <xf numFmtId="0" fontId="4" fillId="56" borderId="0" xfId="0" applyFont="1" applyFill="1" applyAlignment="1">
      <alignment horizontal="left"/>
    </xf>
    <xf numFmtId="0" fontId="30" fillId="56" borderId="0" xfId="0" applyFont="1" applyFill="1" applyAlignment="1">
      <alignment vertical="top"/>
    </xf>
    <xf numFmtId="0" fontId="30" fillId="56" borderId="0" xfId="0" applyFont="1" applyFill="1" applyAlignment="1">
      <alignment horizontal="center" vertical="top"/>
    </xf>
    <xf numFmtId="0" fontId="4" fillId="56" borderId="0" xfId="0" applyFont="1" applyFill="1" applyAlignment="1">
      <alignment horizontal="left" wrapText="1"/>
    </xf>
    <xf numFmtId="0" fontId="30" fillId="56" borderId="0" xfId="0" applyFont="1" applyFill="1" applyAlignment="1">
      <alignment vertical="top" wrapText="1"/>
    </xf>
    <xf numFmtId="0" fontId="30" fillId="56" borderId="0" xfId="0" applyFont="1" applyFill="1" applyAlignment="1">
      <alignment horizontal="center" vertical="top" wrapText="1"/>
    </xf>
    <xf numFmtId="0" fontId="6" fillId="0" borderId="0" xfId="0" applyFont="1"/>
    <xf numFmtId="0" fontId="31" fillId="0" borderId="40" xfId="0" applyFont="1" applyBorder="1" applyAlignment="1">
      <alignment wrapText="1"/>
    </xf>
    <xf numFmtId="0" fontId="30" fillId="0" borderId="26" xfId="0" applyFont="1" applyBorder="1"/>
    <xf numFmtId="2" fontId="30" fillId="0" borderId="26" xfId="0" applyNumberFormat="1" applyFont="1" applyBorder="1"/>
    <xf numFmtId="3" fontId="30" fillId="0" borderId="56" xfId="0" applyNumberFormat="1" applyFont="1" applyBorder="1"/>
    <xf numFmtId="2" fontId="30" fillId="0" borderId="38" xfId="0" applyNumberFormat="1" applyFont="1" applyBorder="1"/>
    <xf numFmtId="175" fontId="30" fillId="0" borderId="26" xfId="0" applyNumberFormat="1" applyFont="1" applyBorder="1"/>
    <xf numFmtId="0" fontId="30" fillId="0" borderId="56" xfId="0" applyFont="1" applyBorder="1"/>
    <xf numFmtId="175" fontId="30" fillId="0" borderId="38" xfId="0" applyNumberFormat="1" applyFont="1" applyBorder="1"/>
    <xf numFmtId="0" fontId="33" fillId="60" borderId="29" xfId="0" applyFont="1" applyFill="1" applyBorder="1" applyAlignment="1">
      <alignment horizontal="center"/>
    </xf>
    <xf numFmtId="0" fontId="103" fillId="60" borderId="30" xfId="0" applyFont="1" applyFill="1" applyBorder="1" applyAlignment="1">
      <alignment horizontal="center" wrapText="1"/>
    </xf>
    <xf numFmtId="0" fontId="103" fillId="60" borderId="18" xfId="0" applyFont="1" applyFill="1" applyBorder="1" applyAlignment="1">
      <alignment horizontal="center"/>
    </xf>
    <xf numFmtId="0" fontId="103" fillId="60" borderId="18" xfId="0" applyFont="1" applyFill="1" applyBorder="1" applyAlignment="1">
      <alignment horizontal="center" wrapText="1"/>
    </xf>
    <xf numFmtId="0" fontId="103" fillId="60" borderId="33" xfId="0" applyFont="1" applyFill="1" applyBorder="1" applyAlignment="1">
      <alignment horizontal="center" wrapText="1"/>
    </xf>
    <xf numFmtId="0" fontId="5" fillId="60" borderId="37" xfId="0" applyFont="1" applyFill="1" applyBorder="1"/>
    <xf numFmtId="0" fontId="5" fillId="53" borderId="59" xfId="0" applyFont="1" applyFill="1" applyBorder="1"/>
    <xf numFmtId="0" fontId="5" fillId="53" borderId="35" xfId="0" applyFont="1" applyFill="1" applyBorder="1"/>
    <xf numFmtId="0" fontId="5" fillId="53" borderId="46" xfId="0" applyFont="1" applyFill="1" applyBorder="1"/>
    <xf numFmtId="0" fontId="5" fillId="53" borderId="15" xfId="0" applyFont="1" applyFill="1" applyBorder="1"/>
    <xf numFmtId="0" fontId="5" fillId="74" borderId="13" xfId="0" applyFont="1" applyFill="1" applyBorder="1"/>
    <xf numFmtId="166" fontId="104" fillId="74" borderId="35" xfId="55" applyNumberFormat="1" applyFont="1" applyFill="1" applyBorder="1"/>
    <xf numFmtId="166" fontId="104" fillId="58" borderId="35" xfId="55" applyNumberFormat="1" applyFont="1" applyFill="1" applyBorder="1"/>
    <xf numFmtId="166" fontId="104" fillId="56" borderId="35" xfId="55" applyNumberFormat="1" applyFont="1" applyFill="1" applyBorder="1"/>
    <xf numFmtId="166" fontId="104" fillId="58" borderId="13" xfId="55" applyNumberFormat="1" applyFont="1" applyFill="1" applyBorder="1"/>
    <xf numFmtId="0" fontId="44" fillId="0" borderId="17" xfId="0" applyFont="1" applyBorder="1" applyAlignment="1">
      <alignment horizontal="left"/>
    </xf>
    <xf numFmtId="0" fontId="44" fillId="74" borderId="13" xfId="0" applyFont="1" applyFill="1" applyBorder="1" applyAlignment="1">
      <alignment horizontal="left"/>
    </xf>
    <xf numFmtId="0" fontId="44" fillId="0" borderId="17" xfId="0" applyFont="1" applyBorder="1"/>
    <xf numFmtId="0" fontId="44" fillId="74" borderId="13" xfId="0" applyFont="1" applyFill="1" applyBorder="1"/>
    <xf numFmtId="166" fontId="5" fillId="0" borderId="0" xfId="0" applyNumberFormat="1" applyFont="1"/>
    <xf numFmtId="0" fontId="33" fillId="0" borderId="16" xfId="0" applyFont="1" applyBorder="1" applyAlignment="1">
      <alignment horizontal="left"/>
    </xf>
    <xf numFmtId="166" fontId="33" fillId="0" borderId="16" xfId="55" applyNumberFormat="1" applyFont="1" applyFill="1" applyBorder="1"/>
    <xf numFmtId="0" fontId="5" fillId="53" borderId="60" xfId="0" applyFont="1" applyFill="1" applyBorder="1"/>
    <xf numFmtId="0" fontId="44" fillId="0" borderId="0" xfId="0" applyFont="1" applyAlignment="1">
      <alignment horizontal="left"/>
    </xf>
    <xf numFmtId="38" fontId="44" fillId="0" borderId="0" xfId="55" applyNumberFormat="1" applyFont="1" applyFill="1" applyBorder="1"/>
    <xf numFmtId="173" fontId="104" fillId="58" borderId="35" xfId="55" applyNumberFormat="1" applyFont="1" applyFill="1" applyBorder="1"/>
    <xf numFmtId="173" fontId="104" fillId="56" borderId="35" xfId="55" applyNumberFormat="1" applyFont="1" applyFill="1" applyBorder="1"/>
    <xf numFmtId="0" fontId="44" fillId="0" borderId="16" xfId="0" applyFont="1" applyBorder="1" applyAlignment="1">
      <alignment horizontal="left"/>
    </xf>
    <xf numFmtId="166" fontId="104" fillId="0" borderId="16" xfId="55" applyNumberFormat="1" applyFont="1" applyFill="1" applyBorder="1"/>
    <xf numFmtId="166" fontId="104" fillId="74" borderId="16" xfId="55" applyNumberFormat="1" applyFont="1" applyFill="1" applyBorder="1"/>
    <xf numFmtId="0" fontId="33" fillId="0" borderId="0" xfId="0" applyFont="1" applyAlignment="1">
      <alignment horizontal="left"/>
    </xf>
    <xf numFmtId="166" fontId="33" fillId="0" borderId="0" xfId="55" applyNumberFormat="1" applyFont="1" applyFill="1" applyBorder="1"/>
    <xf numFmtId="166" fontId="104" fillId="0" borderId="0" xfId="55" applyNumberFormat="1" applyFont="1" applyFill="1" applyBorder="1"/>
    <xf numFmtId="165" fontId="104" fillId="58" borderId="35" xfId="55" applyNumberFormat="1" applyFont="1" applyFill="1" applyBorder="1"/>
    <xf numFmtId="165" fontId="104" fillId="56" borderId="35" xfId="55" applyNumberFormat="1" applyFont="1" applyFill="1" applyBorder="1"/>
    <xf numFmtId="165" fontId="104" fillId="74" borderId="35" xfId="55" applyNumberFormat="1" applyFont="1" applyFill="1" applyBorder="1"/>
    <xf numFmtId="165" fontId="104" fillId="0" borderId="16" xfId="55" applyNumberFormat="1" applyFont="1" applyFill="1" applyBorder="1"/>
    <xf numFmtId="165" fontId="104" fillId="74" borderId="16" xfId="55" applyNumberFormat="1" applyFont="1" applyFill="1" applyBorder="1"/>
    <xf numFmtId="0" fontId="103" fillId="0" borderId="0" xfId="0" applyFont="1" applyAlignment="1">
      <alignment horizontal="right"/>
    </xf>
    <xf numFmtId="166" fontId="104" fillId="74" borderId="43" xfId="55" applyNumberFormat="1" applyFont="1" applyFill="1" applyBorder="1"/>
    <xf numFmtId="166" fontId="5" fillId="52" borderId="58" xfId="0" applyNumberFormat="1" applyFont="1" applyFill="1" applyBorder="1"/>
    <xf numFmtId="0" fontId="5" fillId="0" borderId="58" xfId="0" applyFont="1" applyBorder="1"/>
    <xf numFmtId="0" fontId="5" fillId="0" borderId="48" xfId="0" applyFont="1" applyBorder="1"/>
    <xf numFmtId="166" fontId="104" fillId="56" borderId="43" xfId="55" applyNumberFormat="1" applyFont="1" applyFill="1" applyBorder="1"/>
    <xf numFmtId="0" fontId="33" fillId="0" borderId="0" xfId="0" applyFont="1" applyAlignment="1">
      <alignment horizontal="right"/>
    </xf>
    <xf numFmtId="38" fontId="104" fillId="0" borderId="0" xfId="55" applyNumberFormat="1" applyFont="1" applyFill="1" applyBorder="1"/>
    <xf numFmtId="43" fontId="5" fillId="0" borderId="0" xfId="0" applyNumberFormat="1" applyFont="1"/>
    <xf numFmtId="0" fontId="5" fillId="0" borderId="21" xfId="0" applyFont="1" applyBorder="1"/>
    <xf numFmtId="166" fontId="5" fillId="0" borderId="21" xfId="0" applyNumberFormat="1" applyFont="1" applyBorder="1"/>
    <xf numFmtId="166" fontId="5" fillId="0" borderId="22" xfId="0" applyNumberFormat="1" applyFont="1" applyBorder="1"/>
    <xf numFmtId="0" fontId="5" fillId="0" borderId="17" xfId="0" applyFont="1" applyBorder="1" applyAlignment="1">
      <alignment horizontal="center"/>
    </xf>
    <xf numFmtId="0" fontId="5" fillId="0" borderId="21" xfId="0" applyFont="1" applyBorder="1" applyAlignment="1">
      <alignment horizontal="center"/>
    </xf>
    <xf numFmtId="3" fontId="5" fillId="0" borderId="0" xfId="0" applyNumberFormat="1" applyFont="1"/>
    <xf numFmtId="166" fontId="5" fillId="0" borderId="14" xfId="0" applyNumberFormat="1" applyFont="1" applyBorder="1"/>
    <xf numFmtId="166" fontId="5" fillId="0" borderId="15" xfId="0" applyNumberFormat="1" applyFont="1" applyBorder="1"/>
    <xf numFmtId="0" fontId="5" fillId="0" borderId="13" xfId="0" applyFont="1" applyBorder="1" applyAlignment="1">
      <alignment horizontal="center"/>
    </xf>
    <xf numFmtId="0" fontId="5" fillId="0" borderId="14" xfId="0" applyFont="1" applyBorder="1" applyAlignment="1">
      <alignment horizontal="center"/>
    </xf>
    <xf numFmtId="0" fontId="44" fillId="0" borderId="0" xfId="0" applyFont="1"/>
    <xf numFmtId="174" fontId="44" fillId="0" borderId="0" xfId="0" applyNumberFormat="1" applyFont="1"/>
    <xf numFmtId="171" fontId="5" fillId="0" borderId="0" xfId="55" applyNumberFormat="1" applyFont="1" applyProtection="1">
      <protection locked="0"/>
    </xf>
    <xf numFmtId="0" fontId="105" fillId="76" borderId="32" xfId="0" applyFont="1" applyFill="1" applyBorder="1"/>
    <xf numFmtId="0" fontId="105" fillId="76" borderId="18" xfId="0" applyFont="1" applyFill="1" applyBorder="1"/>
    <xf numFmtId="0" fontId="105" fillId="76" borderId="33" xfId="0" applyFont="1" applyFill="1" applyBorder="1"/>
    <xf numFmtId="166" fontId="106" fillId="74" borderId="35" xfId="57" applyNumberFormat="1" applyFont="1" applyFill="1" applyBorder="1"/>
    <xf numFmtId="166" fontId="106" fillId="0" borderId="35" xfId="57" applyNumberFormat="1" applyFont="1" applyFill="1" applyBorder="1"/>
    <xf numFmtId="0" fontId="5" fillId="0" borderId="17" xfId="0" applyFont="1" applyBorder="1" applyAlignment="1">
      <alignment horizontal="left"/>
    </xf>
    <xf numFmtId="0" fontId="9" fillId="0" borderId="16" xfId="0" applyFont="1" applyBorder="1" applyAlignment="1">
      <alignment horizontal="left"/>
    </xf>
    <xf numFmtId="166" fontId="9" fillId="0" borderId="16" xfId="55" applyNumberFormat="1" applyFont="1" applyFill="1" applyBorder="1"/>
    <xf numFmtId="0" fontId="5" fillId="66" borderId="32" xfId="0" applyFont="1" applyFill="1" applyBorder="1"/>
    <xf numFmtId="0" fontId="5" fillId="66" borderId="18" xfId="0" applyFont="1" applyFill="1" applyBorder="1"/>
    <xf numFmtId="0" fontId="5" fillId="66" borderId="33" xfId="0" applyFont="1" applyFill="1" applyBorder="1"/>
    <xf numFmtId="166" fontId="5" fillId="0" borderId="35" xfId="57" applyNumberFormat="1" applyFont="1" applyFill="1" applyBorder="1"/>
    <xf numFmtId="166" fontId="5" fillId="74" borderId="35" xfId="57" applyNumberFormat="1" applyFont="1" applyFill="1" applyBorder="1"/>
    <xf numFmtId="166" fontId="100" fillId="0" borderId="0" xfId="55" applyNumberFormat="1" applyFont="1" applyFill="1" applyBorder="1"/>
    <xf numFmtId="166" fontId="106" fillId="0" borderId="0" xfId="55" applyNumberFormat="1" applyFont="1" applyFill="1" applyBorder="1"/>
    <xf numFmtId="166" fontId="106" fillId="65" borderId="35" xfId="55" applyNumberFormat="1" applyFont="1" applyFill="1" applyBorder="1"/>
    <xf numFmtId="0" fontId="5" fillId="52" borderId="17" xfId="0" applyFont="1" applyFill="1" applyBorder="1" applyAlignment="1">
      <alignment horizontal="left"/>
    </xf>
    <xf numFmtId="166" fontId="106" fillId="0" borderId="13" xfId="57" applyNumberFormat="1" applyFont="1" applyFill="1" applyBorder="1"/>
    <xf numFmtId="166" fontId="78" fillId="0" borderId="0" xfId="55" applyNumberFormat="1" applyFont="1" applyFill="1" applyBorder="1"/>
    <xf numFmtId="0" fontId="5" fillId="0" borderId="58" xfId="0" applyFont="1" applyBorder="1" applyAlignment="1">
      <alignment horizontal="left"/>
    </xf>
    <xf numFmtId="166" fontId="106" fillId="0" borderId="35" xfId="55" applyNumberFormat="1" applyFont="1" applyFill="1" applyBorder="1"/>
    <xf numFmtId="166" fontId="106" fillId="0" borderId="0" xfId="57" applyNumberFormat="1" applyFont="1" applyFill="1" applyBorder="1"/>
    <xf numFmtId="166" fontId="106" fillId="0" borderId="16" xfId="57" applyNumberFormat="1" applyFont="1" applyFill="1" applyBorder="1"/>
    <xf numFmtId="166" fontId="106" fillId="0" borderId="23" xfId="55" applyNumberFormat="1" applyFont="1" applyFill="1" applyBorder="1"/>
    <xf numFmtId="166" fontId="106" fillId="0" borderId="17" xfId="57" applyNumberFormat="1" applyFont="1" applyFill="1" applyBorder="1"/>
    <xf numFmtId="166" fontId="106" fillId="0" borderId="17" xfId="55" applyNumberFormat="1" applyFont="1" applyFill="1" applyBorder="1"/>
    <xf numFmtId="166" fontId="9" fillId="0" borderId="16" xfId="57" applyNumberFormat="1" applyFont="1" applyFill="1" applyBorder="1"/>
    <xf numFmtId="166" fontId="9" fillId="0" borderId="35" xfId="57" applyNumberFormat="1" applyFont="1" applyFill="1" applyBorder="1"/>
    <xf numFmtId="166" fontId="9" fillId="0" borderId="13" xfId="57" applyNumberFormat="1" applyFont="1" applyFill="1" applyBorder="1"/>
    <xf numFmtId="166" fontId="106" fillId="0" borderId="61" xfId="57" applyNumberFormat="1" applyFont="1" applyFill="1" applyBorder="1"/>
    <xf numFmtId="166" fontId="106" fillId="0" borderId="61" xfId="55" applyNumberFormat="1" applyFont="1" applyFill="1" applyBorder="1"/>
    <xf numFmtId="38" fontId="5" fillId="54" borderId="16" xfId="55" applyNumberFormat="1" applyFont="1" applyFill="1" applyBorder="1" applyAlignment="1">
      <alignment horizontal="center" vertical="center"/>
    </xf>
    <xf numFmtId="0" fontId="107" fillId="0" borderId="0" xfId="0" applyFont="1" applyAlignment="1">
      <alignment vertical="center"/>
    </xf>
    <xf numFmtId="0" fontId="41" fillId="0" borderId="0" xfId="0" applyFont="1"/>
    <xf numFmtId="0" fontId="5" fillId="0" borderId="0" xfId="0" applyFont="1" applyAlignment="1">
      <alignment wrapText="1"/>
    </xf>
    <xf numFmtId="3" fontId="5" fillId="65" borderId="0" xfId="0" applyNumberFormat="1" applyFont="1" applyFill="1"/>
    <xf numFmtId="0" fontId="5" fillId="66" borderId="0" xfId="0" applyFont="1" applyFill="1"/>
    <xf numFmtId="4" fontId="5" fillId="65" borderId="0" xfId="0" applyNumberFormat="1" applyFont="1" applyFill="1"/>
    <xf numFmtId="164" fontId="75" fillId="20" borderId="16" xfId="0" quotePrefix="1" applyNumberFormat="1" applyFont="1" applyFill="1" applyBorder="1"/>
    <xf numFmtId="3" fontId="4" fillId="54" borderId="58" xfId="87" applyNumberFormat="1" applyFont="1" applyFill="1" applyBorder="1"/>
    <xf numFmtId="0" fontId="9" fillId="0" borderId="22" xfId="0" applyFont="1" applyBorder="1" applyAlignment="1">
      <alignment horizontal="center" wrapText="1"/>
    </xf>
    <xf numFmtId="0" fontId="108" fillId="0" borderId="0" xfId="76" applyFont="1" applyAlignment="1" applyProtection="1"/>
    <xf numFmtId="0" fontId="7" fillId="0" borderId="0" xfId="76" applyFill="1" applyAlignment="1" applyProtection="1"/>
    <xf numFmtId="0" fontId="0" fillId="52" borderId="0" xfId="0" applyFill="1"/>
    <xf numFmtId="0" fontId="34" fillId="59" borderId="0" xfId="0" applyFont="1" applyFill="1" applyAlignment="1">
      <alignment horizontal="left"/>
    </xf>
    <xf numFmtId="172" fontId="0" fillId="0" borderId="0" xfId="0" applyNumberFormat="1"/>
    <xf numFmtId="172" fontId="5" fillId="0" borderId="0" xfId="0" applyNumberFormat="1" applyFont="1"/>
    <xf numFmtId="168" fontId="0" fillId="64" borderId="0" xfId="0" applyNumberFormat="1" applyFill="1"/>
    <xf numFmtId="9" fontId="78" fillId="0" borderId="0" xfId="87" applyNumberFormat="1" applyFont="1"/>
    <xf numFmtId="3" fontId="30" fillId="0" borderId="0" xfId="0" applyNumberFormat="1" applyFont="1" applyAlignment="1">
      <alignment wrapText="1"/>
    </xf>
    <xf numFmtId="166" fontId="5" fillId="0" borderId="0" xfId="55" applyNumberFormat="1" applyFont="1" applyBorder="1"/>
    <xf numFmtId="0" fontId="44" fillId="0" borderId="29" xfId="0" applyFont="1" applyBorder="1" applyAlignment="1">
      <alignment horizontal="right"/>
    </xf>
    <xf numFmtId="0" fontId="44" fillId="0" borderId="39" xfId="0" applyFont="1" applyBorder="1"/>
    <xf numFmtId="0" fontId="44" fillId="0" borderId="40" xfId="0" applyFont="1" applyBorder="1"/>
    <xf numFmtId="0" fontId="44" fillId="0" borderId="25" xfId="0" applyFont="1" applyBorder="1" applyAlignment="1">
      <alignment horizontal="right"/>
    </xf>
    <xf numFmtId="0" fontId="44" fillId="0" borderId="56" xfId="0" applyFont="1" applyBorder="1"/>
    <xf numFmtId="0" fontId="44" fillId="0" borderId="38" xfId="0" applyFont="1" applyBorder="1"/>
    <xf numFmtId="167" fontId="4" fillId="0" borderId="0" xfId="92" applyNumberFormat="1" applyFont="1" applyBorder="1"/>
    <xf numFmtId="0" fontId="5" fillId="52" borderId="0" xfId="0" applyFont="1" applyFill="1" applyAlignment="1">
      <alignment horizontal="right"/>
    </xf>
    <xf numFmtId="3" fontId="0" fillId="52" borderId="0" xfId="0" applyNumberFormat="1" applyFill="1"/>
    <xf numFmtId="174" fontId="0" fillId="52" borderId="20" xfId="0" applyNumberFormat="1" applyFill="1" applyBorder="1"/>
    <xf numFmtId="0" fontId="5" fillId="52" borderId="16" xfId="0" applyFont="1" applyFill="1" applyBorder="1"/>
    <xf numFmtId="0" fontId="5" fillId="52" borderId="0" xfId="0" applyFont="1" applyFill="1"/>
    <xf numFmtId="0" fontId="9" fillId="52" borderId="0" xfId="0" applyFont="1" applyFill="1"/>
    <xf numFmtId="0" fontId="5" fillId="52" borderId="0" xfId="0" applyFont="1" applyFill="1" applyAlignment="1">
      <alignment horizontal="left"/>
    </xf>
    <xf numFmtId="0" fontId="5" fillId="52" borderId="16" xfId="0" applyFont="1" applyFill="1" applyBorder="1" applyAlignment="1">
      <alignment vertical="center" wrapText="1"/>
    </xf>
    <xf numFmtId="0" fontId="9" fillId="52" borderId="16" xfId="0" applyFont="1" applyFill="1" applyBorder="1" applyAlignment="1">
      <alignment wrapText="1"/>
    </xf>
    <xf numFmtId="0" fontId="9" fillId="0" borderId="29" xfId="0" applyFont="1" applyBorder="1" applyAlignment="1">
      <alignment vertical="top"/>
    </xf>
    <xf numFmtId="0" fontId="5" fillId="0" borderId="39" xfId="0" applyFont="1" applyBorder="1" applyAlignment="1">
      <alignment vertical="top" wrapText="1"/>
    </xf>
    <xf numFmtId="0" fontId="5" fillId="0" borderId="40" xfId="0" applyFont="1" applyBorder="1" applyAlignment="1">
      <alignment vertical="top" wrapText="1"/>
    </xf>
    <xf numFmtId="0" fontId="5" fillId="52" borderId="24" xfId="0" applyFont="1" applyFill="1" applyBorder="1"/>
    <xf numFmtId="0" fontId="5" fillId="0" borderId="62" xfId="0" applyFont="1" applyBorder="1"/>
    <xf numFmtId="0" fontId="5" fillId="0" borderId="25" xfId="0" applyFont="1" applyBorder="1" applyAlignment="1">
      <alignment horizontal="right"/>
    </xf>
    <xf numFmtId="0" fontId="7" fillId="0" borderId="56" xfId="76" applyBorder="1" applyAlignment="1" applyProtection="1"/>
    <xf numFmtId="166" fontId="5" fillId="0" borderId="0" xfId="0" applyNumberFormat="1" applyFont="1" applyAlignment="1">
      <alignment horizontal="right"/>
    </xf>
    <xf numFmtId="0" fontId="9" fillId="0" borderId="0" xfId="0" applyFont="1" applyAlignment="1">
      <alignment horizontal="right"/>
    </xf>
    <xf numFmtId="166" fontId="106" fillId="52" borderId="35" xfId="57" applyNumberFormat="1" applyFont="1" applyFill="1" applyBorder="1"/>
    <xf numFmtId="0" fontId="67" fillId="19" borderId="0" xfId="0" applyFont="1" applyFill="1"/>
    <xf numFmtId="0" fontId="69" fillId="0" borderId="0" xfId="87" applyFont="1"/>
    <xf numFmtId="0" fontId="78" fillId="0" borderId="0" xfId="87" applyFont="1"/>
    <xf numFmtId="0" fontId="6" fillId="56" borderId="0" xfId="0" applyFont="1" applyFill="1" applyAlignment="1">
      <alignment horizontal="left" wrapText="1"/>
    </xf>
    <xf numFmtId="3" fontId="74" fillId="52" borderId="0" xfId="0" applyNumberFormat="1" applyFont="1" applyFill="1"/>
    <xf numFmtId="43" fontId="50" fillId="57" borderId="0" xfId="55" applyFont="1" applyFill="1"/>
    <xf numFmtId="38" fontId="78" fillId="0" borderId="0" xfId="87" applyNumberFormat="1" applyFont="1"/>
    <xf numFmtId="9" fontId="78" fillId="0" borderId="0" xfId="87" applyNumberFormat="1" applyFont="1" applyAlignment="1">
      <alignment horizontal="right"/>
    </xf>
    <xf numFmtId="167" fontId="69" fillId="0" borderId="0" xfId="92" applyNumberFormat="1" applyFont="1" applyFill="1" applyBorder="1"/>
    <xf numFmtId="0" fontId="2" fillId="52" borderId="0" xfId="0" applyFont="1" applyFill="1"/>
    <xf numFmtId="0" fontId="111" fillId="0" borderId="16" xfId="0" applyFont="1" applyBorder="1" applyAlignment="1">
      <alignment horizontal="right" wrapText="1"/>
    </xf>
    <xf numFmtId="0" fontId="111" fillId="0" borderId="16" xfId="0" applyFont="1" applyBorder="1" applyAlignment="1">
      <alignment horizontal="left" wrapText="1"/>
    </xf>
    <xf numFmtId="3" fontId="111" fillId="0" borderId="16" xfId="0" applyNumberFormat="1" applyFont="1" applyBorder="1" applyAlignment="1">
      <alignment horizontal="right" wrapText="1"/>
    </xf>
    <xf numFmtId="0" fontId="112" fillId="59" borderId="0" xfId="0" applyFont="1" applyFill="1" applyAlignment="1">
      <alignment horizontal="left"/>
    </xf>
    <xf numFmtId="0" fontId="4" fillId="64" borderId="0" xfId="0" applyFont="1" applyFill="1" applyAlignment="1">
      <alignment horizontal="right" wrapText="1"/>
    </xf>
    <xf numFmtId="169" fontId="2" fillId="62" borderId="0" xfId="0" applyNumberFormat="1" applyFont="1" applyFill="1"/>
    <xf numFmtId="0" fontId="2" fillId="56" borderId="0" xfId="0" applyFont="1" applyFill="1"/>
    <xf numFmtId="3" fontId="4" fillId="0" borderId="0" xfId="87" applyNumberFormat="1" applyFont="1"/>
    <xf numFmtId="3" fontId="2" fillId="0" borderId="0" xfId="87" applyNumberFormat="1" applyFont="1"/>
    <xf numFmtId="3" fontId="2" fillId="72" borderId="0" xfId="87" applyNumberFormat="1" applyFont="1" applyFill="1"/>
    <xf numFmtId="3" fontId="2" fillId="54" borderId="0" xfId="87" applyNumberFormat="1" applyFont="1" applyFill="1"/>
    <xf numFmtId="3" fontId="2" fillId="0" borderId="56" xfId="87" applyNumberFormat="1" applyFont="1" applyBorder="1"/>
    <xf numFmtId="0" fontId="29" fillId="0" borderId="56" xfId="87" applyFont="1" applyBorder="1" applyAlignment="1">
      <alignment horizontal="left"/>
    </xf>
    <xf numFmtId="167" fontId="4" fillId="0" borderId="56" xfId="92" applyNumberFormat="1" applyFont="1" applyBorder="1"/>
    <xf numFmtId="0" fontId="4" fillId="0" borderId="0" xfId="87" applyFont="1" applyAlignment="1">
      <alignment horizontal="left"/>
    </xf>
    <xf numFmtId="0" fontId="3" fillId="59" borderId="0" xfId="0" applyFont="1" applyFill="1" applyAlignment="1">
      <alignment horizontal="left"/>
    </xf>
    <xf numFmtId="0" fontId="7" fillId="0" borderId="0" xfId="76" applyFill="1" applyBorder="1" applyAlignment="1" applyProtection="1"/>
    <xf numFmtId="0" fontId="69" fillId="0" borderId="26" xfId="87" applyFont="1" applyBorder="1"/>
    <xf numFmtId="0" fontId="101" fillId="0" borderId="0" xfId="87" applyFont="1"/>
    <xf numFmtId="0" fontId="2" fillId="0" borderId="0" xfId="0" applyFont="1"/>
    <xf numFmtId="168" fontId="2" fillId="0" borderId="0" xfId="0" applyNumberFormat="1" applyFont="1"/>
    <xf numFmtId="168" fontId="2" fillId="64" borderId="0" xfId="0" applyNumberFormat="1" applyFont="1" applyFill="1"/>
    <xf numFmtId="166" fontId="101" fillId="58" borderId="35" xfId="55" applyNumberFormat="1" applyFont="1" applyFill="1" applyBorder="1"/>
    <xf numFmtId="3" fontId="113" fillId="0" borderId="0" xfId="0" applyNumberFormat="1" applyFont="1" applyAlignment="1">
      <alignment horizontal="right"/>
    </xf>
    <xf numFmtId="176" fontId="98" fillId="0" borderId="56" xfId="87" applyNumberFormat="1" applyFont="1" applyBorder="1"/>
    <xf numFmtId="166" fontId="5" fillId="0" borderId="0" xfId="55" applyNumberFormat="1" applyFont="1" applyFill="1" applyBorder="1"/>
    <xf numFmtId="166" fontId="4" fillId="0" borderId="0" xfId="55" applyNumberFormat="1" applyFont="1" applyFill="1" applyBorder="1"/>
    <xf numFmtId="3" fontId="4" fillId="0" borderId="56" xfId="87" applyNumberFormat="1" applyFont="1" applyBorder="1"/>
    <xf numFmtId="166" fontId="2" fillId="0" borderId="35" xfId="57" applyNumberFormat="1" applyFont="1" applyFill="1" applyBorder="1"/>
    <xf numFmtId="0" fontId="0" fillId="64" borderId="0" xfId="0" applyFill="1"/>
    <xf numFmtId="166" fontId="9" fillId="60" borderId="58" xfId="56" applyNumberFormat="1" applyFont="1" applyFill="1" applyBorder="1" applyAlignment="1">
      <alignment horizontal="center"/>
    </xf>
    <xf numFmtId="3" fontId="5" fillId="0" borderId="58" xfId="87" applyNumberFormat="1" applyFont="1" applyBorder="1"/>
    <xf numFmtId="172" fontId="69" fillId="0" borderId="0" xfId="0" applyNumberFormat="1" applyFont="1"/>
    <xf numFmtId="166" fontId="114" fillId="0" borderId="10" xfId="0" applyNumberFormat="1" applyFont="1" applyBorder="1"/>
    <xf numFmtId="166" fontId="114" fillId="0" borderId="11" xfId="0" applyNumberFormat="1" applyFont="1" applyBorder="1"/>
    <xf numFmtId="166" fontId="114" fillId="0" borderId="19" xfId="0" applyNumberFormat="1" applyFont="1" applyBorder="1"/>
    <xf numFmtId="166" fontId="114" fillId="0" borderId="12" xfId="0" applyNumberFormat="1" applyFont="1" applyBorder="1"/>
    <xf numFmtId="166" fontId="114" fillId="0" borderId="0" xfId="0" applyNumberFormat="1" applyFont="1"/>
    <xf numFmtId="166" fontId="114" fillId="0" borderId="20" xfId="0" applyNumberFormat="1" applyFont="1" applyBorder="1"/>
    <xf numFmtId="166" fontId="114" fillId="0" borderId="13" xfId="0" applyNumberFormat="1" applyFont="1" applyBorder="1"/>
    <xf numFmtId="166" fontId="114" fillId="0" borderId="14" xfId="0" applyNumberFormat="1" applyFont="1" applyBorder="1"/>
    <xf numFmtId="166" fontId="114" fillId="0" borderId="15" xfId="0" applyNumberFormat="1" applyFont="1" applyBorder="1"/>
    <xf numFmtId="166" fontId="115" fillId="0" borderId="13" xfId="0" applyNumberFormat="1" applyFont="1" applyBorder="1"/>
    <xf numFmtId="166" fontId="115" fillId="0" borderId="14" xfId="0" applyNumberFormat="1" applyFont="1" applyBorder="1"/>
    <xf numFmtId="166" fontId="115" fillId="0" borderId="15" xfId="0" applyNumberFormat="1" applyFont="1" applyBorder="1"/>
    <xf numFmtId="3" fontId="75" fillId="20" borderId="53" xfId="0" quotePrefix="1" applyNumberFormat="1" applyFont="1" applyFill="1" applyBorder="1"/>
    <xf numFmtId="0" fontId="2" fillId="0" borderId="0" xfId="0" applyFont="1" applyAlignment="1">
      <alignment horizontal="right"/>
    </xf>
    <xf numFmtId="0" fontId="2" fillId="0" borderId="0" xfId="0" applyFont="1" applyAlignment="1">
      <alignment horizontal="center" wrapText="1"/>
    </xf>
    <xf numFmtId="0" fontId="2" fillId="60" borderId="27" xfId="0" applyFont="1" applyFill="1" applyBorder="1"/>
    <xf numFmtId="0" fontId="85" fillId="0" borderId="0" xfId="0" applyFont="1"/>
    <xf numFmtId="0" fontId="69" fillId="0" borderId="24" xfId="87" applyFont="1" applyBorder="1"/>
    <xf numFmtId="3" fontId="74" fillId="58" borderId="0" xfId="0" applyNumberFormat="1" applyFont="1" applyFill="1"/>
    <xf numFmtId="0" fontId="2" fillId="0" borderId="24" xfId="87" applyFont="1" applyBorder="1" applyAlignment="1">
      <alignment horizontal="right"/>
    </xf>
    <xf numFmtId="0" fontId="2" fillId="0" borderId="24" xfId="87" applyFont="1" applyBorder="1"/>
    <xf numFmtId="3" fontId="78" fillId="54" borderId="0" xfId="0" applyNumberFormat="1" applyFont="1" applyFill="1"/>
    <xf numFmtId="0" fontId="0" fillId="67" borderId="0" xfId="0" applyFill="1"/>
    <xf numFmtId="168" fontId="0" fillId="52" borderId="0" xfId="0" applyNumberFormat="1" applyFill="1"/>
    <xf numFmtId="0" fontId="90" fillId="0" borderId="58" xfId="0" applyFont="1" applyBorder="1" applyAlignment="1">
      <alignment horizontal="center" vertical="center"/>
    </xf>
    <xf numFmtId="166" fontId="2" fillId="0" borderId="0" xfId="0" applyNumberFormat="1" applyFont="1"/>
    <xf numFmtId="0" fontId="118" fillId="0" borderId="0" xfId="0" applyFont="1"/>
    <xf numFmtId="0" fontId="2" fillId="0" borderId="12" xfId="0" applyFont="1" applyBorder="1" applyAlignment="1">
      <alignment horizontal="left"/>
    </xf>
    <xf numFmtId="166" fontId="9" fillId="52" borderId="16" xfId="55" applyNumberFormat="1" applyFont="1" applyFill="1" applyBorder="1"/>
    <xf numFmtId="43" fontId="75" fillId="0" borderId="56" xfId="55" applyFont="1" applyBorder="1"/>
    <xf numFmtId="0" fontId="84" fillId="0" borderId="56" xfId="0" applyFont="1" applyBorder="1"/>
    <xf numFmtId="3" fontId="75" fillId="0" borderId="57" xfId="0" quotePrefix="1" applyNumberFormat="1" applyFont="1" applyBorder="1"/>
    <xf numFmtId="172" fontId="75" fillId="0" borderId="56" xfId="0" applyNumberFormat="1" applyFont="1" applyBorder="1"/>
    <xf numFmtId="38" fontId="75" fillId="0" borderId="56" xfId="0" applyNumberFormat="1" applyFont="1" applyBorder="1"/>
    <xf numFmtId="0" fontId="141" fillId="0" borderId="56" xfId="0" applyFont="1" applyBorder="1" applyAlignment="1">
      <alignment horizontal="center"/>
    </xf>
    <xf numFmtId="0" fontId="5" fillId="52" borderId="17" xfId="0" applyFont="1" applyFill="1" applyBorder="1"/>
    <xf numFmtId="0" fontId="9" fillId="52" borderId="16" xfId="0" applyFont="1" applyFill="1" applyBorder="1" applyAlignment="1">
      <alignment horizontal="left"/>
    </xf>
    <xf numFmtId="14" fontId="2" fillId="0" borderId="0" xfId="0" applyNumberFormat="1" applyFont="1" applyAlignment="1">
      <alignment horizontal="right"/>
    </xf>
    <xf numFmtId="0" fontId="9" fillId="0" borderId="58" xfId="0" applyFont="1" applyBorder="1" applyAlignment="1">
      <alignment horizontal="center"/>
    </xf>
    <xf numFmtId="14" fontId="2" fillId="0" borderId="0" xfId="0" applyNumberFormat="1" applyFont="1"/>
    <xf numFmtId="0" fontId="2" fillId="0" borderId="16" xfId="0" applyFont="1" applyBorder="1"/>
    <xf numFmtId="0" fontId="9" fillId="0" borderId="23" xfId="0" applyFont="1" applyBorder="1"/>
    <xf numFmtId="166" fontId="2" fillId="60" borderId="58" xfId="55" applyNumberFormat="1" applyFont="1" applyFill="1" applyBorder="1"/>
    <xf numFmtId="166" fontId="2" fillId="60" borderId="31" xfId="55" applyNumberFormat="1" applyFont="1" applyFill="1" applyBorder="1"/>
    <xf numFmtId="0" fontId="44" fillId="73" borderId="0" xfId="0" applyFont="1" applyFill="1"/>
    <xf numFmtId="0" fontId="44" fillId="65" borderId="0" xfId="0" applyFont="1" applyFill="1"/>
    <xf numFmtId="0" fontId="99" fillId="65" borderId="0" xfId="0" applyFont="1" applyFill="1"/>
    <xf numFmtId="0" fontId="99" fillId="65" borderId="0" xfId="0" applyFont="1" applyFill="1" applyAlignment="1">
      <alignment horizontal="right"/>
    </xf>
    <xf numFmtId="0" fontId="99" fillId="0" borderId="0" xfId="0" applyFont="1"/>
    <xf numFmtId="0" fontId="44" fillId="65" borderId="0" xfId="0" applyFont="1" applyFill="1" applyAlignment="1">
      <alignment horizontal="right"/>
    </xf>
    <xf numFmtId="0" fontId="95" fillId="0" borderId="29" xfId="0" applyFont="1" applyBorder="1" applyAlignment="1">
      <alignment horizontal="center" vertical="center"/>
    </xf>
    <xf numFmtId="0" fontId="95" fillId="0" borderId="39" xfId="0" applyFont="1" applyBorder="1" applyAlignment="1">
      <alignment horizontal="center" vertical="center"/>
    </xf>
    <xf numFmtId="0" fontId="95" fillId="0" borderId="40" xfId="0" applyFont="1" applyBorder="1" applyAlignment="1">
      <alignment horizontal="center" vertical="center"/>
    </xf>
    <xf numFmtId="0" fontId="145" fillId="0" borderId="0" xfId="0" applyFont="1"/>
    <xf numFmtId="0" fontId="147" fillId="0" borderId="0" xfId="0" applyFont="1"/>
    <xf numFmtId="3" fontId="90" fillId="0" borderId="16" xfId="0" applyNumberFormat="1" applyFont="1" applyBorder="1" applyAlignment="1">
      <alignment horizontal="center" vertical="center" wrapText="1"/>
    </xf>
    <xf numFmtId="168" fontId="90" fillId="0" borderId="27" xfId="0" applyNumberFormat="1" applyFont="1" applyBorder="1" applyAlignment="1">
      <alignment horizontal="center" vertical="center" wrapText="1"/>
    </xf>
    <xf numFmtId="3" fontId="90" fillId="71" borderId="16" xfId="0" applyNumberFormat="1" applyFont="1" applyFill="1" applyBorder="1" applyAlignment="1">
      <alignment horizontal="center" vertical="center"/>
    </xf>
    <xf numFmtId="3" fontId="90" fillId="71" borderId="27" xfId="0" applyNumberFormat="1" applyFont="1" applyFill="1" applyBorder="1" applyAlignment="1">
      <alignment horizontal="center" vertical="center"/>
    </xf>
    <xf numFmtId="3" fontId="90" fillId="71" borderId="28" xfId="0" applyNumberFormat="1" applyFont="1" applyFill="1" applyBorder="1" applyAlignment="1">
      <alignment horizontal="center" vertical="center"/>
    </xf>
    <xf numFmtId="3" fontId="90" fillId="71" borderId="37" xfId="0" applyNumberFormat="1" applyFont="1" applyFill="1" applyBorder="1" applyAlignment="1">
      <alignment horizontal="center" vertical="center"/>
    </xf>
    <xf numFmtId="0" fontId="42" fillId="0" borderId="45" xfId="0" applyFont="1" applyBorder="1" applyAlignment="1">
      <alignment horizontal="center" wrapText="1"/>
    </xf>
    <xf numFmtId="0" fontId="42" fillId="0" borderId="47" xfId="0" applyFont="1" applyBorder="1" applyAlignment="1">
      <alignment horizontal="center" wrapText="1"/>
    </xf>
    <xf numFmtId="0" fontId="42" fillId="0" borderId="42" xfId="0" applyFont="1" applyBorder="1" applyAlignment="1">
      <alignment horizontal="center" wrapText="1"/>
    </xf>
    <xf numFmtId="0" fontId="42" fillId="0" borderId="44" xfId="0" applyFont="1" applyBorder="1" applyAlignment="1">
      <alignment horizontal="center" wrapText="1"/>
    </xf>
    <xf numFmtId="0" fontId="90" fillId="0" borderId="66" xfId="0" applyFont="1" applyBorder="1" applyAlignment="1">
      <alignment horizontal="right" wrapText="1"/>
    </xf>
    <xf numFmtId="166" fontId="75" fillId="70" borderId="16" xfId="55" applyNumberFormat="1" applyFont="1" applyFill="1" applyBorder="1"/>
    <xf numFmtId="0" fontId="90" fillId="0" borderId="66" xfId="0" applyFont="1" applyBorder="1" applyAlignment="1">
      <alignment horizontal="right"/>
    </xf>
    <xf numFmtId="166" fontId="75" fillId="0" borderId="21" xfId="491" applyNumberFormat="1" applyFont="1" applyFill="1" applyBorder="1" applyAlignment="1">
      <alignment horizontal="center"/>
    </xf>
    <xf numFmtId="37" fontId="75" fillId="0" borderId="64" xfId="491" applyNumberFormat="1" applyFont="1" applyFill="1" applyBorder="1" applyAlignment="1">
      <alignment horizontal="right"/>
    </xf>
    <xf numFmtId="166" fontId="75" fillId="0" borderId="27" xfId="491" applyNumberFormat="1" applyFont="1" applyFill="1" applyBorder="1" applyAlignment="1">
      <alignment horizontal="center"/>
    </xf>
    <xf numFmtId="0" fontId="90" fillId="0" borderId="61" xfId="0" applyFont="1" applyBorder="1" applyAlignment="1">
      <alignment horizontal="right"/>
    </xf>
    <xf numFmtId="166" fontId="75" fillId="0" borderId="55" xfId="491" applyNumberFormat="1" applyFont="1" applyFill="1" applyBorder="1" applyAlignment="1">
      <alignment horizontal="center"/>
    </xf>
    <xf numFmtId="37" fontId="75" fillId="0" borderId="50" xfId="491" applyNumberFormat="1" applyFont="1" applyFill="1" applyBorder="1" applyAlignment="1">
      <alignment horizontal="right"/>
    </xf>
    <xf numFmtId="166" fontId="75" fillId="0" borderId="37" xfId="491" applyNumberFormat="1" applyFont="1" applyFill="1" applyBorder="1" applyAlignment="1">
      <alignment horizontal="center"/>
    </xf>
    <xf numFmtId="0" fontId="34" fillId="0" borderId="0" xfId="0" applyFont="1" applyAlignment="1">
      <alignment horizontal="left"/>
    </xf>
    <xf numFmtId="14" fontId="3" fillId="0" borderId="16" xfId="0" applyNumberFormat="1" applyFont="1" applyBorder="1"/>
    <xf numFmtId="0" fontId="0" fillId="91" borderId="0" xfId="0" applyFill="1"/>
    <xf numFmtId="0" fontId="148" fillId="0" borderId="0" xfId="0" applyFont="1"/>
    <xf numFmtId="0" fontId="2" fillId="0" borderId="13" xfId="0" applyFont="1" applyBorder="1" applyAlignment="1">
      <alignment horizontal="center" wrapText="1"/>
    </xf>
    <xf numFmtId="0" fontId="2" fillId="0" borderId="0" xfId="0" applyFont="1" applyAlignment="1" applyProtection="1">
      <alignment wrapText="1"/>
      <protection locked="0"/>
    </xf>
    <xf numFmtId="0" fontId="2" fillId="0" borderId="13" xfId="0" applyFont="1" applyBorder="1"/>
    <xf numFmtId="0" fontId="109" fillId="0" borderId="29" xfId="0" applyFont="1" applyBorder="1" applyAlignment="1">
      <alignment horizontal="center" vertical="center" wrapText="1"/>
    </xf>
    <xf numFmtId="0" fontId="109" fillId="0" borderId="39" xfId="0" applyFont="1" applyBorder="1" applyAlignment="1">
      <alignment horizontal="center" vertical="center" wrapText="1"/>
    </xf>
    <xf numFmtId="0" fontId="109" fillId="0" borderId="40" xfId="0" applyFont="1" applyBorder="1" applyAlignment="1">
      <alignment horizontal="center" vertical="center" wrapText="1"/>
    </xf>
    <xf numFmtId="0" fontId="109" fillId="0" borderId="24" xfId="0" applyFont="1" applyBorder="1" applyAlignment="1">
      <alignment horizontal="center" vertical="center" wrapText="1"/>
    </xf>
    <xf numFmtId="0" fontId="109" fillId="0" borderId="0" xfId="0" applyFont="1" applyAlignment="1">
      <alignment horizontal="center" vertical="center" wrapText="1"/>
    </xf>
    <xf numFmtId="0" fontId="109" fillId="0" borderId="26" xfId="0" applyFont="1" applyBorder="1" applyAlignment="1">
      <alignment horizontal="center" vertical="center" wrapText="1"/>
    </xf>
    <xf numFmtId="0" fontId="109" fillId="0" borderId="25" xfId="0" applyFont="1" applyBorder="1" applyAlignment="1">
      <alignment horizontal="center" vertical="center" wrapText="1"/>
    </xf>
    <xf numFmtId="0" fontId="109" fillId="0" borderId="56" xfId="0" applyFont="1" applyBorder="1" applyAlignment="1">
      <alignment horizontal="center" vertical="center" wrapText="1"/>
    </xf>
    <xf numFmtId="0" fontId="109" fillId="0" borderId="38" xfId="0" applyFont="1" applyBorder="1" applyAlignment="1">
      <alignment horizontal="center" vertical="center" wrapText="1"/>
    </xf>
    <xf numFmtId="0" fontId="90" fillId="0" borderId="42" xfId="0" applyFont="1" applyBorder="1" applyAlignment="1">
      <alignment horizontal="center" vertical="center" wrapText="1"/>
    </xf>
    <xf numFmtId="0" fontId="90" fillId="0" borderId="43" xfId="0" applyFont="1" applyBorder="1" applyAlignment="1">
      <alignment horizontal="center" vertical="center"/>
    </xf>
    <xf numFmtId="43" fontId="90" fillId="0" borderId="43" xfId="491" applyFont="1" applyFill="1" applyBorder="1" applyAlignment="1">
      <alignment horizontal="center" vertical="center" wrapText="1"/>
    </xf>
    <xf numFmtId="43" fontId="90" fillId="0" borderId="44" xfId="491" applyFont="1" applyFill="1" applyBorder="1" applyAlignment="1">
      <alignment horizontal="center" vertical="center" wrapText="1"/>
    </xf>
    <xf numFmtId="0" fontId="116" fillId="0" borderId="63" xfId="0" applyFont="1" applyBorder="1" applyAlignment="1">
      <alignment horizontal="right" vertical="center" wrapText="1"/>
    </xf>
    <xf numFmtId="0" fontId="116" fillId="0" borderId="22" xfId="0" applyFont="1" applyBorder="1" applyAlignment="1">
      <alignment horizontal="right" vertical="center" wrapText="1"/>
    </xf>
    <xf numFmtId="43" fontId="75" fillId="0" borderId="64" xfId="491" applyFont="1" applyFill="1" applyBorder="1" applyAlignment="1">
      <alignment horizontal="right" vertical="center"/>
    </xf>
    <xf numFmtId="43" fontId="75" fillId="0" borderId="16" xfId="491" applyFont="1" applyFill="1" applyBorder="1" applyAlignment="1">
      <alignment horizontal="right" vertical="center"/>
    </xf>
    <xf numFmtId="0" fontId="110" fillId="0" borderId="63" xfId="0" applyFont="1" applyBorder="1" applyAlignment="1">
      <alignment horizontal="right" vertical="center" wrapText="1"/>
    </xf>
    <xf numFmtId="0" fontId="110" fillId="0" borderId="22" xfId="0" applyFont="1" applyBorder="1" applyAlignment="1">
      <alignment horizontal="right" vertical="center" wrapText="1"/>
    </xf>
    <xf numFmtId="0" fontId="95" fillId="0" borderId="29" xfId="0" applyFont="1" applyBorder="1" applyAlignment="1">
      <alignment horizontal="center" vertical="center" wrapText="1"/>
    </xf>
    <xf numFmtId="0" fontId="95" fillId="0" borderId="39" xfId="0" applyFont="1" applyBorder="1" applyAlignment="1">
      <alignment horizontal="center" vertical="center" wrapText="1"/>
    </xf>
    <xf numFmtId="0" fontId="95" fillId="0" borderId="40" xfId="0" applyFont="1" applyBorder="1" applyAlignment="1">
      <alignment horizontal="center" vertical="center" wrapText="1"/>
    </xf>
    <xf numFmtId="0" fontId="95" fillId="0" borderId="25" xfId="0" applyFont="1" applyBorder="1" applyAlignment="1">
      <alignment horizontal="center" vertical="center" wrapText="1"/>
    </xf>
    <xf numFmtId="0" fontId="95" fillId="0" borderId="56" xfId="0" applyFont="1" applyBorder="1" applyAlignment="1">
      <alignment horizontal="center" vertical="center" wrapText="1"/>
    </xf>
    <xf numFmtId="0" fontId="95" fillId="0" borderId="38" xfId="0" applyFont="1" applyBorder="1" applyAlignment="1">
      <alignment horizontal="center" vertical="center" wrapText="1"/>
    </xf>
    <xf numFmtId="0" fontId="95" fillId="0" borderId="48" xfId="0" applyFont="1" applyBorder="1" applyAlignment="1">
      <alignment horizontal="center" vertical="center" wrapText="1"/>
    </xf>
    <xf numFmtId="0" fontId="95" fillId="0" borderId="61" xfId="0" applyFont="1" applyBorder="1" applyAlignment="1">
      <alignment horizontal="center" vertical="center" wrapText="1"/>
    </xf>
    <xf numFmtId="0" fontId="95" fillId="0" borderId="24" xfId="0" applyFont="1" applyBorder="1" applyAlignment="1">
      <alignment horizontal="center" vertical="center" wrapText="1"/>
    </xf>
    <xf numFmtId="0" fontId="95" fillId="0" borderId="26" xfId="0" applyFont="1" applyBorder="1" applyAlignment="1">
      <alignment horizontal="center" vertical="center" wrapText="1"/>
    </xf>
    <xf numFmtId="43" fontId="75" fillId="0" borderId="50" xfId="491" applyFont="1" applyFill="1" applyBorder="1" applyAlignment="1">
      <alignment horizontal="right" vertical="center"/>
    </xf>
    <xf numFmtId="43" fontId="75" fillId="0" borderId="28" xfId="491" applyFont="1" applyFill="1" applyBorder="1" applyAlignment="1">
      <alignment horizontal="right" vertical="center"/>
    </xf>
    <xf numFmtId="0" fontId="95" fillId="0" borderId="30" xfId="0" applyFont="1" applyBorder="1" applyAlignment="1">
      <alignment horizontal="center" vertical="center"/>
    </xf>
    <xf numFmtId="0" fontId="95" fillId="0" borderId="57" xfId="0" applyFont="1" applyBorder="1" applyAlignment="1">
      <alignment horizontal="center" vertical="center"/>
    </xf>
    <xf numFmtId="0" fontId="95" fillId="0" borderId="31" xfId="0" applyFont="1" applyBorder="1" applyAlignment="1">
      <alignment horizontal="center" vertical="center"/>
    </xf>
    <xf numFmtId="0" fontId="95" fillId="0" borderId="29" xfId="0" applyFont="1" applyBorder="1" applyAlignment="1">
      <alignment horizontal="center"/>
    </xf>
    <xf numFmtId="0" fontId="95" fillId="0" borderId="39" xfId="0" applyFont="1" applyBorder="1" applyAlignment="1">
      <alignment horizontal="center"/>
    </xf>
    <xf numFmtId="0" fontId="95" fillId="0" borderId="40" xfId="0" applyFont="1" applyBorder="1" applyAlignment="1">
      <alignment horizontal="center"/>
    </xf>
    <xf numFmtId="0" fontId="29" fillId="0" borderId="56" xfId="87" applyFont="1" applyBorder="1" applyAlignment="1">
      <alignment horizontal="center"/>
    </xf>
    <xf numFmtId="0" fontId="9" fillId="57" borderId="0" xfId="0" applyFont="1" applyFill="1" applyAlignment="1">
      <alignment horizontal="center"/>
    </xf>
    <xf numFmtId="0" fontId="31" fillId="0" borderId="0" xfId="0" applyFont="1" applyAlignment="1">
      <alignment horizontal="center"/>
    </xf>
    <xf numFmtId="0" fontId="36" fillId="63" borderId="17" xfId="0" applyFont="1" applyFill="1" applyBorder="1" applyAlignment="1">
      <alignment horizontal="center" wrapText="1"/>
    </xf>
    <xf numFmtId="0" fontId="36" fillId="63" borderId="21" xfId="0" applyFont="1" applyFill="1" applyBorder="1" applyAlignment="1">
      <alignment horizontal="center" wrapText="1"/>
    </xf>
    <xf numFmtId="0" fontId="36" fillId="63" borderId="22" xfId="0" applyFont="1" applyFill="1" applyBorder="1" applyAlignment="1">
      <alignment horizontal="center" wrapText="1"/>
    </xf>
    <xf numFmtId="0" fontId="0" fillId="52" borderId="17" xfId="0" applyFill="1" applyBorder="1" applyAlignment="1">
      <alignment horizontal="left" wrapText="1"/>
    </xf>
    <xf numFmtId="0" fontId="0" fillId="52" borderId="21" xfId="0" applyFill="1" applyBorder="1" applyAlignment="1">
      <alignment horizontal="left" wrapText="1"/>
    </xf>
    <xf numFmtId="0" fontId="0" fillId="52" borderId="22" xfId="0" applyFill="1" applyBorder="1" applyAlignment="1">
      <alignment horizontal="left" wrapText="1"/>
    </xf>
    <xf numFmtId="0" fontId="9" fillId="60" borderId="0" xfId="0" applyFont="1" applyFill="1" applyAlignment="1">
      <alignment horizontal="center"/>
    </xf>
    <xf numFmtId="0" fontId="70" fillId="0" borderId="16" xfId="0" applyFont="1" applyBorder="1" applyAlignment="1">
      <alignment horizontal="center"/>
    </xf>
    <xf numFmtId="0" fontId="6" fillId="58" borderId="16" xfId="0" applyFont="1" applyFill="1" applyBorder="1" applyAlignment="1">
      <alignment horizontal="center" wrapText="1"/>
    </xf>
    <xf numFmtId="0" fontId="5" fillId="0" borderId="48" xfId="0" applyFont="1" applyBorder="1" applyAlignment="1">
      <alignment horizontal="center"/>
    </xf>
    <xf numFmtId="0" fontId="5" fillId="0" borderId="61" xfId="0" applyFont="1" applyBorder="1" applyAlignment="1">
      <alignment horizontal="center"/>
    </xf>
    <xf numFmtId="0" fontId="6" fillId="56" borderId="48" xfId="0" applyFont="1" applyFill="1" applyBorder="1" applyAlignment="1">
      <alignment horizontal="center" wrapText="1"/>
    </xf>
    <xf numFmtId="0" fontId="6" fillId="56" borderId="61" xfId="0" applyFont="1" applyFill="1" applyBorder="1" applyAlignment="1">
      <alignment horizontal="center" wrapText="1"/>
    </xf>
    <xf numFmtId="0" fontId="6" fillId="58" borderId="48" xfId="0" applyFont="1" applyFill="1" applyBorder="1" applyAlignment="1">
      <alignment horizontal="center" wrapText="1"/>
    </xf>
    <xf numFmtId="0" fontId="6" fillId="58" borderId="61" xfId="0" applyFont="1" applyFill="1" applyBorder="1" applyAlignment="1">
      <alignment horizontal="center" wrapText="1"/>
    </xf>
    <xf numFmtId="165" fontId="2" fillId="53" borderId="30" xfId="0" applyNumberFormat="1" applyFont="1" applyFill="1" applyBorder="1" applyAlignment="1">
      <alignment horizontal="center"/>
    </xf>
    <xf numFmtId="165" fontId="5" fillId="53" borderId="57" xfId="0" applyNumberFormat="1" applyFont="1" applyFill="1" applyBorder="1" applyAlignment="1">
      <alignment horizontal="center"/>
    </xf>
    <xf numFmtId="165" fontId="5" fillId="53" borderId="31" xfId="0" applyNumberFormat="1" applyFont="1" applyFill="1" applyBorder="1" applyAlignment="1">
      <alignment horizontal="center"/>
    </xf>
    <xf numFmtId="0" fontId="44" fillId="0" borderId="48" xfId="0" applyFont="1" applyBorder="1" applyAlignment="1">
      <alignment horizontal="center"/>
    </xf>
    <xf numFmtId="0" fontId="44" fillId="0" borderId="61" xfId="0" applyFont="1" applyBorder="1" applyAlignment="1">
      <alignment horizontal="center"/>
    </xf>
    <xf numFmtId="0" fontId="5" fillId="53" borderId="30" xfId="0" applyFont="1" applyFill="1" applyBorder="1" applyAlignment="1">
      <alignment horizontal="center"/>
    </xf>
    <xf numFmtId="0" fontId="5" fillId="53" borderId="57" xfId="0" applyFont="1" applyFill="1" applyBorder="1" applyAlignment="1">
      <alignment horizontal="center"/>
    </xf>
    <xf numFmtId="0" fontId="5" fillId="53" borderId="31" xfId="0" applyFont="1" applyFill="1" applyBorder="1" applyAlignment="1">
      <alignment horizontal="center"/>
    </xf>
    <xf numFmtId="0" fontId="5" fillId="53" borderId="57" xfId="0" applyFont="1" applyFill="1" applyBorder="1"/>
    <xf numFmtId="0" fontId="5" fillId="53" borderId="31" xfId="0" applyFont="1" applyFill="1" applyBorder="1"/>
    <xf numFmtId="0" fontId="105" fillId="76" borderId="30" xfId="0" applyFont="1" applyFill="1" applyBorder="1" applyAlignment="1">
      <alignment horizontal="center"/>
    </xf>
    <xf numFmtId="0" fontId="105" fillId="76" borderId="57" xfId="0" applyFont="1" applyFill="1" applyBorder="1" applyAlignment="1">
      <alignment horizontal="center"/>
    </xf>
    <xf numFmtId="0" fontId="105" fillId="76" borderId="31" xfId="0" applyFont="1" applyFill="1" applyBorder="1" applyAlignment="1">
      <alignment horizontal="center"/>
    </xf>
    <xf numFmtId="0" fontId="6" fillId="56" borderId="66" xfId="0" applyFont="1" applyFill="1" applyBorder="1" applyAlignment="1">
      <alignment horizontal="center" wrapText="1"/>
    </xf>
    <xf numFmtId="0" fontId="6" fillId="58" borderId="66" xfId="0" applyFont="1" applyFill="1" applyBorder="1" applyAlignment="1">
      <alignment horizontal="center" wrapText="1"/>
    </xf>
    <xf numFmtId="0" fontId="33" fillId="0" borderId="30" xfId="0" applyFont="1" applyBorder="1" applyAlignment="1">
      <alignment horizontal="center"/>
    </xf>
    <xf numFmtId="0" fontId="33" fillId="0" borderId="57" xfId="0" applyFont="1" applyBorder="1" applyAlignment="1">
      <alignment horizontal="center"/>
    </xf>
    <xf numFmtId="0" fontId="33" fillId="0" borderId="31" xfId="0" applyFont="1" applyBorder="1" applyAlignment="1">
      <alignment horizontal="center"/>
    </xf>
    <xf numFmtId="0" fontId="6" fillId="58" borderId="24" xfId="0" applyFont="1" applyFill="1" applyBorder="1" applyAlignment="1">
      <alignment horizontal="center" wrapText="1"/>
    </xf>
    <xf numFmtId="0" fontId="6" fillId="58" borderId="25" xfId="0" applyFont="1" applyFill="1" applyBorder="1" applyAlignment="1">
      <alignment horizontal="center" wrapText="1"/>
    </xf>
    <xf numFmtId="0" fontId="5" fillId="0" borderId="66" xfId="0" applyFont="1" applyBorder="1" applyAlignment="1">
      <alignment horizontal="center"/>
    </xf>
    <xf numFmtId="0" fontId="5" fillId="53" borderId="29" xfId="0" applyFont="1" applyFill="1" applyBorder="1" applyAlignment="1">
      <alignment horizontal="center"/>
    </xf>
    <xf numFmtId="0" fontId="5" fillId="53" borderId="39" xfId="0" applyFont="1" applyFill="1" applyBorder="1" applyAlignment="1">
      <alignment horizontal="center"/>
    </xf>
    <xf numFmtId="0" fontId="5" fillId="53" borderId="40" xfId="0" applyFont="1" applyFill="1" applyBorder="1" applyAlignment="1">
      <alignment horizontal="center"/>
    </xf>
    <xf numFmtId="0" fontId="105" fillId="66" borderId="29" xfId="0" applyFont="1" applyFill="1" applyBorder="1" applyAlignment="1">
      <alignment horizontal="center"/>
    </xf>
    <xf numFmtId="0" fontId="105" fillId="66" borderId="39" xfId="0" applyFont="1" applyFill="1" applyBorder="1" applyAlignment="1">
      <alignment horizontal="center"/>
    </xf>
    <xf numFmtId="0" fontId="105" fillId="66" borderId="40" xfId="0" applyFont="1" applyFill="1" applyBorder="1" applyAlignment="1">
      <alignment horizontal="center"/>
    </xf>
    <xf numFmtId="165" fontId="5" fillId="53" borderId="30" xfId="0" applyNumberFormat="1" applyFont="1" applyFill="1" applyBorder="1" applyAlignment="1">
      <alignment horizontal="center"/>
    </xf>
    <xf numFmtId="0" fontId="44" fillId="0" borderId="66" xfId="0" applyFont="1" applyBorder="1" applyAlignment="1">
      <alignment horizontal="center"/>
    </xf>
    <xf numFmtId="0" fontId="5" fillId="0" borderId="0" xfId="0" applyFont="1"/>
    <xf numFmtId="0" fontId="5" fillId="53" borderId="48" xfId="0" applyFont="1" applyFill="1" applyBorder="1" applyAlignment="1">
      <alignment horizontal="center"/>
    </xf>
    <xf numFmtId="0" fontId="5" fillId="53" borderId="41" xfId="0" applyFont="1" applyFill="1" applyBorder="1" applyAlignment="1">
      <alignment horizontal="center"/>
    </xf>
    <xf numFmtId="0" fontId="5" fillId="53" borderId="47" xfId="0" applyFont="1" applyFill="1" applyBorder="1" applyAlignment="1">
      <alignment horizontal="center"/>
    </xf>
    <xf numFmtId="0" fontId="5" fillId="53" borderId="65" xfId="0" applyFont="1" applyFill="1" applyBorder="1" applyAlignment="1">
      <alignment horizontal="center"/>
    </xf>
    <xf numFmtId="0" fontId="5" fillId="53" borderId="58" xfId="0" applyFont="1" applyFill="1" applyBorder="1" applyAlignment="1">
      <alignment horizontal="center"/>
    </xf>
    <xf numFmtId="0" fontId="2" fillId="53" borderId="30" xfId="0" applyFont="1" applyFill="1" applyBorder="1" applyAlignment="1">
      <alignment horizontal="center"/>
    </xf>
    <xf numFmtId="0" fontId="44" fillId="0" borderId="29" xfId="0" applyFont="1" applyBorder="1" applyAlignment="1">
      <alignment vertical="center" wrapText="1"/>
    </xf>
    <xf numFmtId="0" fontId="44" fillId="0" borderId="39" xfId="0" applyFont="1" applyBorder="1" applyAlignment="1">
      <alignment vertical="center" wrapText="1"/>
    </xf>
    <xf numFmtId="0" fontId="44" fillId="0" borderId="40" xfId="0" applyFont="1" applyBorder="1" applyAlignment="1">
      <alignment vertical="center" wrapText="1"/>
    </xf>
    <xf numFmtId="0" fontId="44" fillId="0" borderId="24" xfId="0" applyFont="1" applyBorder="1" applyAlignment="1">
      <alignment vertical="center" wrapText="1"/>
    </xf>
    <xf numFmtId="0" fontId="44" fillId="0" borderId="0" xfId="0" applyFont="1" applyAlignment="1">
      <alignment vertical="center" wrapText="1"/>
    </xf>
    <xf numFmtId="0" fontId="44" fillId="0" borderId="26" xfId="0" applyFont="1" applyBorder="1" applyAlignment="1">
      <alignment vertical="center" wrapText="1"/>
    </xf>
    <xf numFmtId="0" fontId="44" fillId="0" borderId="25" xfId="0" applyFont="1" applyBorder="1" applyAlignment="1">
      <alignment vertical="center" wrapText="1"/>
    </xf>
    <xf numFmtId="0" fontId="44" fillId="0" borderId="56" xfId="0" applyFont="1" applyBorder="1" applyAlignment="1">
      <alignment vertical="center" wrapText="1"/>
    </xf>
    <xf numFmtId="0" fontId="44" fillId="0" borderId="38" xfId="0" applyFont="1" applyBorder="1" applyAlignment="1">
      <alignment vertical="center" wrapText="1"/>
    </xf>
    <xf numFmtId="0" fontId="44" fillId="65" borderId="29" xfId="0" applyFont="1" applyFill="1" applyBorder="1" applyAlignment="1">
      <alignment vertical="top" wrapText="1"/>
    </xf>
    <xf numFmtId="0" fontId="44" fillId="65" borderId="39" xfId="0" applyFont="1" applyFill="1" applyBorder="1" applyAlignment="1">
      <alignment vertical="top" wrapText="1"/>
    </xf>
    <xf numFmtId="0" fontId="44" fillId="65" borderId="40" xfId="0" applyFont="1" applyFill="1" applyBorder="1" applyAlignment="1">
      <alignment vertical="top" wrapText="1"/>
    </xf>
    <xf numFmtId="0" fontId="44" fillId="65" borderId="24" xfId="0" applyFont="1" applyFill="1" applyBorder="1" applyAlignment="1">
      <alignment vertical="top" wrapText="1"/>
    </xf>
    <xf numFmtId="0" fontId="44" fillId="65" borderId="0" xfId="0" applyFont="1" applyFill="1" applyAlignment="1">
      <alignment vertical="top" wrapText="1"/>
    </xf>
    <xf numFmtId="0" fontId="44" fillId="65" borderId="26" xfId="0" applyFont="1" applyFill="1" applyBorder="1" applyAlignment="1">
      <alignment vertical="top" wrapText="1"/>
    </xf>
    <xf numFmtId="0" fontId="44" fillId="65" borderId="25" xfId="0" applyFont="1" applyFill="1" applyBorder="1" applyAlignment="1">
      <alignment vertical="top" wrapText="1"/>
    </xf>
    <xf numFmtId="0" fontId="44" fillId="65" borderId="56" xfId="0" applyFont="1" applyFill="1" applyBorder="1" applyAlignment="1">
      <alignment vertical="top" wrapText="1"/>
    </xf>
    <xf numFmtId="0" fontId="44" fillId="65" borderId="38" xfId="0" applyFont="1" applyFill="1" applyBorder="1" applyAlignment="1">
      <alignment vertical="top" wrapText="1"/>
    </xf>
    <xf numFmtId="0" fontId="34" fillId="56" borderId="0" xfId="0" applyFont="1" applyFill="1" applyAlignment="1">
      <alignment horizontal="left" wrapText="1"/>
    </xf>
    <xf numFmtId="0" fontId="5" fillId="56" borderId="0" xfId="0" applyFont="1" applyFill="1" applyAlignment="1">
      <alignment horizontal="left" wrapText="1"/>
    </xf>
    <xf numFmtId="0" fontId="2" fillId="52" borderId="10" xfId="0" applyFont="1" applyFill="1" applyBorder="1" applyAlignment="1">
      <alignment horizontal="left" wrapText="1"/>
    </xf>
    <xf numFmtId="0" fontId="5" fillId="52" borderId="11" xfId="0" applyFont="1" applyFill="1" applyBorder="1" applyAlignment="1">
      <alignment horizontal="left" wrapText="1"/>
    </xf>
    <xf numFmtId="0" fontId="5" fillId="52" borderId="19" xfId="0" applyFont="1" applyFill="1" applyBorder="1" applyAlignment="1">
      <alignment horizontal="left" wrapText="1"/>
    </xf>
    <xf numFmtId="0" fontId="5" fillId="52" borderId="12" xfId="0" applyFont="1" applyFill="1" applyBorder="1" applyAlignment="1">
      <alignment horizontal="left" wrapText="1"/>
    </xf>
    <xf numFmtId="0" fontId="5" fillId="52" borderId="0" xfId="0" applyFont="1" applyFill="1" applyAlignment="1">
      <alignment horizontal="left" wrapText="1"/>
    </xf>
    <xf numFmtId="0" fontId="5" fillId="52" borderId="20" xfId="0" applyFont="1" applyFill="1" applyBorder="1" applyAlignment="1">
      <alignment horizontal="left" wrapText="1"/>
    </xf>
    <xf numFmtId="0" fontId="5" fillId="52" borderId="13" xfId="0" applyFont="1" applyFill="1" applyBorder="1" applyAlignment="1">
      <alignment horizontal="left" wrapText="1"/>
    </xf>
    <xf numFmtId="0" fontId="5" fillId="52" borderId="14" xfId="0" applyFont="1" applyFill="1" applyBorder="1" applyAlignment="1">
      <alignment horizontal="left" wrapText="1"/>
    </xf>
    <xf numFmtId="0" fontId="5" fillId="52" borderId="15" xfId="0" applyFont="1" applyFill="1" applyBorder="1" applyAlignment="1">
      <alignment horizontal="left" wrapText="1"/>
    </xf>
    <xf numFmtId="0" fontId="142" fillId="0" borderId="10" xfId="0" applyFont="1" applyBorder="1" applyAlignment="1">
      <alignment horizontal="left" wrapText="1"/>
    </xf>
    <xf numFmtId="0" fontId="142" fillId="0" borderId="11" xfId="0" applyFont="1" applyBorder="1" applyAlignment="1">
      <alignment horizontal="left" wrapText="1"/>
    </xf>
    <xf numFmtId="0" fontId="142" fillId="0" borderId="19" xfId="0" applyFont="1" applyBorder="1" applyAlignment="1">
      <alignment horizontal="left" wrapText="1"/>
    </xf>
    <xf numFmtId="0" fontId="142" fillId="0" borderId="12" xfId="0" applyFont="1" applyBorder="1" applyAlignment="1">
      <alignment horizontal="left" wrapText="1"/>
    </xf>
    <xf numFmtId="0" fontId="142" fillId="0" borderId="0" xfId="0" applyFont="1" applyAlignment="1">
      <alignment horizontal="left" wrapText="1"/>
    </xf>
    <xf numFmtId="0" fontId="142" fillId="0" borderId="20" xfId="0" applyFont="1" applyBorder="1" applyAlignment="1">
      <alignment horizontal="left" wrapText="1"/>
    </xf>
    <xf numFmtId="0" fontId="142" fillId="0" borderId="13" xfId="0" applyFont="1" applyBorder="1" applyAlignment="1">
      <alignment horizontal="left" wrapText="1"/>
    </xf>
    <xf numFmtId="0" fontId="142" fillId="0" borderId="14" xfId="0" applyFont="1" applyBorder="1" applyAlignment="1">
      <alignment horizontal="left" wrapText="1"/>
    </xf>
    <xf numFmtId="0" fontId="142" fillId="0" borderId="15" xfId="0" applyFont="1" applyBorder="1" applyAlignment="1">
      <alignment horizontal="left" wrapText="1"/>
    </xf>
  </cellXfs>
  <cellStyles count="1321">
    <cellStyle name="20% - Accent1" xfId="1" builtinId="30" customBuiltin="1"/>
    <cellStyle name="20% - Accent1 2" xfId="2" xr:uid="{00000000-0005-0000-0000-000001000000}"/>
    <cellStyle name="20% - Accent1 2 2" xfId="327" xr:uid="{BA6BF3C2-903B-447C-942E-F8E11C0B337A}"/>
    <cellStyle name="20% - Accent1 3" xfId="378" xr:uid="{FEE3A86F-D12E-4189-A117-C93DB30A5480}"/>
    <cellStyle name="20% - Accent1 4" xfId="413" xr:uid="{A068A58E-89CC-46AD-A81C-42A92F5FD972}"/>
    <cellStyle name="20% - Accent1 5" xfId="102" xr:uid="{5DE53199-EC39-44BA-8234-F3F0BBD39446}"/>
    <cellStyle name="20% - Accent2" xfId="3" builtinId="34" customBuiltin="1"/>
    <cellStyle name="20% - Accent2 2" xfId="4" xr:uid="{00000000-0005-0000-0000-000003000000}"/>
    <cellStyle name="20% - Accent2 2 2" xfId="326" xr:uid="{A91E8F34-B1DE-489E-BF39-07AED4EDA39F}"/>
    <cellStyle name="20% - Accent2 3" xfId="377" xr:uid="{D6481206-89DF-45E5-B554-42D0F763BCCD}"/>
    <cellStyle name="20% - Accent2 4" xfId="414" xr:uid="{D572EAE3-F23F-4AF6-9CB2-F8BAFC209373}"/>
    <cellStyle name="20% - Accent2 5" xfId="103" xr:uid="{28FF30C9-F880-4B2C-A8E1-735495B9727B}"/>
    <cellStyle name="20% - Accent3" xfId="5" builtinId="38" customBuiltin="1"/>
    <cellStyle name="20% - Accent3 2" xfId="6" xr:uid="{00000000-0005-0000-0000-000005000000}"/>
    <cellStyle name="20% - Accent3 2 2" xfId="325" xr:uid="{27B643EB-8C8E-4D8B-8F35-0FFD8D52A974}"/>
    <cellStyle name="20% - Accent3 3" xfId="376" xr:uid="{823BE91E-6B52-4FF2-857E-B1A10ECFAF92}"/>
    <cellStyle name="20% - Accent3 4" xfId="415" xr:uid="{3E56EB70-8670-4831-969F-9EA4FBAD4BD4}"/>
    <cellStyle name="20% - Accent3 5" xfId="104" xr:uid="{0068F975-DAE2-4B22-A24A-081E7B9B93CC}"/>
    <cellStyle name="20% - Accent4" xfId="7" builtinId="42" customBuiltin="1"/>
    <cellStyle name="20% - Accent4 2" xfId="8" xr:uid="{00000000-0005-0000-0000-000007000000}"/>
    <cellStyle name="20% - Accent4 2 2" xfId="324" xr:uid="{74AE5E82-0C18-4494-AFD1-05DFB21D19BF}"/>
    <cellStyle name="20% - Accent4 3" xfId="375" xr:uid="{B069755F-5909-42E9-88E1-486B63C1B773}"/>
    <cellStyle name="20% - Accent4 4" xfId="416" xr:uid="{1493BDFF-E84F-489A-8EB2-0514B3D96F6C}"/>
    <cellStyle name="20% - Accent4 5" xfId="105" xr:uid="{FE6917A3-DD3D-4EEF-8BF2-43A96659E885}"/>
    <cellStyle name="20% - Accent5" xfId="9" builtinId="46" customBuiltin="1"/>
    <cellStyle name="20% - Accent5 2" xfId="10" xr:uid="{00000000-0005-0000-0000-000009000000}"/>
    <cellStyle name="20% - Accent5 2 2" xfId="323" xr:uid="{95CA2B9B-2E5D-4F81-A31E-A2EDB15E0864}"/>
    <cellStyle name="20% - Accent5 3" xfId="374" xr:uid="{8E2A386D-E04E-4FD0-A100-96B20FA7248D}"/>
    <cellStyle name="20% - Accent5 4" xfId="417" xr:uid="{95F6E703-2E2A-4163-BC23-E4E8EB5EA6A7}"/>
    <cellStyle name="20% - Accent6" xfId="11" builtinId="50" customBuiltin="1"/>
    <cellStyle name="20% - Accent6 2" xfId="12" xr:uid="{00000000-0005-0000-0000-00000B000000}"/>
    <cellStyle name="20% - Accent6 2 2" xfId="322" xr:uid="{5F6E8A71-4F23-419C-9323-009D2A35470F}"/>
    <cellStyle name="20% - Accent6 3" xfId="373" xr:uid="{70230B27-DE13-451D-8811-40691E520FA5}"/>
    <cellStyle name="20% - Accent6 4" xfId="418" xr:uid="{311A210A-020B-4845-A86B-6CBF8D943915}"/>
    <cellStyle name="20% - Akzent1" xfId="106" xr:uid="{546F546D-7037-4D3B-9907-B4C5E48422E2}"/>
    <cellStyle name="20% - Akzent2" xfId="107" xr:uid="{F2CCBDC7-C2B4-4486-B3A9-E0EDCCE6C2D6}"/>
    <cellStyle name="20% - Akzent3" xfId="108" xr:uid="{2DCF23D7-9A38-4840-A34D-08066394C308}"/>
    <cellStyle name="20% - Akzent4" xfId="109" xr:uid="{DCC12DA5-96D8-4794-83D6-56CF8861EEBE}"/>
    <cellStyle name="20% - Akzent5" xfId="110" xr:uid="{D5F28A13-F83A-4FA5-88CC-5B415922A54B}"/>
    <cellStyle name="20% - Akzent6" xfId="111" xr:uid="{3538E104-6B69-4D1A-AFB8-1FA5E2745272}"/>
    <cellStyle name="2x indented GHG Textfiels" xfId="112" xr:uid="{45CC20B1-8A26-4010-AF82-927B7D7447E0}"/>
    <cellStyle name="40% - Accent1" xfId="13" builtinId="31" customBuiltin="1"/>
    <cellStyle name="40% - Accent1 2" xfId="14" xr:uid="{00000000-0005-0000-0000-00000D000000}"/>
    <cellStyle name="40% - Accent1 2 2" xfId="321" xr:uid="{8AC74503-1D30-4B00-978B-F26358834B0E}"/>
    <cellStyle name="40% - Accent1 3" xfId="372" xr:uid="{941F5AC1-3D53-424C-AB4B-E1FA5E08118C}"/>
    <cellStyle name="40% - Accent1 4" xfId="419" xr:uid="{118B61D1-403B-4FED-A2F9-D91DBEE2884D}"/>
    <cellStyle name="40% - Accent1 5" xfId="113" xr:uid="{D2387D75-5C4F-4B42-AB0B-3A019D535C8D}"/>
    <cellStyle name="40% - Accent2" xfId="15" builtinId="35" customBuiltin="1"/>
    <cellStyle name="40% - Accent2 2" xfId="16" xr:uid="{00000000-0005-0000-0000-00000F000000}"/>
    <cellStyle name="40% - Accent2 2 2" xfId="320" xr:uid="{91A4BDB7-9EC2-4FC9-92DE-9F5CA7FC79A6}"/>
    <cellStyle name="40% - Accent2 3" xfId="371" xr:uid="{B1308186-0B5F-4326-B896-0EA77099CC85}"/>
    <cellStyle name="40% - Accent2 4" xfId="420" xr:uid="{3DB429FF-FEAF-4458-8B6A-10813A1562EB}"/>
    <cellStyle name="40% - Accent3" xfId="17" builtinId="39" customBuiltin="1"/>
    <cellStyle name="40% - Accent3 2" xfId="18" xr:uid="{00000000-0005-0000-0000-000011000000}"/>
    <cellStyle name="40% - Accent3 2 2" xfId="319" xr:uid="{928A4D52-2E4D-4A85-9E57-478912147005}"/>
    <cellStyle name="40% - Accent3 3" xfId="367" xr:uid="{6C0990BB-96B7-4EB0-A141-C3E737FA9AC3}"/>
    <cellStyle name="40% - Accent3 4" xfId="421" xr:uid="{BCAFB3E2-5E4E-4F81-9C2F-A89CDF9A2B64}"/>
    <cellStyle name="40% - Accent3 5" xfId="114" xr:uid="{EF478240-83A8-415A-ACC1-392A3E1957BB}"/>
    <cellStyle name="40% - Accent4" xfId="19" builtinId="43" customBuiltin="1"/>
    <cellStyle name="40% - Accent4 2" xfId="20" xr:uid="{00000000-0005-0000-0000-000013000000}"/>
    <cellStyle name="40% - Accent4 2 2" xfId="318" xr:uid="{20AB78FB-FC14-41DD-A333-C5B2CB8915A2}"/>
    <cellStyle name="40% - Accent4 3" xfId="370" xr:uid="{FF37D48F-F758-44B5-88A2-C7CCFD6C01CD}"/>
    <cellStyle name="40% - Accent4 4" xfId="422" xr:uid="{7BB71156-1925-47EB-81D7-07AE8C33069E}"/>
    <cellStyle name="40% - Accent4 5" xfId="115" xr:uid="{74A2984E-EF3C-486A-99B6-9069CA3168FB}"/>
    <cellStyle name="40% - Accent5" xfId="21" builtinId="47" customBuiltin="1"/>
    <cellStyle name="40% - Accent5 2" xfId="22" xr:uid="{00000000-0005-0000-0000-000015000000}"/>
    <cellStyle name="40% - Accent5 2 2" xfId="317" xr:uid="{E7D53164-884F-49D0-AF04-DAF84501E05A}"/>
    <cellStyle name="40% - Accent5 3" xfId="369" xr:uid="{9CCA54B5-EBE1-43A2-8193-16EF9C2ED5E6}"/>
    <cellStyle name="40% - Accent5 4" xfId="423" xr:uid="{7E76294D-03D0-4DD8-A6FD-E5B4AF1CB7D6}"/>
    <cellStyle name="40% - Accent6" xfId="23" builtinId="51" customBuiltin="1"/>
    <cellStyle name="40% - Accent6 2" xfId="24" xr:uid="{00000000-0005-0000-0000-000017000000}"/>
    <cellStyle name="40% - Accent6 2 2" xfId="316" xr:uid="{5308ED5C-7EC7-4F58-B1CE-60BBE5D5C9FC}"/>
    <cellStyle name="40% - Accent6 3" xfId="368" xr:uid="{23FC86B9-75C9-4495-A130-C1E1F33AB022}"/>
    <cellStyle name="40% - Accent6 4" xfId="424" xr:uid="{6CC24B72-BA5B-4E47-9ED0-7CDF270FFE0F}"/>
    <cellStyle name="40% - Accent6 5" xfId="116" xr:uid="{37EA969A-01BB-469F-B90A-E753AC2FF608}"/>
    <cellStyle name="40% - Akzent1" xfId="117" xr:uid="{94CE86D4-1B21-4605-B784-92DDF9E1D4A6}"/>
    <cellStyle name="40% - Akzent2" xfId="118" xr:uid="{C93E5901-D48D-4642-8499-D020DC74267D}"/>
    <cellStyle name="40% - Akzent3" xfId="119" xr:uid="{EB78743E-C82D-48AD-928F-165B4996F563}"/>
    <cellStyle name="40% - Akzent4" xfId="120" xr:uid="{7C595812-2388-4371-AACB-5BB87C801112}"/>
    <cellStyle name="40% - Akzent5" xfId="121" xr:uid="{3844C6EB-3D1D-4B54-A605-DEBE64CEAA03}"/>
    <cellStyle name="40% - Akzent6" xfId="122" xr:uid="{1CBAD0D5-A38C-4075-A9C2-9F5825B5C5F0}"/>
    <cellStyle name="5x indented GHG Textfiels" xfId="123" xr:uid="{4B72E685-6261-41D1-9CE1-B8DF901E7B8B}"/>
    <cellStyle name="60% - Accent1" xfId="25" builtinId="32" customBuiltin="1"/>
    <cellStyle name="60% - Accent1 2" xfId="26" xr:uid="{00000000-0005-0000-0000-000019000000}"/>
    <cellStyle name="60% - Accent1 2 2" xfId="294" xr:uid="{E17AA125-1A00-464C-B3DD-CFBDF196A17B}"/>
    <cellStyle name="60% - Accent1 3" xfId="380" xr:uid="{CECB7782-4422-4DAD-9301-834EAFBD4F71}"/>
    <cellStyle name="60% - Accent1 4" xfId="426" xr:uid="{D67E9AE2-9F4E-49A9-84C7-E41D164F2D2E}"/>
    <cellStyle name="60% - Accent1 5" xfId="124" xr:uid="{E7ABABB9-0101-403B-81C0-AA61804AB6E6}"/>
    <cellStyle name="60% - Accent2" xfId="27" builtinId="36" customBuiltin="1"/>
    <cellStyle name="60% - Accent2 2" xfId="28" xr:uid="{00000000-0005-0000-0000-00001B000000}"/>
    <cellStyle name="60% - Accent2 2 2" xfId="315" xr:uid="{F0541AA7-DC60-4856-8B5B-01BCCE16866E}"/>
    <cellStyle name="60% - Accent2 3" xfId="381" xr:uid="{65E799DD-7213-4777-B5E2-3531A9AE23FB}"/>
    <cellStyle name="60% - Accent2 4" xfId="427" xr:uid="{5A4D3C99-E1B5-4B08-8B7C-5A9306639B60}"/>
    <cellStyle name="60% - Accent2 5" xfId="125" xr:uid="{3C4A8F76-8356-42D3-BBFC-3D28580870AD}"/>
    <cellStyle name="60% - Accent3" xfId="29" builtinId="40" customBuiltin="1"/>
    <cellStyle name="60% - Accent3 2" xfId="30" xr:uid="{00000000-0005-0000-0000-00001D000000}"/>
    <cellStyle name="60% - Accent3 2 2" xfId="314" xr:uid="{3057B3CC-EFAC-4F3B-A1F6-73186E5F913D}"/>
    <cellStyle name="60% - Accent3 3" xfId="382" xr:uid="{414AD053-D42E-4BF1-BC8E-C5CC0311D860}"/>
    <cellStyle name="60% - Accent3 4" xfId="428" xr:uid="{ED950862-4CF5-41F0-A331-72FE4726B9FF}"/>
    <cellStyle name="60% - Accent3 5" xfId="126" xr:uid="{6897EF26-40E8-4106-8426-504A50EA9BDF}"/>
    <cellStyle name="60% - Accent4" xfId="31" builtinId="44" customBuiltin="1"/>
    <cellStyle name="60% - Accent4 2" xfId="32" xr:uid="{00000000-0005-0000-0000-00001F000000}"/>
    <cellStyle name="60% - Accent4 2 2" xfId="313" xr:uid="{EEC9C3D9-8B97-4AF9-A0AE-D80096F6D2F1}"/>
    <cellStyle name="60% - Accent4 3" xfId="383" xr:uid="{93083DB8-CDB6-4E27-9207-1BB31ACD404E}"/>
    <cellStyle name="60% - Accent4 4" xfId="429" xr:uid="{3D9E4FB8-2434-4D18-A937-173B66D2745D}"/>
    <cellStyle name="60% - Accent4 5" xfId="127" xr:uid="{E4609D93-291E-4CE8-8651-5274D2EA5F6C}"/>
    <cellStyle name="60% - Accent5" xfId="33" builtinId="48" customBuiltin="1"/>
    <cellStyle name="60% - Accent5 2" xfId="34" xr:uid="{00000000-0005-0000-0000-000021000000}"/>
    <cellStyle name="60% - Accent5 2 2" xfId="312" xr:uid="{B07351FD-C8B2-408B-99F7-8DDEF0FBB807}"/>
    <cellStyle name="60% - Accent5 3" xfId="384" xr:uid="{6733CA80-6E5F-495A-86C8-8100594E1CE9}"/>
    <cellStyle name="60% - Accent5 4" xfId="430" xr:uid="{8A62156B-CC21-459E-B7FD-D7544834DCEC}"/>
    <cellStyle name="60% - Accent5 5" xfId="128" xr:uid="{CA9D55E5-C308-4332-8720-EE293EAAFB2A}"/>
    <cellStyle name="60% - Accent6" xfId="35" builtinId="52" customBuiltin="1"/>
    <cellStyle name="60% - Accent6 2" xfId="36" xr:uid="{00000000-0005-0000-0000-000023000000}"/>
    <cellStyle name="60% - Accent6 2 2" xfId="311" xr:uid="{EF6C8CCE-F396-427A-BDB7-3BFA73A552BC}"/>
    <cellStyle name="60% - Accent6 3" xfId="385" xr:uid="{83BD30C5-D536-4E83-B9D6-AE26A93A9D8D}"/>
    <cellStyle name="60% - Accent6 4" xfId="431" xr:uid="{D71C5DF4-EF81-49BB-B41D-22009C18E25A}"/>
    <cellStyle name="60% - Accent6 5" xfId="129" xr:uid="{76C7B752-40E8-4CF5-B358-C5AAAC094522}"/>
    <cellStyle name="60% - Akzent1" xfId="130" xr:uid="{0588551B-A0E8-42DC-9078-0540EB240DA8}"/>
    <cellStyle name="60% - Akzent2" xfId="131" xr:uid="{8DDACAC7-DC8F-45C1-8CB5-E61E3921150F}"/>
    <cellStyle name="60% - Akzent3" xfId="132" xr:uid="{F496CE1A-E9E4-4BD8-9CF0-329649E900AC}"/>
    <cellStyle name="60% - Akzent4" xfId="133" xr:uid="{061E01AB-AFD3-471D-B97E-2F952A931529}"/>
    <cellStyle name="60% - Akzent5" xfId="134" xr:uid="{401E4EF2-1511-4E4F-9463-F144BEFAC4DD}"/>
    <cellStyle name="60% - Akzent6" xfId="135" xr:uid="{C96C183C-8D1F-40CB-9786-A8F9A8569B67}"/>
    <cellStyle name="Accent1" xfId="37" builtinId="29" customBuiltin="1"/>
    <cellStyle name="Accent1 2" xfId="38" xr:uid="{00000000-0005-0000-0000-000025000000}"/>
    <cellStyle name="Accent1 2 2" xfId="329" xr:uid="{F6FE3ED7-C14C-48E9-AD5A-DDD5E74B9747}"/>
    <cellStyle name="Accent1 3" xfId="386" xr:uid="{0F12C3E3-642E-4B35-970F-30ED4116F54A}"/>
    <cellStyle name="Accent1 4" xfId="432" xr:uid="{97D330A7-A846-4FB8-921F-5B3732D7217E}"/>
    <cellStyle name="Accent1 5" xfId="136" xr:uid="{434A3499-E540-44DF-B630-00D115A00B8A}"/>
    <cellStyle name="Accent2" xfId="39" builtinId="33" customBuiltin="1"/>
    <cellStyle name="Accent2 2" xfId="40" xr:uid="{00000000-0005-0000-0000-000027000000}"/>
    <cellStyle name="Accent2 2 2" xfId="330" xr:uid="{22864AA7-CA0D-487E-A025-55FC0F6F7F51}"/>
    <cellStyle name="Accent2 3" xfId="387" xr:uid="{398A22BC-5FC4-49D7-A512-EA1616CDDA65}"/>
    <cellStyle name="Accent2 4" xfId="433" xr:uid="{D2B125B7-7C0B-44B9-92FE-4A8AB3F36081}"/>
    <cellStyle name="Accent2 5" xfId="137" xr:uid="{A4024036-34FD-4529-8886-C64793C6B693}"/>
    <cellStyle name="Accent3" xfId="41" builtinId="37" customBuiltin="1"/>
    <cellStyle name="Accent3 2" xfId="42" xr:uid="{00000000-0005-0000-0000-000029000000}"/>
    <cellStyle name="Accent3 2 2" xfId="331" xr:uid="{BD523EF5-60B3-4AA0-BDD3-E7168EA32D1A}"/>
    <cellStyle name="Accent3 3" xfId="388" xr:uid="{F89B385E-502C-46F9-97D0-BEB498BEBF75}"/>
    <cellStyle name="Accent3 4" xfId="434" xr:uid="{88156D0B-02B1-4017-915A-4B7CF586C12D}"/>
    <cellStyle name="Accent3 5" xfId="138" xr:uid="{E62A4D4F-6096-43CC-B3EA-D5F3DBDA091A}"/>
    <cellStyle name="Accent4" xfId="43" builtinId="41" customBuiltin="1"/>
    <cellStyle name="Accent4 2" xfId="44" xr:uid="{00000000-0005-0000-0000-00002B000000}"/>
    <cellStyle name="Accent4 2 2" xfId="332" xr:uid="{2BC465E4-82D5-411A-BB85-07D3DB220BC9}"/>
    <cellStyle name="Accent4 3" xfId="389" xr:uid="{CA1CECF7-3E88-46CC-8391-A41783F1AC45}"/>
    <cellStyle name="Accent4 4" xfId="435" xr:uid="{8605336A-AAF3-4145-9CD2-DB223036D633}"/>
    <cellStyle name="Accent4 5" xfId="139" xr:uid="{FFD72798-91C6-453D-A544-BF6CE8C7F7AE}"/>
    <cellStyle name="Accent5" xfId="45" builtinId="45" customBuiltin="1"/>
    <cellStyle name="Accent5 2" xfId="46" xr:uid="{00000000-0005-0000-0000-00002D000000}"/>
    <cellStyle name="Accent5 2 2" xfId="333" xr:uid="{F0C88A94-02F6-4647-BB14-4EE955D03E63}"/>
    <cellStyle name="Accent5 3" xfId="390" xr:uid="{B82547CD-9C91-4C11-B23B-1110CF56EA16}"/>
    <cellStyle name="Accent5 4" xfId="436" xr:uid="{D8961603-C00E-4F44-A9EE-DED2A27A899F}"/>
    <cellStyle name="Accent5 5" xfId="140" xr:uid="{40334380-BE5B-48B1-BE9D-5791E2227D26}"/>
    <cellStyle name="Accent6" xfId="47" builtinId="49" customBuiltin="1"/>
    <cellStyle name="Accent6 2" xfId="48" xr:uid="{00000000-0005-0000-0000-00002F000000}"/>
    <cellStyle name="Accent6 2 2" xfId="334" xr:uid="{BAFAD573-277F-4A9E-A962-7FC56F2DADFD}"/>
    <cellStyle name="Accent6 3" xfId="391" xr:uid="{4626219C-30F3-41D7-B279-E4EFB7ABAEF9}"/>
    <cellStyle name="Accent6 4" xfId="437" xr:uid="{31A134FC-FB12-464D-9C33-394C84004A92}"/>
    <cellStyle name="Accent6 5" xfId="141" xr:uid="{7EF6C8BA-41E9-44FC-89AD-38BCA9C2FE92}"/>
    <cellStyle name="AggblueBoldCels" xfId="142" xr:uid="{644C4F8B-E4A3-4CC6-BA86-D161788FB30F}"/>
    <cellStyle name="AggblueCels" xfId="143" xr:uid="{1E70CBC6-1E22-4C3B-9188-5C97220ABF0A}"/>
    <cellStyle name="AggBoldCells" xfId="144" xr:uid="{C9944682-FC9F-4E95-A2BD-4F6B749AAB04}"/>
    <cellStyle name="AggCels" xfId="145" xr:uid="{1D9E4B0A-3288-4B92-9684-F6AD161A254A}"/>
    <cellStyle name="AggGreen" xfId="146" xr:uid="{01993FD7-F0CF-44FB-BE05-3F5A1C50345E}"/>
    <cellStyle name="AggGreen12" xfId="147" xr:uid="{5418E204-0FF7-4737-92AB-1CF8B0A036F8}"/>
    <cellStyle name="AggOrange" xfId="148" xr:uid="{EE1EFBB5-B572-4304-A7A0-98938288A5AE}"/>
    <cellStyle name="AggOrange9" xfId="149" xr:uid="{60C9D2E9-D5E9-4C00-A305-227666184F33}"/>
    <cellStyle name="AggOrangeLB_2x" xfId="150" xr:uid="{C25682D8-19AD-45A4-8425-CFC2B73A99F4}"/>
    <cellStyle name="AggOrangeLBorder" xfId="151" xr:uid="{3044A90B-DD85-40FB-926E-5FBBD57EDBE8}"/>
    <cellStyle name="AggOrangeRBorder" xfId="152" xr:uid="{50DFAFAF-E34C-4D11-B770-345F1B4752FB}"/>
    <cellStyle name="Akzent1" xfId="153" xr:uid="{27EC71C6-F0BF-4A5E-99E6-80533141BE89}"/>
    <cellStyle name="Akzent2" xfId="154" xr:uid="{31C84AB5-3BDC-429F-99C0-E609967D268A}"/>
    <cellStyle name="Akzent3" xfId="155" xr:uid="{F273BA8E-32AA-4DBD-B5FB-AA0446DF98A1}"/>
    <cellStyle name="Akzent4" xfId="156" xr:uid="{0697ED7D-9447-40D4-96C0-77B6CD70773D}"/>
    <cellStyle name="Akzent5" xfId="157" xr:uid="{34635BD8-7CE4-49A1-9B8E-9A62951E9982}"/>
    <cellStyle name="Akzent6" xfId="158" xr:uid="{05221B84-E444-4BF2-8BB4-CA8CF5ABF2E4}"/>
    <cellStyle name="Ausgabe" xfId="159" xr:uid="{110347B1-3874-4108-AA50-A47415EBE49B}"/>
    <cellStyle name="Bad" xfId="49" builtinId="27" customBuiltin="1"/>
    <cellStyle name="Bad 2" xfId="50" xr:uid="{00000000-0005-0000-0000-000031000000}"/>
    <cellStyle name="Bad 2 2" xfId="335" xr:uid="{8843653F-F58A-48E3-8BD7-BD73F6E071FA}"/>
    <cellStyle name="Bad 3" xfId="392" xr:uid="{F63D668C-D4E7-4F99-83BA-CFA1A0C21DB3}"/>
    <cellStyle name="Bad 4" xfId="439" xr:uid="{0BC7B581-95B7-4996-A2F8-0F3822C767BC}"/>
    <cellStyle name="Berechnung" xfId="160" xr:uid="{FA5FB244-160B-485B-8E5E-B158CDF470EE}"/>
    <cellStyle name="Bold GHG Numbers (0.00)" xfId="161" xr:uid="{5D4FDBFC-44CC-49F8-8E81-09DF794FBF45}"/>
    <cellStyle name="Calculation" xfId="51" builtinId="22" customBuiltin="1"/>
    <cellStyle name="Calculation 2" xfId="52" xr:uid="{00000000-0005-0000-0000-000033000000}"/>
    <cellStyle name="Calculation 2 2" xfId="336" xr:uid="{03B3E737-DD8A-4312-BA0D-F0A40EB9D80D}"/>
    <cellStyle name="Calculation 3" xfId="393" xr:uid="{D1DF2DB7-EA64-4571-9383-658B83294E0F}"/>
    <cellStyle name="Calculation 4" xfId="440" xr:uid="{D9BC2C80-1458-4136-8204-E77722B0127E}"/>
    <cellStyle name="Calculation 5" xfId="162" xr:uid="{2BC32253-45E9-4FF7-982C-76B15B33735E}"/>
    <cellStyle name="Check Cell" xfId="53" builtinId="23" customBuiltin="1"/>
    <cellStyle name="Check Cell 2" xfId="54" xr:uid="{00000000-0005-0000-0000-000035000000}"/>
    <cellStyle name="Check Cell 2 2" xfId="337" xr:uid="{D5DBABAA-DFF5-493D-9145-6362D92AB05D}"/>
    <cellStyle name="Check Cell 3" xfId="394" xr:uid="{529B2183-AC7E-4DB0-AF43-D927A50E3AC0}"/>
    <cellStyle name="Check Cell 4" xfId="441" xr:uid="{EDA95CE6-1BB3-4ABB-9B8B-04D557D46C80}"/>
    <cellStyle name="Check Cell 5" xfId="163" xr:uid="{B0BAA004-C64F-4EB5-BD80-CDB1ED38E2AD}"/>
    <cellStyle name="Comma" xfId="55" builtinId="3"/>
    <cellStyle name="Comma 10" xfId="1213" xr:uid="{AE211027-501F-442A-8F35-4A9828E3129F}"/>
    <cellStyle name="Comma 2" xfId="56" xr:uid="{00000000-0005-0000-0000-000037000000}"/>
    <cellStyle name="Comma 2 2" xfId="57" xr:uid="{00000000-0005-0000-0000-000038000000}"/>
    <cellStyle name="Comma 2 2 2" xfId="491" xr:uid="{A245A43C-F24A-4BB8-A820-0907D82A69E5}"/>
    <cellStyle name="Comma 2 2 2 2" xfId="894" xr:uid="{0DB5895A-3880-4836-BCE8-4DAC5504E3A9}"/>
    <cellStyle name="Comma 2 2 3" xfId="749" xr:uid="{31E6EDD5-DD9F-40C8-92DF-FA52B6FE0104}"/>
    <cellStyle name="Comma 2 2 4" xfId="288" xr:uid="{F0F761E7-7619-40D6-84C2-339FDA3FCE76}"/>
    <cellStyle name="Comma 2 3" xfId="442" xr:uid="{55AE6590-CA29-4FD9-9C7F-9B2CF64EF710}"/>
    <cellStyle name="Comma 2 3 2" xfId="788" xr:uid="{456A8EA1-CB75-475F-A652-1FFE52C5BD14}"/>
    <cellStyle name="Comma 2 4" xfId="681" xr:uid="{A885B504-2645-4B81-B120-3731F432385D}"/>
    <cellStyle name="Comma 2 5" xfId="164" xr:uid="{CA51DD9D-E725-43F6-87A8-DDB9C8F4B1B9}"/>
    <cellStyle name="Comma 3" xfId="58" xr:uid="{00000000-0005-0000-0000-000039000000}"/>
    <cellStyle name="Comma 3 2" xfId="59" xr:uid="{00000000-0005-0000-0000-00003A000000}"/>
    <cellStyle name="Comma 3 2 2" xfId="290" xr:uid="{D9F59A4A-79F7-44B9-A56B-B2EB908B9498}"/>
    <cellStyle name="Comma 3 2 2 2" xfId="492" xr:uid="{A73162E0-C743-43A9-ADA7-87C0EF683BE2}"/>
    <cellStyle name="Comma 3 2 2 2 2" xfId="896" xr:uid="{29E5F8C8-65D9-4E13-92E7-639485A8B38E}"/>
    <cellStyle name="Comma 3 2 2 3" xfId="751" xr:uid="{A84753B3-4CB9-44D8-B0D6-A0F53B8A4294}"/>
    <cellStyle name="Comma 3 2 3" xfId="444" xr:uid="{B66AC727-918B-4D50-8053-AEC380FF3A11}"/>
    <cellStyle name="Comma 3 2 3 2" xfId="790" xr:uid="{F0679DE7-6F22-449E-8E68-9B551490F67E}"/>
    <cellStyle name="Comma 3 2 4" xfId="683" xr:uid="{9ED47FEB-BD00-4B22-BC39-FD43B9EC8858}"/>
    <cellStyle name="Comma 3 2 5" xfId="166" xr:uid="{12A63C64-79DE-4A39-A71F-F633453232E2}"/>
    <cellStyle name="Comma 3 3" xfId="289" xr:uid="{C8951C70-3726-4DAD-A4B9-2C2EA2E89B02}"/>
    <cellStyle name="Comma 3 3 2" xfId="493" xr:uid="{8784DBCB-A518-4018-B84C-303E17465898}"/>
    <cellStyle name="Comma 3 3 2 2" xfId="895" xr:uid="{36CCD430-6772-424E-BEDD-073C15639C83}"/>
    <cellStyle name="Comma 3 3 3" xfId="750" xr:uid="{4F996AE1-6B48-45EA-871E-13990E68DD5A}"/>
    <cellStyle name="Comma 3 4" xfId="443" xr:uid="{9FEB386D-24A8-4F45-94E4-FAD2212682E8}"/>
    <cellStyle name="Comma 3 4 2" xfId="789" xr:uid="{12824037-FDB4-482C-AC32-9DEA471FD50E}"/>
    <cellStyle name="Comma 3 5" xfId="682" xr:uid="{830A1B2D-2A86-4FDE-B203-EBC46BBF979C}"/>
    <cellStyle name="Comma 3 6" xfId="165" xr:uid="{B181F645-AF8A-42C4-BF7C-59AC43B0E025}"/>
    <cellStyle name="Comma 4" xfId="60" xr:uid="{00000000-0005-0000-0000-00003B000000}"/>
    <cellStyle name="Comma 4 2" xfId="291" xr:uid="{AE3F9EF6-F8C9-4831-B201-EE34848829C7}"/>
    <cellStyle name="Comma 4 2 2" xfId="494" xr:uid="{64077D74-8088-4302-B532-79AE7EC4556A}"/>
    <cellStyle name="Comma 4 2 2 2" xfId="897" xr:uid="{1E825822-2E2C-4B72-89CF-667983C2F734}"/>
    <cellStyle name="Comma 4 2 3" xfId="752" xr:uid="{10F63D00-2BDD-4551-96E8-C0701344F215}"/>
    <cellStyle name="Comma 4 3" xfId="445" xr:uid="{99342A3B-FAE9-4085-BCC7-5D664A08FEAA}"/>
    <cellStyle name="Comma 4 3 2" xfId="791" xr:uid="{276EBEBB-CB82-4902-B509-6BC263179F28}"/>
    <cellStyle name="Comma 4 4" xfId="684" xr:uid="{92079BB8-8F70-4E9F-A048-7B96E224AF6F}"/>
    <cellStyle name="Comma 4 5" xfId="167" xr:uid="{502DB104-2CCA-4B79-AE48-887406270A32}"/>
    <cellStyle name="Comma 5" xfId="61" xr:uid="{00000000-0005-0000-0000-00003C000000}"/>
    <cellStyle name="Comma 5 2" xfId="62" xr:uid="{00000000-0005-0000-0000-00003D000000}"/>
    <cellStyle name="Comma 5 2 2" xfId="495" xr:uid="{A70123B4-DE3F-4F9F-8AFC-34C7E7EA87C6}"/>
    <cellStyle name="Comma 5 2 2 2" xfId="898" xr:uid="{D1E3F5E2-B34B-4AE6-899D-D14FDC4F89A0}"/>
    <cellStyle name="Comma 5 2 3" xfId="753" xr:uid="{15574BCC-10E2-4AA7-9135-A0210048DF75}"/>
    <cellStyle name="Comma 5 2 4" xfId="292" xr:uid="{76C6E12E-8CD8-4424-818F-E3530B9E16F0}"/>
    <cellStyle name="Comma 5 3" xfId="446" xr:uid="{29ED040C-8E0F-4ABA-8CB5-DB2465CBBA8B}"/>
    <cellStyle name="Comma 5 3 2" xfId="792" xr:uid="{12B3172B-989E-4ACD-973D-AEEA293E9E91}"/>
    <cellStyle name="Comma 5 4" xfId="685" xr:uid="{5D6463B5-9B33-4F08-A984-39B0B0C4491B}"/>
    <cellStyle name="Comma 5 5" xfId="168" xr:uid="{AE321AE2-6B3B-4A12-B9E3-0AB68A50C22C}"/>
    <cellStyle name="Comma 6" xfId="63" xr:uid="{00000000-0005-0000-0000-00003E000000}"/>
    <cellStyle name="Comma 6 2" xfId="170" xr:uid="{4B007256-942E-40C9-BDA8-D64C9ACE7D2E}"/>
    <cellStyle name="Comma 6 2 2" xfId="496" xr:uid="{24903F0F-84FF-4D6A-A4D5-59941F261FF5}"/>
    <cellStyle name="Comma 6 2 2 2" xfId="843" xr:uid="{9A75AFFC-A704-469F-B743-4B044B32654D}"/>
    <cellStyle name="Comma 6 2 3" xfId="707" xr:uid="{F976BF00-4423-4290-A3A6-B082B02194E6}"/>
    <cellStyle name="Comma 6 3" xfId="447" xr:uid="{5F2C58B0-3EAE-49D4-AF8E-7D9CE9ED74F8}"/>
    <cellStyle name="Comma 6 3 2" xfId="793" xr:uid="{BBD77522-87F6-486C-864E-CDD3B22D5AC6}"/>
    <cellStyle name="Comma 6 4" xfId="686" xr:uid="{1F3A489F-0F9F-4215-B567-FAE976B3AEEE}"/>
    <cellStyle name="Comma 6 5" xfId="169" xr:uid="{536E525A-0EF8-444A-8D24-AA603D731A3C}"/>
    <cellStyle name="Comma 7" xfId="171" xr:uid="{16F53A8D-A5EF-49C2-BF3F-561D5CA53B6C}"/>
    <cellStyle name="Comma 7 2" xfId="497" xr:uid="{4F98A32F-05D6-4FB2-B61B-CF5470FBEE9F}"/>
    <cellStyle name="Comma 7 2 2" xfId="844" xr:uid="{10DD5962-C97A-4344-8BDF-B5D5CE72C7A4}"/>
    <cellStyle name="Comma 7 3" xfId="708" xr:uid="{3A64ACF5-0142-48E5-A337-4B195A4FD8F2}"/>
    <cellStyle name="Comma 8" xfId="172" xr:uid="{901DF452-1EC3-4BCF-A49F-DC3A023A2AA0}"/>
    <cellStyle name="Comma 8 2" xfId="338" xr:uid="{B5B483CA-45F9-41F5-903D-31C55E82DD98}"/>
    <cellStyle name="Comma 8 2 2" xfId="498" xr:uid="{D282F030-7B19-449E-91C2-FD9B1DDBC1C1}"/>
    <cellStyle name="Comma 8 2 2 2" xfId="916" xr:uid="{2F9E1ABD-E454-4AA0-8199-D7437660845E}"/>
    <cellStyle name="Comma 8 2 3" xfId="771" xr:uid="{0D959E86-C46C-448C-8488-2BF528D54662}"/>
    <cellStyle name="Comma 8 3" xfId="499" xr:uid="{59889D9F-8EA9-4941-B7A2-229F933DAF1E}"/>
    <cellStyle name="Comma 8 3 2" xfId="500" xr:uid="{57B2715B-2C3C-4626-9575-87314E449D35}"/>
    <cellStyle name="Comma 8 3 2 2" xfId="955" xr:uid="{92CD691A-50DE-4900-BD24-BF3F3FFFAAC5}"/>
    <cellStyle name="Comma 8 3 3" xfId="832" xr:uid="{E3EC2A32-87BF-480B-8AB8-86B9DE35F9BC}"/>
    <cellStyle name="Comma 8 3 4" xfId="489" xr:uid="{051915A9-443B-4B4C-BAF5-45259BC2EF55}"/>
    <cellStyle name="Comma 8 4" xfId="501" xr:uid="{BB79D875-E7F9-45E4-B399-120EE884C209}"/>
    <cellStyle name="Comma 8 4 2" xfId="845" xr:uid="{01886647-B5AB-4756-91FC-F7A7A4F52F56}"/>
    <cellStyle name="Comma 8 5" xfId="1004" xr:uid="{3B500C5E-B9C0-4C35-98D5-76C6A970EE82}"/>
    <cellStyle name="Comma 8 5 2" xfId="1012" xr:uid="{3682DFC2-BDB5-4782-A6CB-1151C50B1D59}"/>
    <cellStyle name="Comma 9" xfId="502" xr:uid="{D21FF939-05F9-473F-8AAE-865552FC88F5}"/>
    <cellStyle name="Comma 9 2" xfId="503" xr:uid="{2500DB18-9F31-43D5-BBC5-65A62297831C}"/>
    <cellStyle name="Comma 9 2 2" xfId="953" xr:uid="{B40C6057-A776-4315-95BD-51C7ABD8410C}"/>
    <cellStyle name="Comma 9 3" xfId="830" xr:uid="{CFDE8FE2-20BC-4543-BCAD-1B4A679CEEE5}"/>
    <cellStyle name="Comma0" xfId="173" xr:uid="{401D3BCD-A1F2-446C-9FF7-104E60D459F6}"/>
    <cellStyle name="Comma0 2" xfId="504" xr:uid="{C0ACE0F2-2FCC-4E40-ABDC-F0B78C8B7EF4}"/>
    <cellStyle name="Comma0 2 2" xfId="846" xr:uid="{CCDED9C6-A9C4-49B0-9FC8-6533DA66E584}"/>
    <cellStyle name="Comma0 3" xfId="709" xr:uid="{E3535ECA-92D5-4EF2-8D5D-DC11D04163A2}"/>
    <cellStyle name="Constants" xfId="174" xr:uid="{8B7E2874-A51C-4AC3-8163-A57E9943252F}"/>
    <cellStyle name="Currency0" xfId="175" xr:uid="{387AF982-367D-45F8-9E51-24519DF1250F}"/>
    <cellStyle name="Currency0 2" xfId="505" xr:uid="{192B5A8F-AD54-4279-AC41-C6A907A5359F}"/>
    <cellStyle name="Currency0 2 2" xfId="847" xr:uid="{7B4CFDAA-63D8-42DA-A7D1-410A7946FA08}"/>
    <cellStyle name="Currency0 3" xfId="710" xr:uid="{E8E13267-568E-42C6-8408-70B67AE472E9}"/>
    <cellStyle name="CustomCellsOrange" xfId="176" xr:uid="{22AA00E1-B599-4669-9C58-B80023F452FB}"/>
    <cellStyle name="CustomizationCells" xfId="177" xr:uid="{4FA93E76-0A63-4A4E-BA9B-6CD2A0D50EAD}"/>
    <cellStyle name="CustomizationGreenCells" xfId="178" xr:uid="{74ABF637-34B5-4ADD-8CA3-C6365EB20D12}"/>
    <cellStyle name="Date" xfId="179" xr:uid="{61F42983-CAA7-4C40-A111-45C448B11B7D}"/>
    <cellStyle name="Date 2" xfId="506" xr:uid="{0318FE3B-7880-46F2-BC19-E6B5F5823EA5}"/>
    <cellStyle name="Date 2 2" xfId="848" xr:uid="{325A3A6A-7808-4D07-ADBD-9E9EFF305ADD}"/>
    <cellStyle name="Date 3" xfId="711" xr:uid="{E9B9B7EB-2D10-4B8E-BEBB-1E0D6D2598D2}"/>
    <cellStyle name="DocBox_EmptyRow" xfId="180" xr:uid="{8910ED10-776B-4CE9-BD49-F93EFFCFB5B7}"/>
    <cellStyle name="Eingabe" xfId="181" xr:uid="{1BCF1E2B-56F1-4902-92A4-E3374D614FE0}"/>
    <cellStyle name="Empty_B_border" xfId="182" xr:uid="{5D360504-4E17-4914-86F8-155896233F39}"/>
    <cellStyle name="Ergebnis" xfId="183" xr:uid="{68B3B861-9221-4E72-BA94-3D20A33ECEC2}"/>
    <cellStyle name="Erklärender Text" xfId="184" xr:uid="{96F5AE7F-E670-45A1-AFA4-12CC1EE0EE95}"/>
    <cellStyle name="Explanatory Text" xfId="64" builtinId="53" customBuiltin="1"/>
    <cellStyle name="Explanatory Text 2" xfId="65" xr:uid="{00000000-0005-0000-0000-000040000000}"/>
    <cellStyle name="Explanatory Text 2 2" xfId="339" xr:uid="{11FDB0C1-35C2-4B5F-9D40-CE5AF33CD6C6}"/>
    <cellStyle name="Explanatory Text 3" xfId="395" xr:uid="{AD83D2FC-1BF2-4C38-AADD-5D7AB0EBAD44}"/>
    <cellStyle name="Explanatory Text 4" xfId="449" xr:uid="{E6F82D81-7BD0-4F60-8E5C-8EF3E9694FBB}"/>
    <cellStyle name="Fixed" xfId="185" xr:uid="{F90A56AA-739D-489E-8297-F9B0A707D6BE}"/>
    <cellStyle name="Fixed 2" xfId="507" xr:uid="{45C9D6DC-154A-4E28-9772-6E0C78BACCC0}"/>
    <cellStyle name="Fixed 2 2" xfId="849" xr:uid="{586CB140-1244-4269-907E-5E1CA00B8ED6}"/>
    <cellStyle name="Fixed 3" xfId="712" xr:uid="{0DC43772-62EF-4A6C-A3CC-6771788B5E39}"/>
    <cellStyle name="Good" xfId="66" builtinId="26" customBuiltin="1"/>
    <cellStyle name="Good 2" xfId="67" xr:uid="{00000000-0005-0000-0000-000042000000}"/>
    <cellStyle name="Good 2 2" xfId="340" xr:uid="{E36840FB-886C-49A3-BADA-5806BE1C3D4A}"/>
    <cellStyle name="Good 3" xfId="396" xr:uid="{9D6FD37E-41EA-400C-B9DE-D5FCA3A55683}"/>
    <cellStyle name="Good 4" xfId="450" xr:uid="{61DFF666-1C5C-4489-B5E1-2285B4F901E0}"/>
    <cellStyle name="Gut" xfId="186" xr:uid="{7779ECDC-B5D0-45F9-B115-AE00E4B09D7F}"/>
    <cellStyle name="Heading 1" xfId="68" builtinId="16" customBuiltin="1"/>
    <cellStyle name="Heading 1 2" xfId="69" xr:uid="{00000000-0005-0000-0000-000044000000}"/>
    <cellStyle name="Heading 1 2 2" xfId="341" xr:uid="{70A47CCA-1CAA-4F24-A09E-FD20023A3697}"/>
    <cellStyle name="Heading 1 3" xfId="397" xr:uid="{F41A4116-2390-4272-8554-A9AB632A38D6}"/>
    <cellStyle name="Heading 1 4" xfId="451" xr:uid="{802EC2A2-1AEE-46BA-8D18-DC0EC4708974}"/>
    <cellStyle name="Heading 1 5" xfId="187" xr:uid="{319F3469-C308-49DF-9169-87792DAF0620}"/>
    <cellStyle name="Heading 2" xfId="70" builtinId="17" customBuiltin="1"/>
    <cellStyle name="Heading 2 2" xfId="71" xr:uid="{00000000-0005-0000-0000-000046000000}"/>
    <cellStyle name="Heading 2 2 2" xfId="342" xr:uid="{29572576-7B6B-4C2A-B564-1028295428EA}"/>
    <cellStyle name="Heading 2 3" xfId="398" xr:uid="{8A4FF65B-EE8B-4FE6-B05E-8AB5F92E6E53}"/>
    <cellStyle name="Heading 2 4" xfId="452" xr:uid="{26714628-C693-48E0-9FF3-B9CEFB7FD06E}"/>
    <cellStyle name="Heading 2 5" xfId="188" xr:uid="{2BEB8604-ED91-4B6A-86E3-2649B75BA87E}"/>
    <cellStyle name="Heading 3" xfId="72" builtinId="18" customBuiltin="1"/>
    <cellStyle name="Heading 3 2" xfId="73" xr:uid="{00000000-0005-0000-0000-000048000000}"/>
    <cellStyle name="Heading 3 2 2" xfId="1305" xr:uid="{EEB94860-34A3-4F9A-B5A7-77A609AC236F}"/>
    <cellStyle name="Heading 3 2 2 2" xfId="1308" xr:uid="{986E7064-5FF3-4645-96F4-D045E0932D65}"/>
    <cellStyle name="Heading 3 2 3" xfId="1312" xr:uid="{044CF808-911C-4F22-B78E-20194D1D7673}"/>
    <cellStyle name="Heading 3 2 4" xfId="1307" xr:uid="{B36E04AD-8050-4E67-8652-27147AE8A70A}"/>
    <cellStyle name="Heading 3 2 5" xfId="1316" xr:uid="{98BFEF10-7007-4411-998F-A30EA152708B}"/>
    <cellStyle name="Heading 3 2 6" xfId="343" xr:uid="{588E4BB9-03F4-42EF-BE05-F775E2AB3699}"/>
    <cellStyle name="Heading 3 3" xfId="399" xr:uid="{5515E406-25A1-4D5D-BD77-D5BF70E4E5C2}"/>
    <cellStyle name="Heading 3 3 2" xfId="1310" xr:uid="{9B23D931-EA44-442E-A1EC-A2F6515D6724}"/>
    <cellStyle name="Heading 3 3 2 2" xfId="1309" xr:uid="{48DED973-81FD-475C-A548-AC0B862C0E86}"/>
    <cellStyle name="Heading 3 3 3" xfId="1303" xr:uid="{F85D3CEF-5BC9-4564-80BD-CF8D823C4A28}"/>
    <cellStyle name="Heading 3 3 4" xfId="1298" xr:uid="{A14AF9A7-40EE-4B60-AEC3-CA59217B0B92}"/>
    <cellStyle name="Heading 3 3 5" xfId="485" xr:uid="{347FFEBD-127F-42B3-A514-F9D498718D89}"/>
    <cellStyle name="Heading 3 4" xfId="453" xr:uid="{5B1F7622-8C15-4C2F-B49F-DCC1179693EB}"/>
    <cellStyle name="Heading 3 4 2" xfId="448" xr:uid="{E2B0E70A-11DC-407E-95CB-BE1C34216EE7}"/>
    <cellStyle name="Heading 3 4 2 2" xfId="1313" xr:uid="{4A51ACE6-1B51-4F4F-AB79-949669BAE488}"/>
    <cellStyle name="Heading 3 4 3" xfId="438" xr:uid="{D51D8DDD-F44F-4184-8F54-5039210F77C9}"/>
    <cellStyle name="Heading 3 4 4" xfId="464" xr:uid="{15FA226F-F66F-4769-BFD9-D64C82AB409E}"/>
    <cellStyle name="Heading 3 4 5" xfId="1300" xr:uid="{23F72A85-8146-4EC4-BFC8-32643ABD9678}"/>
    <cellStyle name="Heading 3 5" xfId="189" xr:uid="{ED1A74C9-F6F6-4502-866A-1A319D89A1EB}"/>
    <cellStyle name="Heading 4" xfId="74" builtinId="19" customBuiltin="1"/>
    <cellStyle name="Heading 4 2" xfId="75" xr:uid="{00000000-0005-0000-0000-00004A000000}"/>
    <cellStyle name="Heading 4 2 2" xfId="344" xr:uid="{49FC3843-BAD4-4C0B-A379-65B87FFCFAA8}"/>
    <cellStyle name="Heading 4 3" xfId="400" xr:uid="{FE3633FB-5493-4BB2-B75A-C2031E3DDF9E}"/>
    <cellStyle name="Heading 4 4" xfId="454" xr:uid="{1983DD87-7A23-4BB3-97F7-EAA7D2950ED4}"/>
    <cellStyle name="Heading 4 5" xfId="190" xr:uid="{A727813F-9FAC-4008-B371-910B6E78A3DF}"/>
    <cellStyle name="Headline" xfId="191" xr:uid="{D209FD84-0D37-49E9-A5E1-0AF5345C7A00}"/>
    <cellStyle name="Hyperlink" xfId="76" builtinId="8"/>
    <cellStyle name="Hyperlink 2" xfId="77" xr:uid="{00000000-0005-0000-0000-00004C000000}"/>
    <cellStyle name="Hyperlink 2 2" xfId="1320" xr:uid="{6BD7AFDF-586A-4471-A805-226BB665C8CA}"/>
    <cellStyle name="Hyperlink 3" xfId="1319" xr:uid="{EB3E5014-6CA7-467D-842A-1E0A25A7A7B1}"/>
    <cellStyle name="Input" xfId="78" builtinId="20" customBuiltin="1"/>
    <cellStyle name="Input 2" xfId="79" xr:uid="{00000000-0005-0000-0000-00004E000000}"/>
    <cellStyle name="Input 2 2" xfId="345" xr:uid="{9241F98E-0575-4D01-A8DF-A86A43A67C9F}"/>
    <cellStyle name="Input 3" xfId="401" xr:uid="{572959BC-8B4C-4139-A689-61B6258CFB7C}"/>
    <cellStyle name="Input 4" xfId="455" xr:uid="{B707D8C2-A7CD-435E-9392-1F7D21891367}"/>
    <cellStyle name="InputCells" xfId="192" xr:uid="{5EBCC2A5-7942-4DD0-829D-0C828AFE5D2B}"/>
    <cellStyle name="InputCells12" xfId="193" xr:uid="{B1095CD8-F0AE-40C7-9DC9-D3349896F28C}"/>
    <cellStyle name="IntCells" xfId="194" xr:uid="{32B45010-69ED-4FA4-BE45-E2383E99D0F1}"/>
    <cellStyle name="KP_Value_Cells" xfId="195" xr:uid="{0BFD2AAD-8C28-41AE-A8C8-6C1B9E779B8D}"/>
    <cellStyle name="Linked Cell" xfId="80" builtinId="24" customBuiltin="1"/>
    <cellStyle name="Linked Cell 2" xfId="81" xr:uid="{00000000-0005-0000-0000-000050000000}"/>
    <cellStyle name="Linked Cell 2 2" xfId="346" xr:uid="{AFF595CC-C117-4068-9193-9B8EC3A75BBD}"/>
    <cellStyle name="Linked Cell 3" xfId="402" xr:uid="{056099DA-A9ED-4989-BD3D-87A109D1AC72}"/>
    <cellStyle name="Linked Cell 4" xfId="456" xr:uid="{0DA5F7C1-5037-48E9-BBE7-EAC7A059E3C6}"/>
    <cellStyle name="Neutral" xfId="82" builtinId="28" customBuiltin="1"/>
    <cellStyle name="Neutral 2" xfId="83" xr:uid="{00000000-0005-0000-0000-000052000000}"/>
    <cellStyle name="Neutral 2 2" xfId="347" xr:uid="{EB5F9E61-8004-4C0C-9A6D-388FEA075A2E}"/>
    <cellStyle name="Neutral 3" xfId="403" xr:uid="{B4D1A071-8052-401C-B258-6D05697896DE}"/>
    <cellStyle name="Neutral 4" xfId="457" xr:uid="{C5EFA8C3-608C-42A7-9397-0C30E41B2AED}"/>
    <cellStyle name="Normal" xfId="0" builtinId="0"/>
    <cellStyle name="Normal 10" xfId="328" xr:uid="{4D9DF41C-BBDA-4C93-9B5E-F794CA596DE7}"/>
    <cellStyle name="Normal 11" xfId="364" xr:uid="{D153DCB9-804D-49EA-B29A-BE0518BB7EDF}"/>
    <cellStyle name="Normal 11 2" xfId="410" xr:uid="{FD61CDEB-8487-4953-8BBD-66A8AA24A981}"/>
    <cellStyle name="Normal 11 2 2" xfId="508" xr:uid="{F4B1D5F2-738A-47AA-910C-9BE3C9C1BAC0}"/>
    <cellStyle name="Normal 11 2 2 2" xfId="932" xr:uid="{E0F0519B-885D-492A-AB7C-545D77ABB12E}"/>
    <cellStyle name="Normal 11 2 3" xfId="784" xr:uid="{1F56AFD9-6444-4EB2-B6DE-41C531D2AE4F}"/>
    <cellStyle name="Normal 11 3" xfId="509" xr:uid="{36CA141A-C113-4718-A4B5-E7B5963FE817}"/>
    <cellStyle name="Normal 11 3 2" xfId="510" xr:uid="{E58B0D94-35B9-4B2F-A89E-0F67F775B346}"/>
    <cellStyle name="Normal 11 3 2 2" xfId="962" xr:uid="{AA1714AC-6CDE-4E54-97C6-CAB429894626}"/>
    <cellStyle name="Normal 11 3 3" xfId="838" xr:uid="{6250E853-162B-4911-B24E-1B1EA0F0D16F}"/>
    <cellStyle name="Normal 11 4" xfId="511" xr:uid="{1A372228-A643-4B6D-B0EF-8952AEA7CA04}"/>
    <cellStyle name="Normal 11 4 2" xfId="927" xr:uid="{25DE55B7-DB6F-48FD-973D-03D7715E8063}"/>
    <cellStyle name="Normal 11 5" xfId="1005" xr:uid="{AE2394CD-CBA7-4FF4-B910-4C2E461F6150}"/>
    <cellStyle name="Normal 11 5 2" xfId="1013" xr:uid="{42A055B5-3343-451A-B6C1-094D1EC50E14}"/>
    <cellStyle name="Normal 12" xfId="379" xr:uid="{364713DE-9CDA-460D-BCD1-25B23E41BE3E}"/>
    <cellStyle name="Normal 13" xfId="412" xr:uid="{DA701234-8AA2-4739-8633-00051D8314F8}"/>
    <cellStyle name="Normal 14" xfId="512" xr:uid="{C50E32F0-E5D2-4FAE-843E-F4A4C4F2693D}"/>
    <cellStyle name="Normal 14 2" xfId="839" xr:uid="{B8D05230-2380-4283-900D-0FD3F604FC57}"/>
    <cellStyle name="Normal 15" xfId="1102" xr:uid="{5A447BC6-C152-489E-AE9B-0E1DD52E5036}"/>
    <cellStyle name="Normal 15 2" xfId="1311" xr:uid="{ED8D37A6-4998-4861-8303-AC7366C0646C}"/>
    <cellStyle name="Normal 15 3" xfId="1299" xr:uid="{C9304227-B8BF-4568-92D2-F8EC2740568D}"/>
    <cellStyle name="Normal 16" xfId="411" xr:uid="{DA7828E4-0BB1-43F3-82C9-9702120E4DAF}"/>
    <cellStyle name="Normal 17" xfId="1318" xr:uid="{D3DF7E62-7D60-4C32-9F27-73E8BE8FD474}"/>
    <cellStyle name="Normal 18" xfId="101" xr:uid="{A64D676D-3F68-4730-83EC-6FFD3617C219}"/>
    <cellStyle name="Normal 2" xfId="84" xr:uid="{00000000-0005-0000-0000-000054000000}"/>
    <cellStyle name="Normal 2 2" xfId="197" xr:uid="{8243A366-60BF-45C5-8623-5C0999CDBA85}"/>
    <cellStyle name="Normal 2 2 2" xfId="513" xr:uid="{79A55074-8C84-4841-8205-575A3A5AF25F}"/>
    <cellStyle name="Normal 2 2 2 2" xfId="850" xr:uid="{9A301F44-EE94-4E8F-9B58-B9607D247F62}"/>
    <cellStyle name="Normal 2 2 3" xfId="713" xr:uid="{8C7591C6-0CBD-4DC1-8402-EA3D8FB22CFE}"/>
    <cellStyle name="Normal 2 3" xfId="348" xr:uid="{69D4D9D6-6B3A-47F5-A972-E692E92CC2CB}"/>
    <cellStyle name="Normal 2 4" xfId="404" xr:uid="{16612139-24EA-4747-8E40-635C1CB55A7C}"/>
    <cellStyle name="Normal 2 5" xfId="458" xr:uid="{57C9F9AB-D118-4663-93F7-A7FEE3F1CC58}"/>
    <cellStyle name="Normal 2 6" xfId="514" xr:uid="{9F1702A0-4C3B-4533-B5BF-B44D4D2E6F78}"/>
    <cellStyle name="Normal 2 6 2" xfId="840" xr:uid="{7E28BB96-34CE-44BA-9F77-56299959A442}"/>
    <cellStyle name="Normal 2 7" xfId="687" xr:uid="{F6383828-F49A-4FDD-8567-0C7A3D9B1587}"/>
    <cellStyle name="Normal 2 8" xfId="196" xr:uid="{93DFF617-1108-4414-BECF-B49B57878867}"/>
    <cellStyle name="Normal 2_A4-1" xfId="198" xr:uid="{87568703-7F72-442F-9480-8C5D9DA8287A}"/>
    <cellStyle name="Normal 22" xfId="1317" xr:uid="{C57BEACF-ACE2-4745-AC63-5859C3EEBF78}"/>
    <cellStyle name="Normal 3" xfId="85" xr:uid="{00000000-0005-0000-0000-000055000000}"/>
    <cellStyle name="Normal 3 2" xfId="293" xr:uid="{BD9C70C8-7408-4BAE-82D6-FF2D362404FB}"/>
    <cellStyle name="Normal 3 2 2" xfId="515" xr:uid="{5C80B3D6-E1E2-490D-9B1C-FDE20DAEEF05}"/>
    <cellStyle name="Normal 3 2 2 2" xfId="899" xr:uid="{045EFC07-F97D-48C9-9BB5-D5728F5D9682}"/>
    <cellStyle name="Normal 3 2 3" xfId="754" xr:uid="{33BCDD53-5F8B-4081-AEFF-F6444BFE917F}"/>
    <cellStyle name="Normal 3 3" xfId="459" xr:uid="{0C3BA75F-6D66-4414-B296-79DBC035749B}"/>
    <cellStyle name="Normal 3 3 2" xfId="794" xr:uid="{77F81603-4868-4426-8BE9-BA513D21D410}"/>
    <cellStyle name="Normal 3 4" xfId="688" xr:uid="{26E66EDC-A740-4EC4-84F4-8E720EBA69F1}"/>
    <cellStyle name="Normal 3 5" xfId="199" xr:uid="{7730A9BD-8FE5-4322-8C64-1DA09BF28A32}"/>
    <cellStyle name="Normal 4" xfId="86" xr:uid="{00000000-0005-0000-0000-000056000000}"/>
    <cellStyle name="Normal 4 10" xfId="516" xr:uid="{9B8A8BBC-F2BC-450A-8D83-4F15C31C58D3}"/>
    <cellStyle name="Normal 4 10 2" xfId="963" xr:uid="{EBF53B55-8B35-40B0-85EB-BBB1BD6B2C70}"/>
    <cellStyle name="Normal 4 10 3" xfId="1067" xr:uid="{9B6A4B7B-9917-4BA7-8D6B-41A3949B4B22}"/>
    <cellStyle name="Normal 4 10 4" xfId="1207" xr:uid="{9C9782B8-5265-4786-B90F-0BF8896FC576}"/>
    <cellStyle name="Normal 4 10 5" xfId="1281" xr:uid="{C0AC25A3-2399-4418-9787-71058AF79AB8}"/>
    <cellStyle name="Normal 4 11" xfId="517" xr:uid="{0239B713-DACC-43F2-85C0-74157462E4C9}"/>
    <cellStyle name="Normal 4 11 2" xfId="999" xr:uid="{E515A865-0FD8-4073-8E40-01795E88C0B8}"/>
    <cellStyle name="Normal 4 11 3" xfId="1019" xr:uid="{4C426720-FEAA-43DB-A3DA-028D93195785}"/>
    <cellStyle name="Normal 4 11 4" xfId="1282" xr:uid="{248F6BA7-2244-4399-B876-C2E84E267F78}"/>
    <cellStyle name="Normal 4 12" xfId="787" xr:uid="{F5B8903D-588F-465F-8386-AE2229066A22}"/>
    <cellStyle name="Normal 4 12 2" xfId="1291" xr:uid="{C853C9BA-45A9-452F-814E-FE2893EE48B5}"/>
    <cellStyle name="Normal 4 13" xfId="1024" xr:uid="{BAFECC77-6C62-4A7C-995C-D215A761F2BB}"/>
    <cellStyle name="Normal 4 14" xfId="200" xr:uid="{993686AE-BF68-4256-B7F9-BC3594E175F3}"/>
    <cellStyle name="Normal 4 2" xfId="286" xr:uid="{EB1A44E7-3C07-4C01-8A25-30861CD4D1F5}"/>
    <cellStyle name="Normal 4 2 10" xfId="1022" xr:uid="{9CC49123-4FC4-4185-A9BD-1FEBE4221CA0}"/>
    <cellStyle name="Normal 4 2 2" xfId="366" xr:uid="{DC4F3FEC-6888-42A0-8224-48FCB301E62F}"/>
    <cellStyle name="Normal 4 2 2 2" xfId="518" xr:uid="{D1FDBA72-E334-472A-A855-606CFDA5C3F6}"/>
    <cellStyle name="Normal 4 2 2 2 2" xfId="519" xr:uid="{F88ABDEA-CD93-40C6-882F-19AD0BD30FB3}"/>
    <cellStyle name="Normal 4 2 2 2 2 2" xfId="520" xr:uid="{9F2CC07F-3E20-4E2E-90A1-106A2BDA7EA4}"/>
    <cellStyle name="Normal 4 2 2 2 2 2 2" xfId="985" xr:uid="{98559AA9-B060-4614-A5AA-D412ACD8E9D8}"/>
    <cellStyle name="Normal 4 2 2 2 2 2 3" xfId="1088" xr:uid="{C52D0E86-9BA4-49A1-A0B6-D9F27DB4B8B9}"/>
    <cellStyle name="Normal 4 2 2 2 2 2 4" xfId="1193" xr:uid="{BA5DB7D7-C245-4E93-A171-790A4DCFC3CF}"/>
    <cellStyle name="Normal 4 2 2 2 2 2 5" xfId="1267" xr:uid="{D0DA5BDC-9344-4CBD-8A4E-F947C1827952}"/>
    <cellStyle name="Normal 4 2 2 2 2 3" xfId="939" xr:uid="{79858477-3C94-4D49-BF7D-A72A9B9734F0}"/>
    <cellStyle name="Normal 4 2 2 2 2 3 2" xfId="1127" xr:uid="{CF59CC31-E232-4759-9FDF-BFA923F78526}"/>
    <cellStyle name="Normal 4 2 2 2 2 4" xfId="1053" xr:uid="{464D7149-F569-42DF-9C95-78A56D90A9C2}"/>
    <cellStyle name="Normal 4 2 2 2 2 5" xfId="1169" xr:uid="{485E8A48-551E-4D84-89E6-00A2C2B9E898}"/>
    <cellStyle name="Normal 4 2 2 2 2 6" xfId="1243" xr:uid="{A2F1A6DD-46F2-426E-93F9-639728B5D8F7}"/>
    <cellStyle name="Normal 4 2 2 2 3" xfId="521" xr:uid="{AD140CEF-46C9-40C2-A9FA-C715AE535E07}"/>
    <cellStyle name="Normal 4 2 2 2 3 2" xfId="522" xr:uid="{EF51CA5C-2C27-4E76-91EF-875686C0C781}"/>
    <cellStyle name="Normal 4 2 2 2 3 2 2" xfId="990" xr:uid="{A56A3F70-8755-44B4-8394-0947FDD5035A}"/>
    <cellStyle name="Normal 4 2 2 2 3 2 3" xfId="1093" xr:uid="{A964E448-E885-49DF-8385-9049CD183D8A}"/>
    <cellStyle name="Normal 4 2 2 2 3 2 4" xfId="1198" xr:uid="{05617232-3813-4D80-82DF-FC8B684F78C7}"/>
    <cellStyle name="Normal 4 2 2 2 3 2 5" xfId="1272" xr:uid="{89F4E91F-9CE1-4A00-99BE-87085DEF4D99}"/>
    <cellStyle name="Normal 4 2 2 2 3 3" xfId="944" xr:uid="{B5819F45-FA7B-4589-BA0B-D3E23598DB2B}"/>
    <cellStyle name="Normal 4 2 2 2 3 3 2" xfId="1132" xr:uid="{E4436928-A7B2-4C50-92EE-809E00F59753}"/>
    <cellStyle name="Normal 4 2 2 2 3 4" xfId="1058" xr:uid="{91191031-76D0-4631-A935-921191B0A2FC}"/>
    <cellStyle name="Normal 4 2 2 2 3 5" xfId="1150" xr:uid="{18CDBB5D-E442-4C47-95C2-7FF2BCBA7A10}"/>
    <cellStyle name="Normal 4 2 2 2 3 6" xfId="1224" xr:uid="{23358477-A878-4DF4-859A-B0B29D1D81D9}"/>
    <cellStyle name="Normal 4 2 2 2 4" xfId="523" xr:uid="{DDDAB97E-6142-46A9-93F3-379171A72712}"/>
    <cellStyle name="Normal 4 2 2 2 4 2" xfId="966" xr:uid="{6E441D95-1E71-40BC-975D-6BF2C0246667}"/>
    <cellStyle name="Normal 4 2 2 2 4 3" xfId="1070" xr:uid="{5E443DCA-C7AA-4D44-A2EC-618E6C4FDFD8}"/>
    <cellStyle name="Normal 4 2 2 2 4 4" xfId="1174" xr:uid="{3C6E2437-4C79-4AAB-BE04-2F46AB050932}"/>
    <cellStyle name="Normal 4 2 2 2 4 5" xfId="1248" xr:uid="{68D6173E-BA8E-46EE-BB65-165274E04F57}"/>
    <cellStyle name="Normal 4 2 2 2 5" xfId="821" xr:uid="{465B4E35-9704-4FAA-81F5-A60787C58DF5}"/>
    <cellStyle name="Normal 4 2 2 2 5 2" xfId="1110" xr:uid="{8784BD8B-C164-4C6C-8395-44504BDC8C76}"/>
    <cellStyle name="Normal 4 2 2 2 6" xfId="1034" xr:uid="{C965F58B-B07A-474A-A36F-5CE9FAC07B83}"/>
    <cellStyle name="Normal 4 2 2 2 7" xfId="1145" xr:uid="{E48768C8-36D5-4257-92A4-B5733ED29DC0}"/>
    <cellStyle name="Normal 4 2 2 2 8" xfId="1219" xr:uid="{9774CE61-D572-430A-9000-2BAF05C62AEC}"/>
    <cellStyle name="Normal 4 2 2 3" xfId="524" xr:uid="{08C2B68D-22A5-48C8-915C-D4BA739F608E}"/>
    <cellStyle name="Normal 4 2 2 3 2" xfId="525" xr:uid="{1B74779E-8F0A-41EF-B536-043BDCE19333}"/>
    <cellStyle name="Normal 4 2 2 3 2 2" xfId="979" xr:uid="{92B26EF9-BF44-4A46-B495-642FDFEE9B88}"/>
    <cellStyle name="Normal 4 2 2 3 2 3" xfId="1082" xr:uid="{2B62F82F-864D-4C4A-A339-24E055FB1D77}"/>
    <cellStyle name="Normal 4 2 2 3 2 4" xfId="1187" xr:uid="{71B6B4F0-32D6-4A7E-B56B-0E6455E3348C}"/>
    <cellStyle name="Normal 4 2 2 3 2 5" xfId="1261" xr:uid="{6460F14B-86FD-438B-94BC-1EAA616D6DCD}"/>
    <cellStyle name="Normal 4 2 2 3 3" xfId="929" xr:uid="{61E69D28-A9B6-49E6-A7BE-B54A1EFEE09A}"/>
    <cellStyle name="Normal 4 2 2 3 3 2" xfId="1121" xr:uid="{7DC4D2B8-AE5B-4EDE-8EFD-3E2869FC2A3B}"/>
    <cellStyle name="Normal 4 2 2 3 4" xfId="1047" xr:uid="{2B94E265-2C64-4FAA-8A5A-C9AE38DDAAD3}"/>
    <cellStyle name="Normal 4 2 2 3 5" xfId="1163" xr:uid="{68342F27-B185-4C7D-B07B-4F62678D716C}"/>
    <cellStyle name="Normal 4 2 2 3 6" xfId="1237" xr:uid="{04A122B2-2837-45EF-8164-7F082E4EC6AE}"/>
    <cellStyle name="Normal 4 2 2 4" xfId="526" xr:uid="{51784E17-FD15-450A-A2C6-A2763D9BD328}"/>
    <cellStyle name="Normal 4 2 2 4 2" xfId="527" xr:uid="{7228295D-BB11-4107-902E-60810D808962}"/>
    <cellStyle name="Normal 4 2 2 4 2 2" xfId="989" xr:uid="{CA77F802-347C-41D9-90C6-0EF4C530DE98}"/>
    <cellStyle name="Normal 4 2 2 4 2 3" xfId="1092" xr:uid="{463CF1F4-2D23-444F-9EB7-C4D173640282}"/>
    <cellStyle name="Normal 4 2 2 4 2 4" xfId="1197" xr:uid="{1EFACDCB-1DE0-4583-945D-64D0658A7F66}"/>
    <cellStyle name="Normal 4 2 2 4 2 5" xfId="1271" xr:uid="{954FD522-E310-4737-A89D-57FDB132669F}"/>
    <cellStyle name="Normal 4 2 2 4 3" xfId="943" xr:uid="{DE8AA4C3-6F12-421C-BD6B-379A2D248750}"/>
    <cellStyle name="Normal 4 2 2 4 3 2" xfId="1131" xr:uid="{08BB8EA2-D3B1-41D2-ABB8-68240A2DA915}"/>
    <cellStyle name="Normal 4 2 2 4 4" xfId="1057" xr:uid="{1FC500D9-FE69-4E0A-8D93-DF2375A24A56}"/>
    <cellStyle name="Normal 4 2 2 4 5" xfId="1149" xr:uid="{67F14E62-B9C0-4F54-A913-8A68D8EA6C60}"/>
    <cellStyle name="Normal 4 2 2 4 6" xfId="1223" xr:uid="{AB20893E-43BF-446C-8C78-ADB5D3D6D5FD}"/>
    <cellStyle name="Normal 4 2 2 5" xfId="528" xr:uid="{AAE4050D-2DED-4FEA-A422-A84089CD59F6}"/>
    <cellStyle name="Normal 4 2 2 5 2" xfId="820" xr:uid="{F6237D4D-2841-4D2B-980C-894547E5C158}"/>
    <cellStyle name="Normal 4 2 2 5 3" xfId="1033" xr:uid="{677EB789-2E74-41DA-A3BA-63FA741AF7AB}"/>
    <cellStyle name="Normal 4 2 2 5 4" xfId="1027" xr:uid="{7DC9B77A-C7E3-48CC-84ED-EBA9B0F9ABE5}"/>
    <cellStyle name="Normal 4 2 2 5 5" xfId="1107" xr:uid="{D1E070EB-D719-4D68-8CD3-420FAB7B25DE}"/>
    <cellStyle name="Normal 4 2 2 5 6" xfId="1173" xr:uid="{84EA7A19-B186-474D-AF0A-5AD754F17387}"/>
    <cellStyle name="Normal 4 2 2 5 7" xfId="1247" xr:uid="{67B427FB-7D18-4F5A-9FD9-C114F222B334}"/>
    <cellStyle name="Normal 4 2 2 6" xfId="529" xr:uid="{FF14E599-719D-4D85-BAA4-15F99216961B}"/>
    <cellStyle name="Normal 4 2 2 6 2" xfId="965" xr:uid="{083C0112-C6A3-4558-A111-61510734F475}"/>
    <cellStyle name="Normal 4 2 2 6 3" xfId="1069" xr:uid="{4E5C3EE4-D6B5-4D5A-A899-2F53F9C9C6E3}"/>
    <cellStyle name="Normal 4 2 2 6 4" xfId="1208" xr:uid="{261AEEE6-1191-4FE6-800D-1F0F81BDFC73}"/>
    <cellStyle name="Normal 4 2 2 6 5" xfId="1283" xr:uid="{C42A2362-F412-4CC1-9EBD-796121F8DA20}"/>
    <cellStyle name="Normal 4 2 2 7" xfId="530" xr:uid="{43393986-E7D0-45ED-BE81-E825A745385F}"/>
    <cellStyle name="Normal 4 2 2 7 2" xfId="1003" xr:uid="{ED7E0583-DA00-451C-935C-EB782F638F03}"/>
    <cellStyle name="Normal 4 2 2 7 3" xfId="1023" xr:uid="{87C94405-C950-48DD-9705-BBF1F2707B42}"/>
    <cellStyle name="Normal 4 2 2 7 4" xfId="1284" xr:uid="{689B3310-DED9-41B1-8FDE-36BE3F5F22AF}"/>
    <cellStyle name="Normal 4 2 2 8" xfId="817" xr:uid="{F670B5FA-A2CD-4D4E-B034-CFDE6ABD8593}"/>
    <cellStyle name="Normal 4 2 2 8 2" xfId="1295" xr:uid="{FF1049F9-3860-486C-9EFC-802F24E57C8C}"/>
    <cellStyle name="Normal 4 2 2 9" xfId="1104" xr:uid="{237C66F1-C1ED-45CD-97DF-7C3F8970E36E}"/>
    <cellStyle name="Normal 4 2 3" xfId="531" xr:uid="{55A288A0-8E6D-495F-8303-D3ABEF9BCC10}"/>
    <cellStyle name="Normal 4 2 3 2" xfId="532" xr:uid="{599DFA44-8F75-44EA-90E7-DD5F002878B7}"/>
    <cellStyle name="Normal 4 2 3 2 2" xfId="533" xr:uid="{3BDBF925-5817-4536-AA97-5DDC05FEBAB4}"/>
    <cellStyle name="Normal 4 2 3 2 2 2" xfId="983" xr:uid="{00932C81-9616-4FEC-BEFF-E12B36BC326E}"/>
    <cellStyle name="Normal 4 2 3 2 2 3" xfId="1086" xr:uid="{4149DD51-0549-4C86-8F03-FD7DCF651B51}"/>
    <cellStyle name="Normal 4 2 3 2 2 4" xfId="1191" xr:uid="{302C9409-8C39-46FD-9674-180DC008DE4A}"/>
    <cellStyle name="Normal 4 2 3 2 2 5" xfId="1265" xr:uid="{F257FB3B-A6C3-4EEF-A231-32DBE07BC799}"/>
    <cellStyle name="Normal 4 2 3 2 3" xfId="937" xr:uid="{9C9869D5-4951-42BD-9D64-0593FA35EE90}"/>
    <cellStyle name="Normal 4 2 3 2 3 2" xfId="1125" xr:uid="{9D3539D3-C578-4FA2-90A6-B52297A6CD18}"/>
    <cellStyle name="Normal 4 2 3 2 4" xfId="1051" xr:uid="{563CD74C-9876-467C-8D7A-F4A7E75665BE}"/>
    <cellStyle name="Normal 4 2 3 2 5" xfId="1167" xr:uid="{D628D18A-04C7-45B8-B93A-4AC373C4C7B2}"/>
    <cellStyle name="Normal 4 2 3 2 6" xfId="1241" xr:uid="{6204EA2F-8F93-4F67-8532-2AD55D41FFC7}"/>
    <cellStyle name="Normal 4 2 3 3" xfId="534" xr:uid="{8C831488-D065-40DB-A338-D2CF10917A6A}"/>
    <cellStyle name="Normal 4 2 3 3 2" xfId="535" xr:uid="{44895C9E-60DC-46B0-9DBA-E526510887C1}"/>
    <cellStyle name="Normal 4 2 3 3 2 2" xfId="991" xr:uid="{4E13D07C-1B89-4F6B-9703-56160C8F6BDF}"/>
    <cellStyle name="Normal 4 2 3 3 2 3" xfId="1094" xr:uid="{B9AD7140-279E-4A80-9FEB-F1D37D605398}"/>
    <cellStyle name="Normal 4 2 3 3 2 4" xfId="1199" xr:uid="{55A142DB-FF09-4D13-B595-39CB0CCDAA17}"/>
    <cellStyle name="Normal 4 2 3 3 2 5" xfId="1273" xr:uid="{7C161E4C-DAB8-4F1B-8942-C4724EE460EB}"/>
    <cellStyle name="Normal 4 2 3 3 3" xfId="945" xr:uid="{DA50DC5C-0EB1-4658-973C-23D863566B8B}"/>
    <cellStyle name="Normal 4 2 3 3 3 2" xfId="1133" xr:uid="{F7C49C81-3422-44F5-A8A0-02B8BC647B1D}"/>
    <cellStyle name="Normal 4 2 3 3 4" xfId="1059" xr:uid="{F378D11E-25B0-4E29-8247-40A4EF386F48}"/>
    <cellStyle name="Normal 4 2 3 3 5" xfId="1151" xr:uid="{D4B352AC-BC6A-4A21-8A2E-B7A7683489BD}"/>
    <cellStyle name="Normal 4 2 3 3 6" xfId="1225" xr:uid="{FC6FC9D4-605B-479C-A9D3-914238AB9E80}"/>
    <cellStyle name="Normal 4 2 3 4" xfId="536" xr:uid="{5E2B9BEA-2D52-4944-806B-E6B0DEC44134}"/>
    <cellStyle name="Normal 4 2 3 4 2" xfId="967" xr:uid="{DA7AD0EB-B5F4-4937-BA87-D6BDE2FB0CAF}"/>
    <cellStyle name="Normal 4 2 3 4 3" xfId="1035" xr:uid="{49D17833-10A3-4A89-8C1D-71F835C7DFCB}"/>
    <cellStyle name="Normal 4 2 3 4 4" xfId="1175" xr:uid="{1A5DDCEF-1D91-451E-99B0-1BFDD9220F92}"/>
    <cellStyle name="Normal 4 2 3 4 5" xfId="1249" xr:uid="{43281406-444B-41EA-A3BD-E277D0D713FC}"/>
    <cellStyle name="Normal 4 2 3 5" xfId="822" xr:uid="{9DBEA925-F97B-4C0F-B6F1-6060B2BF100C}"/>
    <cellStyle name="Normal 4 2 3 5 2" xfId="1111" xr:uid="{DEE87F07-B81D-4C9A-8232-312265917270}"/>
    <cellStyle name="Normal 4 2 3 5 3" xfId="1212" xr:uid="{650B5257-E0B4-4E0B-8E20-ABC12846DF33}"/>
    <cellStyle name="Normal 4 2 3 5 4" xfId="1296" xr:uid="{50C0A384-123D-4652-8BE4-F7FD38B575EE}"/>
    <cellStyle name="Normal 4 2 3 6" xfId="1103" xr:uid="{3EC2E4D1-A47F-4214-A3C7-66D1AD47BC9A}"/>
    <cellStyle name="Normal 4 2 3 6 2" xfId="1297" xr:uid="{C8B68FE5-25E0-4680-8DE2-109FF9E99FD0}"/>
    <cellStyle name="Normal 4 2 3 7" xfId="1030" xr:uid="{C1F1923A-0A57-4BA6-89FA-4B101984AB47}"/>
    <cellStyle name="Normal 4 2 3 8" xfId="1217" xr:uid="{930341AF-1F5D-4250-97DB-5F1ED005DED1}"/>
    <cellStyle name="Normal 4 2 4" xfId="537" xr:uid="{916B496C-9EE9-4675-A182-8FD12B0DB8DC}"/>
    <cellStyle name="Normal 4 2 4 2" xfId="538" xr:uid="{40D31ED3-54D6-4585-A894-30B4D973143E}"/>
    <cellStyle name="Normal 4 2 4 2 2" xfId="977" xr:uid="{8E2CE217-2F1E-4576-8A1B-9874C4671EC7}"/>
    <cellStyle name="Normal 4 2 4 2 3" xfId="1080" xr:uid="{818BD30B-DE5A-49ED-81E0-18CC33467050}"/>
    <cellStyle name="Normal 4 2 4 2 4" xfId="1185" xr:uid="{213F48B3-B977-4237-B9E2-7DA96D53715B}"/>
    <cellStyle name="Normal 4 2 4 2 5" xfId="1259" xr:uid="{0EDFA615-80A7-4D5D-B9F9-3EA8AEFFE04E}"/>
    <cellStyle name="Normal 4 2 4 3" xfId="892" xr:uid="{233BB522-CDC2-4913-80F6-4EBFA4C10C13}"/>
    <cellStyle name="Normal 4 2 4 3 2" xfId="1119" xr:uid="{F20387BD-DDD8-4DD8-9208-9B661641FAF6}"/>
    <cellStyle name="Normal 4 2 4 4" xfId="1045" xr:uid="{2282C04B-A3C7-4246-91F3-7EB181375E93}"/>
    <cellStyle name="Normal 4 2 4 5" xfId="1161" xr:uid="{D78C2CAC-CC14-4CCC-9456-284ED99D4CE5}"/>
    <cellStyle name="Normal 4 2 4 6" xfId="1235" xr:uid="{8CE1A9CB-347C-4294-8226-729439B5C323}"/>
    <cellStyle name="Normal 4 2 5" xfId="539" xr:uid="{B83037AA-6085-4825-99E3-BC4A540A6C87}"/>
    <cellStyle name="Normal 4 2 5 2" xfId="540" xr:uid="{989C00C2-A00C-40CC-AA1B-E68C9F090AA3}"/>
    <cellStyle name="Normal 4 2 5 2 2" xfId="988" xr:uid="{20BC9A8E-2ECC-49D5-908A-5D538239034C}"/>
    <cellStyle name="Normal 4 2 5 2 3" xfId="1091" xr:uid="{F431B67E-AE34-4D2D-B949-CF1767D9D09A}"/>
    <cellStyle name="Normal 4 2 5 2 4" xfId="1196" xr:uid="{07868730-E3D4-4B2C-AE14-F4C8B6B055F7}"/>
    <cellStyle name="Normal 4 2 5 2 5" xfId="1270" xr:uid="{368480D9-A306-4BD4-9688-D8D01973E80D}"/>
    <cellStyle name="Normal 4 2 5 3" xfId="942" xr:uid="{5F721D2B-8C0A-446C-BA70-C6878CC58AD9}"/>
    <cellStyle name="Normal 4 2 5 3 2" xfId="1130" xr:uid="{A8ABED9A-324C-4E97-AAE0-7B402C1D661A}"/>
    <cellStyle name="Normal 4 2 5 4" xfId="1056" xr:uid="{BC1CD5A7-61C1-492D-A3DD-7FE42372C95F}"/>
    <cellStyle name="Normal 4 2 5 5" xfId="1148" xr:uid="{FC41E647-FAC4-4331-91C8-7F780A4375C6}"/>
    <cellStyle name="Normal 4 2 5 6" xfId="1222" xr:uid="{06D55E1D-62B4-488C-BA46-425D313B79C7}"/>
    <cellStyle name="Normal 4 2 6" xfId="541" xr:uid="{D6025C8F-09A8-4D12-A32B-12EE39EEFA99}"/>
    <cellStyle name="Normal 4 2 6 2" xfId="819" xr:uid="{7A8BCB00-7681-487E-98DD-B1643D5B4D88}"/>
    <cellStyle name="Normal 4 2 6 3" xfId="1032" xr:uid="{CB1ED3D7-B6DE-470B-A3A5-9D5DD14328C6}"/>
    <cellStyle name="Normal 4 2 6 4" xfId="1026" xr:uid="{4780C571-7704-4406-814A-EDB1120364CB}"/>
    <cellStyle name="Normal 4 2 6 5" xfId="1106" xr:uid="{2C897A52-BDF3-4E2E-BEEA-EF981D673DC9}"/>
    <cellStyle name="Normal 4 2 6 6" xfId="1172" xr:uid="{FC570905-B0FE-4B81-96B9-F20A7FCBADC8}"/>
    <cellStyle name="Normal 4 2 6 7" xfId="1246" xr:uid="{5AFB322D-C74D-4BF7-81B9-7A3516C07AAE}"/>
    <cellStyle name="Normal 4 2 7" xfId="542" xr:uid="{17C61063-4B39-489B-B82D-26877F148344}"/>
    <cellStyle name="Normal 4 2 7 2" xfId="964" xr:uid="{80220A6C-6FEF-45EF-A0AF-5DBDDF5A7F24}"/>
    <cellStyle name="Normal 4 2 7 3" xfId="1068" xr:uid="{B5F57166-BE35-4DE7-98C8-B7F07E07E0F1}"/>
    <cellStyle name="Normal 4 2 7 4" xfId="1209" xr:uid="{BC1007C5-494A-436D-8BAF-407EBF070553}"/>
    <cellStyle name="Normal 4 2 7 5" xfId="1285" xr:uid="{D14D97E7-3F41-467F-8AF9-FDC75E11546D}"/>
    <cellStyle name="Normal 4 2 8" xfId="543" xr:uid="{E271517F-F3B8-414E-B9C8-2C46689CFE84}"/>
    <cellStyle name="Normal 4 2 8 2" xfId="1001" xr:uid="{5592AB29-6942-4E73-9398-BFF79EAED3F3}"/>
    <cellStyle name="Normal 4 2 8 3" xfId="1021" xr:uid="{2F8DA419-9EDB-42BC-AB90-FD689E2086B1}"/>
    <cellStyle name="Normal 4 2 8 4" xfId="1286" xr:uid="{6C223428-00B6-435E-96D3-FD312DD5DAE6}"/>
    <cellStyle name="Normal 4 2 9" xfId="815" xr:uid="{917E9A39-4B2D-41ED-BD4E-8113FC5F5A6A}"/>
    <cellStyle name="Normal 4 2 9 2" xfId="1293" xr:uid="{CFCCB22A-CE65-4A9C-9F50-CFAA3A165432}"/>
    <cellStyle name="Normal 4 3" xfId="365" xr:uid="{7F03A1E4-5848-4DF6-A11F-A3CF9F5F51BA}"/>
    <cellStyle name="Normal 4 3 2" xfId="544" xr:uid="{F8AFB1FD-E3A1-4B18-8469-814FA2ADE0C4}"/>
    <cellStyle name="Normal 4 3 2 2" xfId="545" xr:uid="{7BACF5B0-F15B-41E6-8F24-AFE5C7B9A601}"/>
    <cellStyle name="Normal 4 3 2 2 2" xfId="546" xr:uid="{D3DADD1A-577D-429D-9C6D-B5E2009E44FC}"/>
    <cellStyle name="Normal 4 3 2 2 2 2" xfId="984" xr:uid="{ED53A2A5-DBED-4FEB-A846-9C06E6804B0C}"/>
    <cellStyle name="Normal 4 3 2 2 2 3" xfId="1087" xr:uid="{959BF18D-A3B9-4B2B-A8DB-BCF391E4133E}"/>
    <cellStyle name="Normal 4 3 2 2 2 4" xfId="1192" xr:uid="{C804E47B-BCCA-49D3-971A-7D30AA5336CB}"/>
    <cellStyle name="Normal 4 3 2 2 2 5" xfId="1266" xr:uid="{694183CD-A750-4C95-AA25-B93C30E5898C}"/>
    <cellStyle name="Normal 4 3 2 2 3" xfId="938" xr:uid="{3BEA92A6-37B7-4211-87E9-575A719ED198}"/>
    <cellStyle name="Normal 4 3 2 2 3 2" xfId="1126" xr:uid="{90F46215-3747-448E-AA6C-2ADE00980D66}"/>
    <cellStyle name="Normal 4 3 2 2 4" xfId="1052" xr:uid="{8ED3D30C-385D-4EE5-AEF7-101A99503F61}"/>
    <cellStyle name="Normal 4 3 2 2 5" xfId="1168" xr:uid="{B2609246-6B29-4446-8B61-AB19E8F31AFC}"/>
    <cellStyle name="Normal 4 3 2 2 6" xfId="1242" xr:uid="{037DF4B5-34E1-4A94-B065-207D95AE2751}"/>
    <cellStyle name="Normal 4 3 2 3" xfId="547" xr:uid="{41E008E7-90B2-4534-AF53-47A8B8C1C754}"/>
    <cellStyle name="Normal 4 3 2 3 2" xfId="548" xr:uid="{B590AC71-8908-43BA-A7BF-3A666D042E83}"/>
    <cellStyle name="Normal 4 3 2 3 2 2" xfId="993" xr:uid="{C668A64F-F565-4349-90B0-2D8598099701}"/>
    <cellStyle name="Normal 4 3 2 3 2 3" xfId="1096" xr:uid="{6E1791F6-84A8-4029-952B-F0B3896321C0}"/>
    <cellStyle name="Normal 4 3 2 3 2 4" xfId="1201" xr:uid="{E286FB32-42B1-48CE-B932-D7B6E717DF92}"/>
    <cellStyle name="Normal 4 3 2 3 2 5" xfId="1275" xr:uid="{9775C9A0-BA8E-4DEF-814F-84D22A171D21}"/>
    <cellStyle name="Normal 4 3 2 3 3" xfId="947" xr:uid="{77820BD4-F4FC-46B2-B801-26246A1109E4}"/>
    <cellStyle name="Normal 4 3 2 3 3 2" xfId="1135" xr:uid="{3F342B06-446C-402A-B226-B652CE529A34}"/>
    <cellStyle name="Normal 4 3 2 3 4" xfId="1061" xr:uid="{FDBD0019-A373-4E6E-9F4D-F56ED056AFF7}"/>
    <cellStyle name="Normal 4 3 2 3 5" xfId="1153" xr:uid="{4785B1F7-A455-49CD-9B48-C02C6189FC58}"/>
    <cellStyle name="Normal 4 3 2 3 6" xfId="1227" xr:uid="{A151A623-10C4-484F-8900-CB67CD220440}"/>
    <cellStyle name="Normal 4 3 2 4" xfId="549" xr:uid="{3935F0CD-5C4C-41AF-A669-9D82566CE6AD}"/>
    <cellStyle name="Normal 4 3 2 4 2" xfId="969" xr:uid="{3349DEEA-52F4-405A-9894-1CFBFE98D6F0}"/>
    <cellStyle name="Normal 4 3 2 4 3" xfId="1072" xr:uid="{90050E11-4A1C-4F84-9C96-536572F62C2B}"/>
    <cellStyle name="Normal 4 3 2 4 4" xfId="1177" xr:uid="{90275E76-9617-4934-8646-A2FA150280C8}"/>
    <cellStyle name="Normal 4 3 2 4 5" xfId="1251" xr:uid="{808BB98E-9397-46D7-A921-F6635A8EDBBE}"/>
    <cellStyle name="Normal 4 3 2 5" xfId="824" xr:uid="{24E31382-6B77-4D39-BE26-1F53EC14D156}"/>
    <cellStyle name="Normal 4 3 2 5 2" xfId="1112" xr:uid="{A1B7E49B-F409-45AB-9B3F-FBB325E5B807}"/>
    <cellStyle name="Normal 4 3 2 6" xfId="1037" xr:uid="{260873F7-6694-4C7C-82F4-2E40E858D2FA}"/>
    <cellStyle name="Normal 4 3 2 7" xfId="1144" xr:uid="{952FFBCB-6A38-4E58-9307-BE0D4FC70A60}"/>
    <cellStyle name="Normal 4 3 2 8" xfId="1218" xr:uid="{C4FE0EBF-1FD0-4560-8CCE-DB935F8C1931}"/>
    <cellStyle name="Normal 4 3 3" xfId="550" xr:uid="{C5855DAE-8013-4E51-948A-C535C03EC0BF}"/>
    <cellStyle name="Normal 4 3 3 2" xfId="551" xr:uid="{7E34B595-E71A-4836-A354-574E9A1775E0}"/>
    <cellStyle name="Normal 4 3 3 2 2" xfId="978" xr:uid="{056721C3-DDD0-4A72-8F17-2011088708CF}"/>
    <cellStyle name="Normal 4 3 3 2 3" xfId="1081" xr:uid="{AB53582E-2AD7-43A6-932B-5E76830B5254}"/>
    <cellStyle name="Normal 4 3 3 2 4" xfId="1186" xr:uid="{4FDBD7A0-099A-4613-AD34-AF228A98BD61}"/>
    <cellStyle name="Normal 4 3 3 2 5" xfId="1260" xr:uid="{CF228894-84CF-4E40-9650-75D3F8E196A8}"/>
    <cellStyle name="Normal 4 3 3 3" xfId="928" xr:uid="{AE5C0D9F-5A1D-42AF-B5C2-C85BEA8F8946}"/>
    <cellStyle name="Normal 4 3 3 3 2" xfId="1120" xr:uid="{597611FB-504C-40CF-BF8F-320E2E502AFD}"/>
    <cellStyle name="Normal 4 3 3 4" xfId="1046" xr:uid="{779C0CE4-614A-46CC-A03F-EA2BC0A62690}"/>
    <cellStyle name="Normal 4 3 3 5" xfId="1162" xr:uid="{E358F693-AC82-4A61-A770-9C4EBFFE4BCF}"/>
    <cellStyle name="Normal 4 3 3 6" xfId="1236" xr:uid="{D2CEB4D1-9015-4521-BA26-4829F795DE19}"/>
    <cellStyle name="Normal 4 3 4" xfId="552" xr:uid="{2F16743D-A9BE-4B94-9EC3-B8C096F3A7B5}"/>
    <cellStyle name="Normal 4 3 4 2" xfId="553" xr:uid="{1C701F8C-6AFB-41B0-9098-870EF91A6394}"/>
    <cellStyle name="Normal 4 3 4 2 2" xfId="992" xr:uid="{E6D3FB33-BBE9-423C-8F22-187B2B912D14}"/>
    <cellStyle name="Normal 4 3 4 2 3" xfId="1095" xr:uid="{F2BC1060-2C7A-447D-AB3A-73B381A9B65B}"/>
    <cellStyle name="Normal 4 3 4 2 4" xfId="1200" xr:uid="{94CB15F4-30AD-4708-90AE-6370E171D87D}"/>
    <cellStyle name="Normal 4 3 4 2 5" xfId="1274" xr:uid="{13A51AB2-E755-4D93-8D1D-D04F0B040198}"/>
    <cellStyle name="Normal 4 3 4 3" xfId="946" xr:uid="{7106A95B-1ADF-4BDE-80EA-912CE1C024FB}"/>
    <cellStyle name="Normal 4 3 4 3 2" xfId="1134" xr:uid="{EB759198-593C-4376-8402-B8A62700F591}"/>
    <cellStyle name="Normal 4 3 4 4" xfId="1060" xr:uid="{7A2147F2-6A1A-4B38-AC6F-362E991972EB}"/>
    <cellStyle name="Normal 4 3 4 5" xfId="1152" xr:uid="{3D711E11-1148-426A-9054-343924080185}"/>
    <cellStyle name="Normal 4 3 4 6" xfId="1226" xr:uid="{93F29F44-17D4-429B-B5D2-700B6926237C}"/>
    <cellStyle name="Normal 4 3 5" xfId="554" xr:uid="{A8BF98BB-D1C9-4340-8C8C-D69491B91BC1}"/>
    <cellStyle name="Normal 4 3 5 2" xfId="823" xr:uid="{1791B1A7-2C63-4602-A770-3D3A8B2210B8}"/>
    <cellStyle name="Normal 4 3 5 3" xfId="1036" xr:uid="{8064F02F-42FE-4695-AA75-7FA5577AA614}"/>
    <cellStyle name="Normal 4 3 5 4" xfId="1028" xr:uid="{85B8FDED-8DAD-43B7-A695-3909CB22D057}"/>
    <cellStyle name="Normal 4 3 5 5" xfId="1108" xr:uid="{B684FBF8-3583-462E-BB84-388E9C883CEA}"/>
    <cellStyle name="Normal 4 3 5 6" xfId="1176" xr:uid="{2C208DFB-3B63-4E67-BDB3-486487C74F2C}"/>
    <cellStyle name="Normal 4 3 5 7" xfId="1250" xr:uid="{C390F9E1-5313-4129-9885-E43125F901E9}"/>
    <cellStyle name="Normal 4 3 6" xfId="555" xr:uid="{BB79F582-C7F8-4CBE-8603-F4FDD8D72E8D}"/>
    <cellStyle name="Normal 4 3 6 2" xfId="968" xr:uid="{6ADA07CF-0F37-4270-822B-5A971B6AD3DC}"/>
    <cellStyle name="Normal 4 3 6 3" xfId="1071" xr:uid="{312D186E-C697-497B-88FA-74B1A9884B68}"/>
    <cellStyle name="Normal 4 3 6 4" xfId="1210" xr:uid="{5BB1231E-1FE1-4021-991D-9E7A0B73A48B}"/>
    <cellStyle name="Normal 4 3 6 5" xfId="1287" xr:uid="{D44B4506-9000-4203-BCC3-3C15335EA18A}"/>
    <cellStyle name="Normal 4 3 7" xfId="556" xr:uid="{91BB6486-BDEC-4A39-9A37-234283F0B6DC}"/>
    <cellStyle name="Normal 4 3 7 2" xfId="1002" xr:uid="{C21F2E41-3C09-49D2-89DB-A81FFE1F42FB}"/>
    <cellStyle name="Normal 4 3 7 3" xfId="1018" xr:uid="{9EF92B27-920A-409D-A382-A3B7BDFDB675}"/>
    <cellStyle name="Normal 4 3 7 4" xfId="1288" xr:uid="{6BA367C1-97AE-48DF-996C-0590F69911F3}"/>
    <cellStyle name="Normal 4 3 8" xfId="816" xr:uid="{BFA8F2D5-46A8-4185-AC6F-4AF2D959D610}"/>
    <cellStyle name="Normal 4 3 8 2" xfId="1294" xr:uid="{EB5E1E56-5296-4B13-8CC1-A3DF7720BFA2}"/>
    <cellStyle name="Normal 4 3 9" xfId="1016" xr:uid="{DBF3A755-FEDE-4AFF-8447-23349E1E8996}"/>
    <cellStyle name="Normal 4 4" xfId="460" xr:uid="{B13F57C4-FA51-4155-AB64-02A78829F2AB}"/>
    <cellStyle name="Normal 4 4 2" xfId="557" xr:uid="{356433CF-2C7D-4F92-BAA6-F07FD0526D04}"/>
    <cellStyle name="Normal 4 4 2 2" xfId="558" xr:uid="{5258B9BC-2033-444C-ADF5-AA4BE7CB1EF0}"/>
    <cellStyle name="Normal 4 4 2 2 2" xfId="559" xr:uid="{EB853361-0C93-4791-B1BA-4CFABA60FB18}"/>
    <cellStyle name="Normal 4 4 2 2 2 2" xfId="982" xr:uid="{FA9DA185-FDCE-4D48-A3EC-3B754B5514F3}"/>
    <cellStyle name="Normal 4 4 2 2 2 3" xfId="1085" xr:uid="{C345BBEE-2E96-4073-9EEC-373DBB012430}"/>
    <cellStyle name="Normal 4 4 2 2 2 4" xfId="1190" xr:uid="{51FB4614-9D99-4FAA-8603-CEDAB850D8DB}"/>
    <cellStyle name="Normal 4 4 2 2 2 5" xfId="1264" xr:uid="{D814E060-3829-4F5F-8718-AF54F00A956A}"/>
    <cellStyle name="Normal 4 4 2 2 3" xfId="936" xr:uid="{7F4EBAF9-0F09-4FCD-8522-0427F961BA76}"/>
    <cellStyle name="Normal 4 4 2 2 3 2" xfId="1124" xr:uid="{DBFC881B-123E-4998-8B2F-124D5D4061FC}"/>
    <cellStyle name="Normal 4 4 2 2 4" xfId="1050" xr:uid="{886BF81E-D273-4B10-9B1E-40CDBECC792C}"/>
    <cellStyle name="Normal 4 4 2 2 5" xfId="1166" xr:uid="{A14789AA-C774-4C37-86CB-2E8DB692DC66}"/>
    <cellStyle name="Normal 4 4 2 2 6" xfId="1240" xr:uid="{0F82F027-D5B9-41AE-973D-D04FCE971ACE}"/>
    <cellStyle name="Normal 4 4 2 3" xfId="560" xr:uid="{049D7AF0-CA6F-4AA1-AEE1-C33E6D1ABB84}"/>
    <cellStyle name="Normal 4 4 2 3 2" xfId="561" xr:uid="{D6838D6F-5081-4A69-900D-758ACA17A495}"/>
    <cellStyle name="Normal 4 4 2 3 2 2" xfId="995" xr:uid="{D42374E0-1BA4-42B1-A0D4-8D3F2E6079B7}"/>
    <cellStyle name="Normal 4 4 2 3 2 3" xfId="1098" xr:uid="{4D9E08F3-039F-40E8-AA43-1549C093181C}"/>
    <cellStyle name="Normal 4 4 2 3 2 4" xfId="1203" xr:uid="{8C4895A5-B9FC-4770-8057-973E1603AF4E}"/>
    <cellStyle name="Normal 4 4 2 3 2 5" xfId="1277" xr:uid="{74F75160-5F63-4B3D-AE24-FEB086FF57AE}"/>
    <cellStyle name="Normal 4 4 2 3 3" xfId="949" xr:uid="{AAEC4062-AD3B-4706-849D-13ECEA1CC257}"/>
    <cellStyle name="Normal 4 4 2 3 3 2" xfId="1137" xr:uid="{D03B29B4-5886-4F03-AC5D-3E7173A85915}"/>
    <cellStyle name="Normal 4 4 2 3 4" xfId="1063" xr:uid="{3B828FA6-612F-4ECD-A9C8-D256612CD66E}"/>
    <cellStyle name="Normal 4 4 2 3 5" xfId="1155" xr:uid="{AB79B66A-F804-4679-9BF5-60AE571C366A}"/>
    <cellStyle name="Normal 4 4 2 3 6" xfId="1229" xr:uid="{7D0A14BB-081B-43E7-BCCA-CE7A38371BB0}"/>
    <cellStyle name="Normal 4 4 2 4" xfId="562" xr:uid="{7DE7E1C3-38F2-4584-9384-50BB1EEE701D}"/>
    <cellStyle name="Normal 4 4 2 4 2" xfId="971" xr:uid="{6C378CAF-125D-4A36-8187-BFC0CA1C4ED2}"/>
    <cellStyle name="Normal 4 4 2 4 3" xfId="1074" xr:uid="{63C34C9A-7B15-4503-9BD5-B05D9829012C}"/>
    <cellStyle name="Normal 4 4 2 4 4" xfId="1179" xr:uid="{C0C7E53F-C96F-48E3-81E7-9D2A7E659FF1}"/>
    <cellStyle name="Normal 4 4 2 4 5" xfId="1253" xr:uid="{253C51D0-2993-42C6-ADA4-53E17420E202}"/>
    <cellStyle name="Normal 4 4 2 5" xfId="826" xr:uid="{8D69AC27-696D-459B-996E-2B651A2FA2BC}"/>
    <cellStyle name="Normal 4 4 2 5 2" xfId="1113" xr:uid="{EF74DF40-0B54-4BA6-A857-992EE33CDD10}"/>
    <cellStyle name="Normal 4 4 2 6" xfId="1039" xr:uid="{18BE970D-6464-4239-8F32-A15E06A83897}"/>
    <cellStyle name="Normal 4 4 2 7" xfId="1143" xr:uid="{6BA416D1-4A63-4165-B0D9-C818A0F94635}"/>
    <cellStyle name="Normal 4 4 2 8" xfId="1216" xr:uid="{2C129EB4-7E51-41F9-92EE-A36F6F797705}"/>
    <cellStyle name="Normal 4 4 3" xfId="563" xr:uid="{D1924C9E-66F8-423F-8122-51776638B4DD}"/>
    <cellStyle name="Normal 4 4 3 2" xfId="564" xr:uid="{C27EA1EB-4BA5-4ACE-B2A7-1E302465935D}"/>
    <cellStyle name="Normal 4 4 3 2 2" xfId="976" xr:uid="{9EBE3F12-45AB-4078-A21B-E5FE9787A7AC}"/>
    <cellStyle name="Normal 4 4 3 2 3" xfId="1079" xr:uid="{35719471-D7FC-4013-926F-12F6935F45E5}"/>
    <cellStyle name="Normal 4 4 3 2 4" xfId="1184" xr:uid="{71C2EE8D-51C4-4828-A2F4-2D9F172BEC10}"/>
    <cellStyle name="Normal 4 4 3 2 5" xfId="1258" xr:uid="{AD129D53-4F09-4A8D-8AE2-8BD470C9EE10}"/>
    <cellStyle name="Normal 4 4 3 3" xfId="851" xr:uid="{13932B85-711C-411C-AFBE-20BF792605B5}"/>
    <cellStyle name="Normal 4 4 3 3 2" xfId="1118" xr:uid="{8222CC96-E168-4ABE-BF20-16526F0890AD}"/>
    <cellStyle name="Normal 4 4 3 4" xfId="1044" xr:uid="{8D5C01CD-0AC1-4B9E-87A1-536400491D83}"/>
    <cellStyle name="Normal 4 4 3 5" xfId="1160" xr:uid="{12121407-8F00-433F-83F2-36B0306205F8}"/>
    <cellStyle name="Normal 4 4 3 6" xfId="1234" xr:uid="{AA74291E-ABFC-44DC-82B4-915E4F47425E}"/>
    <cellStyle name="Normal 4 4 4" xfId="565" xr:uid="{F254CD63-253D-4699-9B6A-85251B0B409D}"/>
    <cellStyle name="Normal 4 4 4 2" xfId="566" xr:uid="{44039E51-F1AA-4601-871E-846759F45380}"/>
    <cellStyle name="Normal 4 4 4 2 2" xfId="994" xr:uid="{0F1C3E0B-FC98-42F3-977F-F2EF83AFB7D0}"/>
    <cellStyle name="Normal 4 4 4 2 3" xfId="1097" xr:uid="{6200D300-64D6-4D80-8AF7-AA07E38EFCEC}"/>
    <cellStyle name="Normal 4 4 4 2 4" xfId="1202" xr:uid="{BFDD3153-DB1D-43F9-994B-572BD8103F0D}"/>
    <cellStyle name="Normal 4 4 4 2 5" xfId="1276" xr:uid="{1F5E0115-915F-4E9D-9B08-FD500C462AB2}"/>
    <cellStyle name="Normal 4 4 4 3" xfId="948" xr:uid="{E21A819F-494E-4AD6-8028-BD3119343636}"/>
    <cellStyle name="Normal 4 4 4 3 2" xfId="1136" xr:uid="{FF041E0E-9A86-409C-8358-56E292D25FAC}"/>
    <cellStyle name="Normal 4 4 4 4" xfId="1062" xr:uid="{D79BAD4C-649D-4ACC-8815-B9CED43A98A7}"/>
    <cellStyle name="Normal 4 4 4 5" xfId="1154" xr:uid="{88B9CC69-7B27-480F-9F9D-0719CD9B436C}"/>
    <cellStyle name="Normal 4 4 4 6" xfId="1228" xr:uid="{8161E3E4-E794-4776-811C-F1BCCE730B86}"/>
    <cellStyle name="Normal 4 4 5" xfId="567" xr:uid="{72E84B4B-07AA-4D0B-A748-45CB2268D308}"/>
    <cellStyle name="Normal 4 4 5 2" xfId="825" xr:uid="{B7624B88-3B66-4A60-B1EA-E7CCB605B406}"/>
    <cellStyle name="Normal 4 4 5 3" xfId="1038" xr:uid="{70FDA481-D1A5-449C-9A1F-BF27C59C46D1}"/>
    <cellStyle name="Normal 4 4 5 4" xfId="1029" xr:uid="{A27711DD-4B0C-492F-81DC-80CA73E37F14}"/>
    <cellStyle name="Normal 4 4 5 5" xfId="1109" xr:uid="{FD415192-ABCB-449C-AB97-80111006DF06}"/>
    <cellStyle name="Normal 4 4 5 6" xfId="1178" xr:uid="{01AF080A-07BE-4D46-BBC8-5647326FA844}"/>
    <cellStyle name="Normal 4 4 5 7" xfId="1252" xr:uid="{3FA3F381-BE30-4CF5-89C1-7FD78956C3D4}"/>
    <cellStyle name="Normal 4 4 6" xfId="568" xr:uid="{7DA58C6B-147A-40C4-8154-88E3820EEF29}"/>
    <cellStyle name="Normal 4 4 6 2" xfId="970" xr:uid="{E0C0DF34-B0EF-4721-8A83-3C038B488C5B}"/>
    <cellStyle name="Normal 4 4 6 3" xfId="1073" xr:uid="{03325D3D-96CC-4743-8447-EFF15549FE11}"/>
    <cellStyle name="Normal 4 4 6 4" xfId="1211" xr:uid="{8BF135CA-7FD5-4A39-917B-38C75BC5E1A2}"/>
    <cellStyle name="Normal 4 4 6 5" xfId="1289" xr:uid="{D62EF764-EC59-477D-A671-651B81B1711C}"/>
    <cellStyle name="Normal 4 4 7" xfId="569" xr:uid="{91A76C6D-AAF7-42EC-805F-F7C561E60B2F}"/>
    <cellStyle name="Normal 4 4 7 2" xfId="1000" xr:uid="{6E1CE354-C917-4DC6-9B92-32B5510B44CE}"/>
    <cellStyle name="Normal 4 4 7 3" xfId="1017" xr:uid="{1E86A137-76F1-4CE5-9EA1-44B30B9E4E1E}"/>
    <cellStyle name="Normal 4 4 7 4" xfId="1290" xr:uid="{658EAF26-6514-4D94-A9D3-1A68C0B02B65}"/>
    <cellStyle name="Normal 4 4 8" xfId="795" xr:uid="{BBA066BA-5F0D-43B2-B13A-A6BBF7C8A97D}"/>
    <cellStyle name="Normal 4 4 8 2" xfId="1292" xr:uid="{D7C5D7A6-5E16-42F8-A82F-EA6CBB7E33C8}"/>
    <cellStyle name="Normal 4 4 9" xfId="1020" xr:uid="{FEF4372F-D278-4882-9E63-2ABCA897117E}"/>
    <cellStyle name="Normal 4 5" xfId="570" xr:uid="{7E48274F-F5E5-4697-9158-A1D888ED4937}"/>
    <cellStyle name="Normal 4 5 2" xfId="571" xr:uid="{4326D500-FF14-44E2-8E4F-6A2F3369480E}"/>
    <cellStyle name="Normal 4 5 2 2" xfId="572" xr:uid="{E005713D-5C58-4ABC-AEA8-065237D715E8}"/>
    <cellStyle name="Normal 4 5 2 2 2" xfId="573" xr:uid="{70B0AB72-81B2-457B-9152-49C79CC1AF66}"/>
    <cellStyle name="Normal 4 5 2 2 2 2" xfId="986" xr:uid="{BAD4E8CF-24DA-4998-8FC6-8394D13F7BA4}"/>
    <cellStyle name="Normal 4 5 2 2 2 3" xfId="1089" xr:uid="{DCE4FC1C-D7B6-4C83-BAB9-C10E05558F83}"/>
    <cellStyle name="Normal 4 5 2 2 2 4" xfId="1194" xr:uid="{465061D5-E7CE-4DA4-8658-61CCAB710F6A}"/>
    <cellStyle name="Normal 4 5 2 2 2 5" xfId="1268" xr:uid="{BA721588-C742-4E91-A93F-70503352888F}"/>
    <cellStyle name="Normal 4 5 2 2 3" xfId="940" xr:uid="{0798A1F8-784D-4C2E-BD37-DBC59066BA76}"/>
    <cellStyle name="Normal 4 5 2 2 3 2" xfId="1128" xr:uid="{407645E1-E288-4EB8-A230-512449145C0E}"/>
    <cellStyle name="Normal 4 5 2 2 4" xfId="1054" xr:uid="{12551190-4288-42D3-9F23-1C8E2B5DE0B6}"/>
    <cellStyle name="Normal 4 5 2 2 5" xfId="1170" xr:uid="{93FF1191-92C3-4B4B-A361-8FDEA8AB606A}"/>
    <cellStyle name="Normal 4 5 2 2 6" xfId="1244" xr:uid="{2CF95ED4-B53D-4D27-A303-7A511EE6ED8C}"/>
    <cellStyle name="Normal 4 5 2 3" xfId="574" xr:uid="{715463CD-3E82-4BEF-9DC7-3CE3A5E1D450}"/>
    <cellStyle name="Normal 4 5 2 3 2" xfId="575" xr:uid="{48FC4494-4C73-4233-8D1B-416E3A6D8A4A}"/>
    <cellStyle name="Normal 4 5 2 3 2 2" xfId="997" xr:uid="{63572A02-0ABC-42E6-ABA9-44129FF20D5E}"/>
    <cellStyle name="Normal 4 5 2 3 2 3" xfId="1100" xr:uid="{B2C1A797-607F-49CD-8530-E015171E316B}"/>
    <cellStyle name="Normal 4 5 2 3 2 4" xfId="1205" xr:uid="{FBCDF91A-6B99-4DF2-84CE-5977EC489CAD}"/>
    <cellStyle name="Normal 4 5 2 3 2 5" xfId="1279" xr:uid="{EFF29CF4-DF81-4068-B296-266A82B633CE}"/>
    <cellStyle name="Normal 4 5 2 3 3" xfId="951" xr:uid="{9EA0075F-92AC-4E9F-8E39-54B739621CB9}"/>
    <cellStyle name="Normal 4 5 2 3 3 2" xfId="1139" xr:uid="{2BFE600B-D88C-4A2B-AA42-D5B9AF62BD41}"/>
    <cellStyle name="Normal 4 5 2 3 4" xfId="1065" xr:uid="{5E20ADCA-9F91-41F2-8BD6-C7EABF27A501}"/>
    <cellStyle name="Normal 4 5 2 3 5" xfId="1157" xr:uid="{245C7E0D-0DB5-4934-BDF1-F8A44F714773}"/>
    <cellStyle name="Normal 4 5 2 3 6" xfId="1231" xr:uid="{357B80EC-66A7-4756-B173-CC8C4E27BE24}"/>
    <cellStyle name="Normal 4 5 2 4" xfId="576" xr:uid="{2C85909E-6CF2-4646-9E82-7E24ECE6635A}"/>
    <cellStyle name="Normal 4 5 2 4 2" xfId="973" xr:uid="{D393B1AE-A165-46E3-812A-63F9677CDE66}"/>
    <cellStyle name="Normal 4 5 2 4 3" xfId="1076" xr:uid="{F94CA8C7-F702-400F-888E-47A137CC4062}"/>
    <cellStyle name="Normal 4 5 2 4 4" xfId="1181" xr:uid="{93EFA785-5147-4975-BB67-C563DF33AC28}"/>
    <cellStyle name="Normal 4 5 2 4 5" xfId="1255" xr:uid="{8F9EDAE7-1B4C-4EF4-BC59-AE1D0B642B10}"/>
    <cellStyle name="Normal 4 5 2 5" xfId="828" xr:uid="{98B240E0-FFEE-48EA-80E6-3DED57C63F02}"/>
    <cellStyle name="Normal 4 5 2 5 2" xfId="1115" xr:uid="{ED2F2276-73D3-48C0-A7D5-2481FCDB707E}"/>
    <cellStyle name="Normal 4 5 2 6" xfId="1041" xr:uid="{F9C13F35-B4B2-4E1B-B63A-3AC36010BF7C}"/>
    <cellStyle name="Normal 4 5 2 7" xfId="1146" xr:uid="{E94F1BA1-9753-4D82-B4DF-D7ADDE06E26D}"/>
    <cellStyle name="Normal 4 5 2 8" xfId="1220" xr:uid="{37A7AEC5-1A2B-4F4D-8ED0-038CE37708B5}"/>
    <cellStyle name="Normal 4 5 3" xfId="577" xr:uid="{D70DA9D6-4136-4E14-A896-B755EB512591}"/>
    <cellStyle name="Normal 4 5 3 2" xfId="578" xr:uid="{30CA4F69-13A6-4C21-8915-35D35623225D}"/>
    <cellStyle name="Normal 4 5 3 2 2" xfId="980" xr:uid="{E1184521-B8AB-4A56-BEED-A6542F5B560B}"/>
    <cellStyle name="Normal 4 5 3 2 3" xfId="1083" xr:uid="{FBB69081-C6B1-4C4F-8B2E-A128C06A02FF}"/>
    <cellStyle name="Normal 4 5 3 2 4" xfId="1188" xr:uid="{FF9B8356-FD99-4595-A024-FCA9D8BE3582}"/>
    <cellStyle name="Normal 4 5 3 2 5" xfId="1262" xr:uid="{8B67FBB5-391D-4C55-87DB-8306C75BC977}"/>
    <cellStyle name="Normal 4 5 3 3" xfId="933" xr:uid="{CB9E2DDD-E9A0-49F1-8587-7AB8824D21EB}"/>
    <cellStyle name="Normal 4 5 3 3 2" xfId="1122" xr:uid="{8E354C38-3D20-4D5F-BE66-132E64E348F0}"/>
    <cellStyle name="Normal 4 5 3 4" xfId="1048" xr:uid="{3E6CEE0E-6F8E-489C-9E3B-70F3E5D547E3}"/>
    <cellStyle name="Normal 4 5 3 5" xfId="1164" xr:uid="{87DA732D-EFB2-4E3D-B187-D4298B3C0114}"/>
    <cellStyle name="Normal 4 5 3 6" xfId="1238" xr:uid="{C3A1947E-51A8-4D38-8F51-D0647A44636E}"/>
    <cellStyle name="Normal 4 5 4" xfId="579" xr:uid="{B45FCA4B-2329-44FB-87D2-006C7D835ACF}"/>
    <cellStyle name="Normal 4 5 4 2" xfId="580" xr:uid="{3EE23657-439A-4A71-9775-F1D8C8D72000}"/>
    <cellStyle name="Normal 4 5 4 2 2" xfId="996" xr:uid="{E7C61894-BD7E-4C1D-9288-AA1ABC967A22}"/>
    <cellStyle name="Normal 4 5 4 2 3" xfId="1099" xr:uid="{4B0E5F62-75CF-4C9A-8DF1-EA4B2F6A334F}"/>
    <cellStyle name="Normal 4 5 4 2 4" xfId="1204" xr:uid="{AAE07858-FA03-4317-9765-01D099B84BBC}"/>
    <cellStyle name="Normal 4 5 4 2 5" xfId="1278" xr:uid="{C2E92553-4060-46F2-85DA-E7788CF0A3F5}"/>
    <cellStyle name="Normal 4 5 4 3" xfId="950" xr:uid="{D9382C6F-426E-4C43-9438-9357BA190E27}"/>
    <cellStyle name="Normal 4 5 4 3 2" xfId="1138" xr:uid="{7FBB059A-5EAC-46B2-AE43-E6767A42AF0E}"/>
    <cellStyle name="Normal 4 5 4 4" xfId="1064" xr:uid="{0BBFDF5D-3041-4CD2-A6F3-483D82EFDEC7}"/>
    <cellStyle name="Normal 4 5 4 5" xfId="1156" xr:uid="{A8E62EE4-2408-420D-8101-A9473C38B793}"/>
    <cellStyle name="Normal 4 5 4 6" xfId="1230" xr:uid="{752BB198-3120-4256-A5C6-DA3EB4AD329B}"/>
    <cellStyle name="Normal 4 5 5" xfId="581" xr:uid="{7BB5E5EF-48CE-4187-B9FA-172B5C2A8D72}"/>
    <cellStyle name="Normal 4 5 5 2" xfId="972" xr:uid="{8E602225-05A1-4AAB-B22A-C9CE77EB7A94}"/>
    <cellStyle name="Normal 4 5 5 3" xfId="1075" xr:uid="{65F667FE-D84E-43D1-A642-C34C57751BD8}"/>
    <cellStyle name="Normal 4 5 5 4" xfId="1180" xr:uid="{4C069CCC-7997-48AB-9948-42BE73BACCFB}"/>
    <cellStyle name="Normal 4 5 5 5" xfId="1254" xr:uid="{C16AFB4F-F973-42CF-B4AF-52ED531BED82}"/>
    <cellStyle name="Normal 4 5 6" xfId="827" xr:uid="{9BA232CE-11D1-4918-8B06-B9AE5174649A}"/>
    <cellStyle name="Normal 4 5 6 2" xfId="1114" xr:uid="{7842657B-BD0A-4004-A483-A217A97C75D2}"/>
    <cellStyle name="Normal 4 5 7" xfId="1040" xr:uid="{ED6EF40E-83E1-4770-A96C-811877EB9334}"/>
    <cellStyle name="Normal 4 5 8" xfId="1141" xr:uid="{4FC0C256-DC7F-45B0-BEF5-77257878E522}"/>
    <cellStyle name="Normal 4 5 9" xfId="1214" xr:uid="{6F0638C8-5295-4E10-A36E-1D7D197AE124}"/>
    <cellStyle name="Normal 4 6" xfId="582" xr:uid="{520C4278-8C03-4896-B2F1-44E5319025AE}"/>
    <cellStyle name="Normal 4 6 2" xfId="583" xr:uid="{71209DB3-C2EB-4B77-AE85-6802DCDC82EA}"/>
    <cellStyle name="Normal 4 6 2 2" xfId="584" xr:uid="{8CB748ED-BC47-445E-AD78-8EEC8D73B1F2}"/>
    <cellStyle name="Normal 4 6 2 2 2" xfId="981" xr:uid="{D3487DCE-ED1A-44E0-9328-A04828944C91}"/>
    <cellStyle name="Normal 4 6 2 2 3" xfId="1084" xr:uid="{D496F529-D7B3-4258-9D47-0DBADA62F2B1}"/>
    <cellStyle name="Normal 4 6 2 2 4" xfId="1189" xr:uid="{262DD8C4-2D80-45F4-BC03-EBA46CBB72AC}"/>
    <cellStyle name="Normal 4 6 2 2 5" xfId="1263" xr:uid="{5B928F31-9C58-4F5C-BEC1-02DF97072B40}"/>
    <cellStyle name="Normal 4 6 2 3" xfId="934" xr:uid="{DEEF42A0-353A-46EE-99E6-A8CCA417ADC0}"/>
    <cellStyle name="Normal 4 6 2 3 2" xfId="1123" xr:uid="{945B7A77-05AF-49D5-81AE-173F330CB2F5}"/>
    <cellStyle name="Normal 4 6 2 4" xfId="1049" xr:uid="{FAABC2B4-3933-45AE-A747-619BCF4D2D2D}"/>
    <cellStyle name="Normal 4 6 2 5" xfId="1165" xr:uid="{FF00450A-7A8F-49C6-AFC5-2401DB8FB8E0}"/>
    <cellStyle name="Normal 4 6 2 6" xfId="1239" xr:uid="{A8BF5806-8DC5-4A87-B087-5EF7308172C1}"/>
    <cellStyle name="Normal 4 6 3" xfId="585" xr:uid="{22EC0500-805D-4625-A129-5BDC7F954F04}"/>
    <cellStyle name="Normal 4 6 3 2" xfId="586" xr:uid="{AD52CDFF-6559-44A0-9208-E860F7B2236E}"/>
    <cellStyle name="Normal 4 6 3 2 2" xfId="998" xr:uid="{395C03EA-52D3-477F-BAFE-E340E11DB0FA}"/>
    <cellStyle name="Normal 4 6 3 2 3" xfId="1101" xr:uid="{B52F9B9A-120E-4A4B-87B3-CD2173BF00F0}"/>
    <cellStyle name="Normal 4 6 3 2 4" xfId="1206" xr:uid="{238B0C91-2BD4-499C-A701-442B76EFB498}"/>
    <cellStyle name="Normal 4 6 3 2 5" xfId="1280" xr:uid="{F5096AB7-3EA7-4F85-B385-8B821D6186AC}"/>
    <cellStyle name="Normal 4 6 3 3" xfId="952" xr:uid="{2CF475ED-0450-44A4-A9BC-7A6926F3CAE6}"/>
    <cellStyle name="Normal 4 6 3 3 2" xfId="1140" xr:uid="{30ACAF0D-22CF-4106-A719-60750CD0BB66}"/>
    <cellStyle name="Normal 4 6 3 4" xfId="1066" xr:uid="{745D628C-4E1A-4633-8125-78C45C0609E6}"/>
    <cellStyle name="Normal 4 6 3 5" xfId="1158" xr:uid="{7A02BA77-E28B-4602-8B71-4831C39E5D47}"/>
    <cellStyle name="Normal 4 6 3 6" xfId="1232" xr:uid="{9858F04A-D92B-4C72-A7B1-31A2A3AD175C}"/>
    <cellStyle name="Normal 4 6 4" xfId="587" xr:uid="{7C60EDF2-9CE0-4353-9916-9C706CE482ED}"/>
    <cellStyle name="Normal 4 6 4 2" xfId="974" xr:uid="{207609C9-3C84-4CA1-B751-9DCB23AF4D88}"/>
    <cellStyle name="Normal 4 6 4 3" xfId="1077" xr:uid="{B2DA5428-9DDA-462D-AD88-F8E6FFB4B235}"/>
    <cellStyle name="Normal 4 6 4 4" xfId="1182" xr:uid="{5FB4FBBE-4F6C-4542-85D5-97FCD30B8853}"/>
    <cellStyle name="Normal 4 6 4 5" xfId="1256" xr:uid="{8AB58BE0-6B3F-40DC-B5F1-5907D3EF3148}"/>
    <cellStyle name="Normal 4 6 5" xfId="829" xr:uid="{5BA0DBE1-B279-4725-9569-7FD3A999AB65}"/>
    <cellStyle name="Normal 4 6 5 2" xfId="1116" xr:uid="{CB2CE86B-88A2-4515-B2C9-CCFF17248E7A}"/>
    <cellStyle name="Normal 4 6 6" xfId="1042" xr:uid="{E2C77CEF-B058-4D47-965A-4CD7BB7A7658}"/>
    <cellStyle name="Normal 4 6 7" xfId="1142" xr:uid="{EC341627-5AAD-407D-A295-F52AB299E210}"/>
    <cellStyle name="Normal 4 6 8" xfId="1215" xr:uid="{C6CAD597-65BD-4C41-86F0-B6E551A3C399}"/>
    <cellStyle name="Normal 4 7" xfId="588" xr:uid="{70966DE7-CCB4-45A1-8ACB-B35E3EB84B23}"/>
    <cellStyle name="Normal 4 7 2" xfId="589" xr:uid="{26C9A3A8-E6DE-4459-B42A-BF95CAACF9D1}"/>
    <cellStyle name="Normal 4 7 2 2" xfId="975" xr:uid="{B45D5889-1B14-4665-93B5-B66A774968EE}"/>
    <cellStyle name="Normal 4 7 2 3" xfId="1078" xr:uid="{6E1171D5-8745-46AA-B23B-29E70BBBEEB2}"/>
    <cellStyle name="Normal 4 7 2 4" xfId="1183" xr:uid="{7AB68C7F-3991-403B-9AD5-338F0739B4FF}"/>
    <cellStyle name="Normal 4 7 2 5" xfId="1257" xr:uid="{32ECB4CC-C633-49DC-A88D-91880499A5F4}"/>
    <cellStyle name="Normal 4 7 3" xfId="841" xr:uid="{F3BB38CF-2008-46BB-86BA-65EBC1DB98D0}"/>
    <cellStyle name="Normal 4 7 3 2" xfId="1117" xr:uid="{050C7A2C-B7E9-4268-B901-02569B511AD0}"/>
    <cellStyle name="Normal 4 7 4" xfId="1043" xr:uid="{811A3BD4-E04F-4354-B7E4-D4D18FBE5AE3}"/>
    <cellStyle name="Normal 4 7 5" xfId="1159" xr:uid="{9C3515B5-5BEF-4AB6-BE39-02C72DC13153}"/>
    <cellStyle name="Normal 4 7 6" xfId="1233" xr:uid="{BF3F1980-05A5-45D2-9AAE-EB7570E7B77C}"/>
    <cellStyle name="Normal 4 8" xfId="590" xr:uid="{67D500F7-1C9B-4623-A970-AB0AB0DF424B}"/>
    <cellStyle name="Normal 4 8 2" xfId="591" xr:uid="{5E4B6F27-F5D3-449D-B991-061F918C0125}"/>
    <cellStyle name="Normal 4 8 2 2" xfId="987" xr:uid="{41A257F6-646B-4C06-9526-52EE4C36AA32}"/>
    <cellStyle name="Normal 4 8 2 3" xfId="1090" xr:uid="{DA5BCB1A-A40E-4760-90F9-A5A72400CDEF}"/>
    <cellStyle name="Normal 4 8 2 4" xfId="1195" xr:uid="{4C7EAB52-9F28-4CE5-9A7D-67C967A53207}"/>
    <cellStyle name="Normal 4 8 2 5" xfId="1269" xr:uid="{0528659C-9EF7-4BBB-B40C-FA559F7EA0BE}"/>
    <cellStyle name="Normal 4 8 3" xfId="941" xr:uid="{B0E78285-6699-48C3-97DD-0ED5B0FDBB7C}"/>
    <cellStyle name="Normal 4 8 3 2" xfId="1129" xr:uid="{665D0960-4C89-4F20-A5F8-D6FE5D323D39}"/>
    <cellStyle name="Normal 4 8 4" xfId="1055" xr:uid="{010850DB-C599-4759-8F3B-D9529FBC6C3F}"/>
    <cellStyle name="Normal 4 8 5" xfId="1147" xr:uid="{055CDE94-93AB-4DFC-A838-EE32BFEA2194}"/>
    <cellStyle name="Normal 4 8 6" xfId="1221" xr:uid="{C6D34096-DE87-4E49-B6C6-92FA377E3CAE}"/>
    <cellStyle name="Normal 4 9" xfId="592" xr:uid="{72833F09-7910-4F5A-BFBD-E7D0B68F554F}"/>
    <cellStyle name="Normal 4 9 2" xfId="818" xr:uid="{7F0E2EC1-54F2-43FF-A1D6-700E4A95BB2B}"/>
    <cellStyle name="Normal 4 9 3" xfId="1031" xr:uid="{CA617415-D124-46B6-8C0E-87A410808548}"/>
    <cellStyle name="Normal 4 9 4" xfId="1025" xr:uid="{CE522937-EFE2-4C81-84CF-5710A300BC5F}"/>
    <cellStyle name="Normal 4 9 5" xfId="1105" xr:uid="{B9FC1D69-6ED8-4D81-A3AC-FBE4F17E96C8}"/>
    <cellStyle name="Normal 4 9 6" xfId="1171" xr:uid="{01B42024-2F63-4048-8DE6-88557041E625}"/>
    <cellStyle name="Normal 4 9 7" xfId="1245" xr:uid="{14DE75EB-E6EA-4009-9EA6-EFD2F0CFCE74}"/>
    <cellStyle name="Normal 5" xfId="201" xr:uid="{0BCE698F-EA19-4B49-BF81-294CE4452099}"/>
    <cellStyle name="Normal 5 2" xfId="593" xr:uid="{BD44926B-7A71-4AA2-851D-C0DA836C6C60}"/>
    <cellStyle name="Normal 5 2 2" xfId="852" xr:uid="{526C7EB1-250B-4D16-B03D-45BCE80981FC}"/>
    <cellStyle name="Normal 5 3" xfId="714" xr:uid="{20993241-7B1F-48E8-A8EC-43256C2CA6EC}"/>
    <cellStyle name="Normal 6" xfId="202" xr:uid="{5E409244-A28D-4A02-B18F-3D43D7FB478F}"/>
    <cellStyle name="Normal 6 2" xfId="203" xr:uid="{BA011BA8-F81F-406D-B90D-81961DC71A59}"/>
    <cellStyle name="Normal 6 2 2" xfId="594" xr:uid="{054B03FD-CAB1-4690-B32A-BD55F34353E9}"/>
    <cellStyle name="Normal 6 2 2 2" xfId="854" xr:uid="{90EB7173-9486-40D2-B778-FBB7E62C102F}"/>
    <cellStyle name="Normal 6 2 3" xfId="715" xr:uid="{6FF32334-03D5-4B37-9410-7CFE35B6012C}"/>
    <cellStyle name="Normal 6 3" xfId="595" xr:uid="{2D07F45B-1B40-47C7-BF5D-DA87014F3F27}"/>
    <cellStyle name="Normal 6 3 2" xfId="596" xr:uid="{6DBE9E62-3E38-4F09-A63B-DB56AEBDC375}"/>
    <cellStyle name="Normal 6 3 2 2" xfId="956" xr:uid="{B5C7C635-F2F6-4083-A8A4-4DFE0147D2AA}"/>
    <cellStyle name="Normal 6 3 3" xfId="833" xr:uid="{1017A075-4BA3-4E03-9EA8-14B2FCF9034E}"/>
    <cellStyle name="Normal 6 3 4" xfId="1304" xr:uid="{E5D4F420-444D-4DF9-95AE-76124B7C835D}"/>
    <cellStyle name="Normal 6 4" xfId="597" xr:uid="{2C614A22-4286-40A1-9AD4-6183DED29129}"/>
    <cellStyle name="Normal 6 4 2" xfId="853" xr:uid="{69CFC8A7-6CCF-4413-9C93-C56C020364B3}"/>
    <cellStyle name="Normal 6 5" xfId="679" xr:uid="{3338F8C4-245E-4FB5-9304-FF7F0EF6DFBE}"/>
    <cellStyle name="Normal 6 5 2" xfId="1008" xr:uid="{29FF744C-BC96-402D-8B5A-BCD766EF2C8F}"/>
    <cellStyle name="Normal 7" xfId="204" xr:uid="{14735BF9-A628-4EDC-9006-435A67AD450F}"/>
    <cellStyle name="Normal 7 2" xfId="349" xr:uid="{4640CBFA-FB5E-4A56-833A-FD7880FB48FB}"/>
    <cellStyle name="Normal 7 2 2" xfId="598" xr:uid="{90D57221-A0C5-4C19-BE97-8BE0DD98BA4A}"/>
    <cellStyle name="Normal 7 2 2 2" xfId="917" xr:uid="{267A08BD-77D5-4E21-941C-D34F531122B2}"/>
    <cellStyle name="Normal 7 2 3" xfId="772" xr:uid="{F7F6E2BF-7DD9-46AE-9C0C-92C18DB92B1C}"/>
    <cellStyle name="Normal 7 3" xfId="599" xr:uid="{0F483E0F-245E-48D5-988E-6D3C5B0EA388}"/>
    <cellStyle name="Normal 7 3 2" xfId="600" xr:uid="{EBA4BE18-04E9-4FAA-8C4B-5D260B981C6E}"/>
    <cellStyle name="Normal 7 3 2 2" xfId="957" xr:uid="{22FF99D2-4B12-463B-9C59-411F26F5169F}"/>
    <cellStyle name="Normal 7 3 3" xfId="834" xr:uid="{531C50EC-F68D-4C25-B0FB-F79449C33F52}"/>
    <cellStyle name="Normal 7 3 4" xfId="1301" xr:uid="{083AFB38-A47D-48CA-AC9A-914E5E78B134}"/>
    <cellStyle name="Normal 7 4" xfId="601" xr:uid="{544F3F1A-486B-41E9-8660-24F33AC76ABE}"/>
    <cellStyle name="Normal 7 4 2" xfId="855" xr:uid="{F2F32ED7-5359-4723-BE37-6B9402828679}"/>
    <cellStyle name="Normal 7 5" xfId="785" xr:uid="{89A85CBB-5263-4AF8-88C6-5018DD51CD1E}"/>
    <cellStyle name="Normal 7 5 2" xfId="1010" xr:uid="{AE89F49D-9F66-4603-B407-43775AD59B28}"/>
    <cellStyle name="Normal 8" xfId="205" xr:uid="{C4A3B562-C353-43F1-B0D2-BE64440DF54D}"/>
    <cellStyle name="Normal 8 2" xfId="350" xr:uid="{24389105-8743-41A5-B408-BF3284C4BD8B}"/>
    <cellStyle name="Normal 8 2 2" xfId="602" xr:uid="{B481415B-B5A1-4464-816D-C502021135B9}"/>
    <cellStyle name="Normal 8 2 2 2" xfId="918" xr:uid="{A68A8B6B-3F82-4AF6-AD7E-1920A35917D5}"/>
    <cellStyle name="Normal 8 2 3" xfId="773" xr:uid="{B7CB92E4-8A58-4A02-ADEC-6D635F80E37E}"/>
    <cellStyle name="Normal 8 3" xfId="603" xr:uid="{7656743F-4888-4E8F-A474-B010E6B5A781}"/>
    <cellStyle name="Normal 8 3 2" xfId="604" xr:uid="{0C64A274-4EE0-478B-926C-DF5153CB1C76}"/>
    <cellStyle name="Normal 8 3 2 2" xfId="958" xr:uid="{07064A24-DC6F-4039-9F66-20015F3E91AF}"/>
    <cellStyle name="Normal 8 3 3" xfId="835" xr:uid="{3D418691-D17B-4067-B69F-410297127395}"/>
    <cellStyle name="Normal 8 4" xfId="605" xr:uid="{4EFAB2A7-8116-499E-A1D8-25DA5DADE6AA}"/>
    <cellStyle name="Normal 8 4 2" xfId="856" xr:uid="{F19FC591-8438-49A7-A618-FFF1A3BBD44A}"/>
    <cellStyle name="Normal 8 5" xfId="786" xr:uid="{135FD0DB-9E1A-46CC-8FE5-E6A4C6D4755F}"/>
    <cellStyle name="Normal 8 5 2" xfId="1011" xr:uid="{C6D5F1C0-71E9-4228-B5DF-52B8AD1D165F}"/>
    <cellStyle name="Normal 9" xfId="285" xr:uid="{8033F5F9-C265-4B11-82E4-2C554A1FB352}"/>
    <cellStyle name="Normal 9 2" xfId="360" xr:uid="{8C4BE3A3-9F76-49F3-A80B-5BFFC02199AE}"/>
    <cellStyle name="Normal 9 2 2" xfId="606" xr:uid="{22B32088-BD6A-4ED9-B431-A9E2EF2986A9}"/>
    <cellStyle name="Normal 9 2 2 2" xfId="923" xr:uid="{59AE33B2-28F0-4530-A667-C7940B727D4C}"/>
    <cellStyle name="Normal 9 2 3" xfId="778" xr:uid="{9DB8DEF3-7EA4-46FC-8C0D-A230A5A56BDD}"/>
    <cellStyle name="Normal 9 3" xfId="607" xr:uid="{A992AED9-9683-4FED-8F79-BC66FA7F5619}"/>
    <cellStyle name="Normal 9 3 2" xfId="608" xr:uid="{5E23D67A-31D6-473A-8859-1102BDC3D165}"/>
    <cellStyle name="Normal 9 3 2 2" xfId="960" xr:uid="{C3A0A352-BFBF-4961-B6F9-DDAC050D5318}"/>
    <cellStyle name="Normal 9 3 3" xfId="837" xr:uid="{6726C390-FCA2-4049-8699-54FF9565108B}"/>
    <cellStyle name="Normal 9 4" xfId="609" xr:uid="{10111CFB-F822-4982-9AFC-F94278B5140F}"/>
    <cellStyle name="Normal 9 4 2" xfId="891" xr:uid="{05E10079-1534-4F7B-BD50-EF6F3532FF3F}"/>
    <cellStyle name="Normal 9 5" xfId="1007" xr:uid="{5FB382F4-7410-4EB6-A46A-AE83CD855CB6}"/>
    <cellStyle name="Normal 9 5 2" xfId="1015" xr:uid="{31E6DA33-CEFC-4E28-A7A8-2118725C83B2}"/>
    <cellStyle name="Normal GHG Numbers (0.00)" xfId="206" xr:uid="{E5CFC2DB-B6B9-42AD-8E21-CD7F9E5609E0}"/>
    <cellStyle name="Normal GHG Textfiels Bold" xfId="207" xr:uid="{9CC42EDF-E20E-4F18-8A2E-E14A88CD52CE}"/>
    <cellStyle name="Normal GHG whole table" xfId="208" xr:uid="{C0ABFB72-F2F7-4EA0-B686-F942F1B88F1B}"/>
    <cellStyle name="Normal GHG-Shade" xfId="209" xr:uid="{3069DE55-2747-44F1-8D20-18BCC61A4A04}"/>
    <cellStyle name="Normal_Gen and Load Data ISO and States 2000-2009 (2)" xfId="87" xr:uid="{00000000-0005-0000-0000-000057000000}"/>
    <cellStyle name="Normál_Munka1" xfId="210" xr:uid="{72F58E00-6008-4250-BAF0-FC9FC476D6F0}"/>
    <cellStyle name="Note" xfId="88" builtinId="10" customBuiltin="1"/>
    <cellStyle name="Note 2" xfId="89" xr:uid="{00000000-0005-0000-0000-000059000000}"/>
    <cellStyle name="Note 2 2" xfId="610" xr:uid="{FAF752F7-BE18-40F6-8869-9BE910BCF547}"/>
    <cellStyle name="Note 2 2 2" xfId="919" xr:uid="{4037E465-7203-4DBE-BA26-7159D26D57AB}"/>
    <cellStyle name="Note 2 3" xfId="774" xr:uid="{65943E96-47E0-4D54-9F74-EBE3DB0DB220}"/>
    <cellStyle name="Note 2 4" xfId="351" xr:uid="{1F12BBAD-DF53-404F-9A6F-15E65168C27B}"/>
    <cellStyle name="Note 3" xfId="405" xr:uid="{E495D178-DD7D-4AEA-B299-B3F09C33BD4F}"/>
    <cellStyle name="Note 3 2" xfId="611" xr:uid="{1B0215D3-B792-4EE1-A4B6-847A3AAF9C2E}"/>
    <cellStyle name="Note 3 2 2" xfId="930" xr:uid="{848C3E03-BB13-4887-B36E-D825D5AC68C5}"/>
    <cellStyle name="Note 3 3" xfId="782" xr:uid="{ECEC1DA1-D250-4564-AD7D-933D73B7FAFA}"/>
    <cellStyle name="Note 4" xfId="461" xr:uid="{95A90916-E5E7-41CE-8E56-DB77142943DA}"/>
    <cellStyle name="Note 4 2" xfId="612" xr:uid="{C21FFEF1-651D-450C-805F-4175A8B24D69}"/>
    <cellStyle name="Note 4 2 2" xfId="857" xr:uid="{89E20480-29DB-4669-89A3-0923715C0723}"/>
    <cellStyle name="Note 4 3" xfId="716" xr:uid="{6A1921DB-8985-4B1F-B88D-984DFE01FD35}"/>
    <cellStyle name="Note 5" xfId="211" xr:uid="{3274A73A-159C-40C2-9B57-918EB447BD54}"/>
    <cellStyle name="Notiz" xfId="212" xr:uid="{06C7029A-B326-4302-91C1-33F4A7F36459}"/>
    <cellStyle name="Notiz 2" xfId="613" xr:uid="{54B889F7-A732-43C5-A40F-5F2AC25A1C5A}"/>
    <cellStyle name="Notiz 2 2" xfId="858" xr:uid="{53403793-AD59-4B94-AE72-376D5A47F069}"/>
    <cellStyle name="Notiz 3" xfId="717" xr:uid="{57DA3059-A6ED-4182-9703-1AED6C34D329}"/>
    <cellStyle name="Output" xfId="90" builtinId="21" customBuiltin="1"/>
    <cellStyle name="Output 2" xfId="91" xr:uid="{00000000-0005-0000-0000-00005B000000}"/>
    <cellStyle name="Output 2 2" xfId="352" xr:uid="{5314095A-2820-4BF2-8F1E-0AC91AB98529}"/>
    <cellStyle name="Output 3" xfId="406" xr:uid="{2CF8DCFB-5514-4437-854E-37A9CAE30A55}"/>
    <cellStyle name="Output 4" xfId="462" xr:uid="{77C91338-ED2B-4FD8-AB69-E42E7905C0B9}"/>
    <cellStyle name="Output 5" xfId="213" xr:uid="{C260A33D-C3C9-4F0C-8168-D66F4DD1CF38}"/>
    <cellStyle name="Pattern" xfId="214" xr:uid="{E0351151-B88B-46A5-B601-77BC44BD0971}"/>
    <cellStyle name="Percent" xfId="92" builtinId="5"/>
    <cellStyle name="Percent 10" xfId="215" xr:uid="{D15F5B27-EE76-410B-9C29-388E66BBD858}"/>
    <cellStyle name="Percent 10 2" xfId="287" xr:uid="{26268D4F-6C3F-45A1-A778-CC7EEC1C5C4E}"/>
    <cellStyle name="Percent 10 2 2" xfId="361" xr:uid="{782529B7-6550-4E0E-9672-788DAA0A96E1}"/>
    <cellStyle name="Percent 10 2 2 2" xfId="614" xr:uid="{5B42D008-59E7-4F45-9E05-11611920F416}"/>
    <cellStyle name="Percent 10 2 2 2 2" xfId="924" xr:uid="{AD39090C-CC4C-4297-9BCD-F27C4E033F48}"/>
    <cellStyle name="Percent 10 2 2 3" xfId="779" xr:uid="{893DA1B4-894E-4705-B1E1-55B6348DD84A}"/>
    <cellStyle name="Percent 10 2 3" xfId="615" xr:uid="{5D285111-56CF-49CB-823F-C76AD0962993}"/>
    <cellStyle name="Percent 10 2 3 2" xfId="616" xr:uid="{6FD7D148-D1FC-4358-AE2C-41F5BBBC7605}"/>
    <cellStyle name="Percent 10 2 3 2 2" xfId="961" xr:uid="{CC38BB5C-D2D3-4FCA-A3E4-58DE8ED8FAB5}"/>
    <cellStyle name="Percent 10 2 3 3" xfId="617" xr:uid="{1F5828C0-3563-4E6A-B321-D7A685C54AEA}"/>
    <cellStyle name="Percent 10 2 3 4" xfId="490" xr:uid="{46E45A49-27E0-4683-8EFC-4D211FE4A670}"/>
    <cellStyle name="Percent 10 2 4" xfId="618" xr:uid="{CE9E03AA-71C7-4D45-BC77-8290EA57F235}"/>
    <cellStyle name="Percent 10 2 4 2" xfId="893" xr:uid="{6D2E6DEC-C71B-470F-80DF-05803AA755C5}"/>
    <cellStyle name="Percent 10 2 5" xfId="1006" xr:uid="{6500389B-BDDD-431E-BA52-FB06BA6EBD91}"/>
    <cellStyle name="Percent 10 2 5 2" xfId="1014" xr:uid="{6D91625E-83AF-4EE2-B7AB-76FFC6346A65}"/>
    <cellStyle name="Percent 10 3" xfId="362" xr:uid="{C6E7F25C-5B34-4A7A-9DF8-D3A6FE821578}"/>
    <cellStyle name="Percent 10 3 2" xfId="619" xr:uid="{A3E2D559-CACB-4544-993C-12E9F0D19BE2}"/>
    <cellStyle name="Percent 10 3 2 2" xfId="925" xr:uid="{04C80273-D8A4-4AC8-866B-3D770F6B85DE}"/>
    <cellStyle name="Percent 10 3 3" xfId="780" xr:uid="{5C25AB2C-7039-4092-942C-A78C8BDE6FCD}"/>
    <cellStyle name="Percent 10 4" xfId="463" xr:uid="{5CDCCD0E-0AB3-45F7-B695-E6F45697054C}"/>
    <cellStyle name="Percent 10 4 2" xfId="796" xr:uid="{12F3E579-4C53-4E7D-9799-EA0DD5441C2A}"/>
    <cellStyle name="Percent 10 5" xfId="1315" xr:uid="{6AECBAFB-60B5-497E-B1B5-351D81D3F93E}"/>
    <cellStyle name="Percent 11" xfId="216" xr:uid="{36269A2E-8561-491B-BD2F-F644CF32AF64}"/>
    <cellStyle name="Percent 11 2" xfId="620" xr:uid="{8B42B1A4-8383-4862-8D48-49B69093297F}"/>
    <cellStyle name="Percent 11 2 2" xfId="859" xr:uid="{6C03F70F-3DDE-4E1F-9A53-AE4836C4DFBF}"/>
    <cellStyle name="Percent 11 3" xfId="718" xr:uid="{3ADAD4FB-F193-4E43-90E1-4EFAFD605AF2}"/>
    <cellStyle name="Percent 12" xfId="217" xr:uid="{2ACAB305-A821-4A12-ADBB-E4E1F156283C}"/>
    <cellStyle name="Percent 12 2" xfId="218" xr:uid="{4BC884E4-9F19-4740-8462-F2F05C2707E3}"/>
    <cellStyle name="Percent 12 2 2" xfId="621" xr:uid="{61B5CB20-CE83-4931-9890-567131BD9CC4}"/>
    <cellStyle name="Percent 12 2 2 2" xfId="861" xr:uid="{A6754430-BC0D-4F86-A484-1A0564903161}"/>
    <cellStyle name="Percent 12 2 3" xfId="719" xr:uid="{FD2B8940-EC0C-4F14-BEB6-D71B9F83C891}"/>
    <cellStyle name="Percent 12 3" xfId="622" xr:uid="{C748D612-D574-4D78-9604-9935461E66A2}"/>
    <cellStyle name="Percent 12 3 2" xfId="623" xr:uid="{EA0DED0A-6FCD-4527-82A9-01295D42634C}"/>
    <cellStyle name="Percent 12 3 2 2" xfId="959" xr:uid="{FC4D08BC-2412-4ED6-8F62-4BA80E9C4A0E}"/>
    <cellStyle name="Percent 12 3 3" xfId="836" xr:uid="{A9B4507D-4FA0-42BB-AD1D-8782A865504F}"/>
    <cellStyle name="Percent 12 3 4" xfId="488" xr:uid="{74ABC049-25B6-468F-A1EE-F464F1B281BF}"/>
    <cellStyle name="Percent 12 4" xfId="624" xr:uid="{0B50E53F-D6EE-428A-9D66-6DCDF07DE5C3}"/>
    <cellStyle name="Percent 12 4 2" xfId="860" xr:uid="{7F886D82-D7A8-4BC9-A9DC-FD44E48DBD5E}"/>
    <cellStyle name="Percent 12 5" xfId="680" xr:uid="{AD3F2064-6B3A-4C24-A8D5-32413641881C}"/>
    <cellStyle name="Percent 12 5 2" xfId="1009" xr:uid="{C610D73C-1591-4311-BD7A-7FE0A3391ADF}"/>
    <cellStyle name="Percent 13" xfId="625" xr:uid="{96216853-51B1-47F4-89DE-05A4982B059E}"/>
    <cellStyle name="Percent 13 2" xfId="626" xr:uid="{5CC3AC95-A59E-4F0F-B1CE-DFBEA22D5485}"/>
    <cellStyle name="Percent 13 2 2" xfId="954" xr:uid="{39A8E686-CB46-4AAD-9A26-A776DC8D10C4}"/>
    <cellStyle name="Percent 13 3" xfId="831" xr:uid="{4E07454E-88C4-4F62-A2EC-FF83D53ADCF8}"/>
    <cellStyle name="Percent 2" xfId="93" xr:uid="{00000000-0005-0000-0000-00005D000000}"/>
    <cellStyle name="Percent 2 2" xfId="220" xr:uid="{143C110A-9157-4038-8B08-DA64FE61DB46}"/>
    <cellStyle name="Percent 2 2 2" xfId="627" xr:uid="{9AC88D69-9C83-4FB4-95B9-ABA9E4519BC1}"/>
    <cellStyle name="Percent 2 2 2 2" xfId="862" xr:uid="{7217B5B1-06D8-4AD0-BABE-C98F429B50D9}"/>
    <cellStyle name="Percent 2 2 3" xfId="720" xr:uid="{C2F06017-6785-4F38-B26A-0937B89EAB99}"/>
    <cellStyle name="Percent 2 3" xfId="465" xr:uid="{7C826813-FF12-4FFE-8A0D-13BB52B8680A}"/>
    <cellStyle name="Percent 2 3 2" xfId="797" xr:uid="{A5C3762A-5C71-488A-AF00-DB6F75F9921A}"/>
    <cellStyle name="Percent 2 4" xfId="689" xr:uid="{C652411A-A7EF-45BB-A33C-AAF42B739D6F}"/>
    <cellStyle name="Percent 2 5" xfId="219" xr:uid="{68FD3111-3400-4E13-A4F1-FA2D721739C0}"/>
    <cellStyle name="Percent 3" xfId="94" xr:uid="{00000000-0005-0000-0000-00005E000000}"/>
    <cellStyle name="Percent 3 2" xfId="222" xr:uid="{5D1E2519-F12D-4223-8E2B-B9AABE8E7826}"/>
    <cellStyle name="Percent 3 2 2" xfId="296" xr:uid="{5F3179A0-D388-47C9-B1BD-84DA83A3B202}"/>
    <cellStyle name="Percent 3 2 2 2" xfId="628" xr:uid="{0A27010C-EEED-4C75-8267-1CDDC0639E1B}"/>
    <cellStyle name="Percent 3 2 2 2 2" xfId="901" xr:uid="{99321FBA-83F9-4D65-96E4-7411DC89CBFC}"/>
    <cellStyle name="Percent 3 2 2 3" xfId="756" xr:uid="{125FCEE3-9CB1-4E75-9F0E-76D6BF90862A}"/>
    <cellStyle name="Percent 3 2 3" xfId="467" xr:uid="{BB6F4A5A-7481-47A9-9C2B-9CF94414C1BF}"/>
    <cellStyle name="Percent 3 2 3 2" xfId="799" xr:uid="{0E415ED1-43E3-4E47-9128-39994BFABFC9}"/>
    <cellStyle name="Percent 3 2 4" xfId="691" xr:uid="{45FACFDE-7FEC-46F8-95B7-FA6C49F2F220}"/>
    <cellStyle name="Percent 3 3" xfId="295" xr:uid="{2D506158-99E9-4DF2-B3BB-CA1B579C0A64}"/>
    <cellStyle name="Percent 3 3 2" xfId="629" xr:uid="{C6EB6580-56A7-4EE1-B0FB-BF34AA79DBFA}"/>
    <cellStyle name="Percent 3 3 2 2" xfId="900" xr:uid="{2617F31F-55B9-41DA-9B43-03DA3B9C6BE4}"/>
    <cellStyle name="Percent 3 3 3" xfId="755" xr:uid="{2967B640-DD6C-4300-9ACC-699076554953}"/>
    <cellStyle name="Percent 3 4" xfId="466" xr:uid="{FD51ED3D-B7E7-4444-B353-2CAC6EF9C019}"/>
    <cellStyle name="Percent 3 4 2" xfId="798" xr:uid="{4AB26557-1EBC-4E3A-8F86-CB8B52060138}"/>
    <cellStyle name="Percent 3 5" xfId="690" xr:uid="{9E53A7D1-B99C-419F-BEEF-AC615AC43210}"/>
    <cellStyle name="Percent 3 6" xfId="221" xr:uid="{F809C3B3-BDE6-4FDC-A487-F58F257B6220}"/>
    <cellStyle name="Percent 4" xfId="223" xr:uid="{A1639537-ADA6-4365-B12E-3ED85169C2B3}"/>
    <cellStyle name="Percent 4 2" xfId="224" xr:uid="{84B42F49-BEED-4C4C-8A88-649433CF15C7}"/>
    <cellStyle name="Percent 4 2 2" xfId="298" xr:uid="{83123890-251D-445F-A228-3BF4801516CA}"/>
    <cellStyle name="Percent 4 2 2 2" xfId="630" xr:uid="{08A8BEA5-0105-43F5-9DE4-8F2291EC031C}"/>
    <cellStyle name="Percent 4 2 2 2 2" xfId="903" xr:uid="{8643C225-5C10-47A3-99B8-CAD3C8EA8723}"/>
    <cellStyle name="Percent 4 2 2 3" xfId="758" xr:uid="{E6848866-759C-44BF-8F85-831501F47175}"/>
    <cellStyle name="Percent 4 2 3" xfId="469" xr:uid="{BB1E8708-B281-4734-86B0-846F92BA3C75}"/>
    <cellStyle name="Percent 4 2 3 2" xfId="801" xr:uid="{BCD9267C-AEAD-4E76-B10B-213716655B14}"/>
    <cellStyle name="Percent 4 2 4" xfId="693" xr:uid="{D09BE6ED-00C7-4269-8FD6-071630BB685F}"/>
    <cellStyle name="Percent 4 3" xfId="297" xr:uid="{E892C372-2D8F-49E1-9371-BD8FDCC64857}"/>
    <cellStyle name="Percent 4 3 2" xfId="631" xr:uid="{45B7284C-CE50-4C97-8AB2-7FD9BD725AA4}"/>
    <cellStyle name="Percent 4 3 2 2" xfId="902" xr:uid="{CF50C35B-B2A6-4DFE-A0C7-86A1BC6EB674}"/>
    <cellStyle name="Percent 4 3 3" xfId="757" xr:uid="{56AD1792-9ED5-46A9-9025-4B476ACB4745}"/>
    <cellStyle name="Percent 4 4" xfId="468" xr:uid="{C0A20870-2F36-4F6F-8552-56C9D060B6A9}"/>
    <cellStyle name="Percent 4 4 2" xfId="800" xr:uid="{B2A6A510-3263-403F-8927-8EF544321D93}"/>
    <cellStyle name="Percent 4 5" xfId="692" xr:uid="{E6B42968-54CF-425E-9A81-C01D4CCF9BA1}"/>
    <cellStyle name="Percent 5" xfId="225" xr:uid="{E09DD469-F489-490B-93DC-148BDB01E071}"/>
    <cellStyle name="Percent 5 2" xfId="226" xr:uid="{EECCBB30-FED9-4F59-A6BF-802D83F551EB}"/>
    <cellStyle name="Percent 5 2 2" xfId="300" xr:uid="{75103654-1C42-4696-9ECC-251D1C141016}"/>
    <cellStyle name="Percent 5 2 2 2" xfId="632" xr:uid="{63A2E985-83F6-4E19-986B-A2A1C28E7952}"/>
    <cellStyle name="Percent 5 2 2 2 2" xfId="905" xr:uid="{94A5B80D-38D7-49C8-8391-AB3482D7CB3A}"/>
    <cellStyle name="Percent 5 2 2 3" xfId="760" xr:uid="{668D257A-CD8B-43A4-9DFD-26E91E19871E}"/>
    <cellStyle name="Percent 5 2 3" xfId="471" xr:uid="{52D1A7ED-BC2A-4D15-B824-53370EC44FF2}"/>
    <cellStyle name="Percent 5 2 3 2" xfId="803" xr:uid="{F11478F1-7B2B-4BAA-9CC1-3C0F3FE86858}"/>
    <cellStyle name="Percent 5 2 4" xfId="695" xr:uid="{DEA25019-4E89-4A32-B5E3-82943C6E1616}"/>
    <cellStyle name="Percent 5 3" xfId="299" xr:uid="{796D6904-3A23-4E26-B332-57C6EB27DB79}"/>
    <cellStyle name="Percent 5 3 2" xfId="633" xr:uid="{5EA3C956-8F75-4687-A592-9FDAA5222CC6}"/>
    <cellStyle name="Percent 5 3 2 2" xfId="904" xr:uid="{318C7E8B-E0B9-47D1-9F8F-EAF1F09E4AC5}"/>
    <cellStyle name="Percent 5 3 3" xfId="759" xr:uid="{D56891F2-319D-43DE-AD07-F9E491A3C39B}"/>
    <cellStyle name="Percent 5 4" xfId="470" xr:uid="{670EB9E4-F9CE-4101-94C3-E61823F051CE}"/>
    <cellStyle name="Percent 5 4 2" xfId="802" xr:uid="{E16994EC-A126-42B1-95FA-E3881B75C3D2}"/>
    <cellStyle name="Percent 5 5" xfId="694" xr:uid="{45D06E7F-4DD4-4DDD-AA56-9AD3E90667AE}"/>
    <cellStyle name="Percent 6" xfId="227" xr:uid="{4491FF52-876E-4F70-BBB9-E0272FEA6CD0}"/>
    <cellStyle name="Percent 6 2" xfId="228" xr:uid="{A0ED9138-EBD0-4F15-A4E8-9FFA97E691B5}"/>
    <cellStyle name="Percent 6 2 2" xfId="302" xr:uid="{06BDA1CC-6E48-4DD2-8AC3-DE8378DA9AAF}"/>
    <cellStyle name="Percent 6 2 2 2" xfId="634" xr:uid="{7FFDF279-359B-4C88-BFA4-16B63F68703F}"/>
    <cellStyle name="Percent 6 2 2 2 2" xfId="907" xr:uid="{136F6C23-F977-4304-9D40-BE66076D7077}"/>
    <cellStyle name="Percent 6 2 2 3" xfId="762" xr:uid="{40C15FF0-96FC-476E-BA84-0161BB16009B}"/>
    <cellStyle name="Percent 6 2 3" xfId="473" xr:uid="{DC704D2F-A435-4BCA-9746-F6F4686214FA}"/>
    <cellStyle name="Percent 6 2 3 2" xfId="805" xr:uid="{DD0EC07C-F9C8-4FA5-95DD-A0D507472938}"/>
    <cellStyle name="Percent 6 2 4" xfId="697" xr:uid="{0A42FAF8-85EE-4768-BCCD-FF7CBFB369B5}"/>
    <cellStyle name="Percent 6 3" xfId="301" xr:uid="{71B7E328-8D36-4802-ABAF-4213B23713D9}"/>
    <cellStyle name="Percent 6 3 2" xfId="635" xr:uid="{9AFAAE22-FA85-44F7-A14A-4158E5F9DFF0}"/>
    <cellStyle name="Percent 6 3 2 2" xfId="906" xr:uid="{4BEAE948-AC9A-4314-9A6B-E6AB83D9C121}"/>
    <cellStyle name="Percent 6 3 3" xfId="761" xr:uid="{1D36138A-C0C3-4A01-B37D-C9C36044D035}"/>
    <cellStyle name="Percent 6 4" xfId="472" xr:uid="{36769161-83D9-4191-B78B-0F458530A8D2}"/>
    <cellStyle name="Percent 6 4 2" xfId="804" xr:uid="{98ACE846-BC57-46B8-BDEB-0877E6F1A9B6}"/>
    <cellStyle name="Percent 6 5" xfId="696" xr:uid="{A3E32708-83E6-4DEB-85D7-BA327DFEE8B7}"/>
    <cellStyle name="Percent 7" xfId="229" xr:uid="{7AEB7763-369E-4751-AAA0-66687C271E6D}"/>
    <cellStyle name="Percent 7 2" xfId="230" xr:uid="{4D157F68-435D-4E5A-8B45-21138C3EBDBF}"/>
    <cellStyle name="Percent 7 2 2" xfId="304" xr:uid="{B9950B28-122E-43EA-94B2-F3CB3EA72EBD}"/>
    <cellStyle name="Percent 7 2 2 2" xfId="636" xr:uid="{05433FCB-B725-411A-9F71-630238227D59}"/>
    <cellStyle name="Percent 7 2 2 2 2" xfId="909" xr:uid="{3A20AE66-1889-40E6-806E-50C6AFD730AD}"/>
    <cellStyle name="Percent 7 2 2 3" xfId="764" xr:uid="{6D4B7F92-71BB-45DF-A3B8-A78FB064315A}"/>
    <cellStyle name="Percent 7 2 3" xfId="475" xr:uid="{B5272486-C54A-4D43-98AE-1337CB652CC6}"/>
    <cellStyle name="Percent 7 2 3 2" xfId="807" xr:uid="{08C3FFBC-DA09-4D60-B334-3A4ED32AF2C1}"/>
    <cellStyle name="Percent 7 2 4" xfId="699" xr:uid="{56FA7361-7583-4EBF-9CF6-2EBB852F638B}"/>
    <cellStyle name="Percent 7 3" xfId="231" xr:uid="{6654CD63-0999-442F-AE77-472E02A8F0AC}"/>
    <cellStyle name="Percent 7 3 2" xfId="305" xr:uid="{68655C4A-3BA8-4272-973D-1584208ADE56}"/>
    <cellStyle name="Percent 7 3 2 2" xfId="637" xr:uid="{AB27D72A-A80F-4184-B81A-BDC31780110A}"/>
    <cellStyle name="Percent 7 3 2 2 2" xfId="910" xr:uid="{11FB61B5-E252-480D-A3BE-190CA9018D08}"/>
    <cellStyle name="Percent 7 3 2 3" xfId="765" xr:uid="{FFD7CE7F-10BE-4A60-85C8-54792849C5A0}"/>
    <cellStyle name="Percent 7 3 3" xfId="476" xr:uid="{E18D8342-9E8D-4552-8216-B3F813D7AB6D}"/>
    <cellStyle name="Percent 7 3 3 2" xfId="808" xr:uid="{9134016B-BC79-4664-A47B-4640BFC52942}"/>
    <cellStyle name="Percent 7 3 4" xfId="700" xr:uid="{43730FA6-6280-4004-9274-6991A6A39B1B}"/>
    <cellStyle name="Percent 7 4" xfId="232" xr:uid="{023BF23B-84FA-4EA1-BB7E-F61F3AB526A9}"/>
    <cellStyle name="Percent 7 4 2" xfId="353" xr:uid="{EBCC5E20-E1D9-4C1F-98C4-64B8773087F2}"/>
    <cellStyle name="Percent 7 4 2 2" xfId="638" xr:uid="{5EAA417C-4C14-4015-8325-13731C8DCDC9}"/>
    <cellStyle name="Percent 7 4 2 2 2" xfId="920" xr:uid="{C55B1602-719D-4F84-A9F8-4721CF6DB98E}"/>
    <cellStyle name="Percent 7 4 2 3" xfId="775" xr:uid="{3391815D-D2D8-40B5-B429-5AA2B2D6F918}"/>
    <cellStyle name="Percent 7 4 3" xfId="639" xr:uid="{499078B8-502C-4987-9BED-DD6E21ADD4AF}"/>
    <cellStyle name="Percent 7 4 3 2" xfId="863" xr:uid="{D40CEBB9-B611-4F6B-9B17-4AA79F94B7D6}"/>
    <cellStyle name="Percent 7 4 4" xfId="721" xr:uid="{834A0B96-18DE-45F1-89B3-C5AFEC99D217}"/>
    <cellStyle name="Percent 7 5" xfId="303" xr:uid="{FD2390A0-382B-4315-9DAD-51B286450BEB}"/>
    <cellStyle name="Percent 7 5 2" xfId="640" xr:uid="{D4C2B531-E080-4BCE-946B-50C6B4D23B8A}"/>
    <cellStyle name="Percent 7 5 2 2" xfId="908" xr:uid="{C07AB417-2085-42F9-9F20-805261BAE027}"/>
    <cellStyle name="Percent 7 5 3" xfId="763" xr:uid="{BBA9E212-4F0F-4B95-89EC-8F4F81885F4A}"/>
    <cellStyle name="Percent 7 6" xfId="474" xr:uid="{82B27CEB-22EA-4B95-870F-3BBA3D091243}"/>
    <cellStyle name="Percent 7 6 2" xfId="806" xr:uid="{3C39FA87-A4CF-4885-8F83-E4F6E7F66596}"/>
    <cellStyle name="Percent 7 7" xfId="698" xr:uid="{334B99F9-5040-454A-85B3-353DE2A79153}"/>
    <cellStyle name="Percent 8" xfId="233" xr:uid="{3017CEDB-B2EA-4CA9-A6B4-080BF518CEEB}"/>
    <cellStyle name="Percent 8 2" xfId="234" xr:uid="{5693C3C6-BB2E-41DE-89B1-78DA446446B1}"/>
    <cellStyle name="Percent 8 2 2" xfId="307" xr:uid="{C472BC0A-65D2-4C27-BF14-29019A9CCEB4}"/>
    <cellStyle name="Percent 8 2 2 2" xfId="641" xr:uid="{A550ECCE-B967-4FF0-9AB2-FEEBE84D0CC9}"/>
    <cellStyle name="Percent 8 2 2 2 2" xfId="912" xr:uid="{724C76D5-9D56-46A7-B5FF-44B6EE1A3553}"/>
    <cellStyle name="Percent 8 2 2 3" xfId="767" xr:uid="{0DB061B9-54DB-4570-8422-1005A9ACD0AF}"/>
    <cellStyle name="Percent 8 2 3" xfId="478" xr:uid="{8F6E4844-8195-4400-A8D5-FDB82E5FF05F}"/>
    <cellStyle name="Percent 8 2 3 2" xfId="810" xr:uid="{B62B65D4-4C76-4F81-AE52-8E2BC67001AE}"/>
    <cellStyle name="Percent 8 2 4" xfId="702" xr:uid="{DC35BCA3-BDFE-4D04-A99E-31BB6C9D893C}"/>
    <cellStyle name="Percent 8 3" xfId="235" xr:uid="{8E8A3EA0-A18B-4C04-A972-C59FD2A78D5D}"/>
    <cellStyle name="Percent 8 3 2" xfId="308" xr:uid="{6A55240F-9E3B-476E-83B1-3E24310E7145}"/>
    <cellStyle name="Percent 8 3 2 2" xfId="642" xr:uid="{A2230226-1852-4042-882E-7B2505FDF7C3}"/>
    <cellStyle name="Percent 8 3 2 2 2" xfId="913" xr:uid="{7963149C-A971-4322-9365-A76793420606}"/>
    <cellStyle name="Percent 8 3 2 3" xfId="768" xr:uid="{AAF35818-37E8-44AB-8582-2790B8ED0907}"/>
    <cellStyle name="Percent 8 3 3" xfId="479" xr:uid="{337682CB-F6CA-4EB8-BF0A-0E24A42FAD29}"/>
    <cellStyle name="Percent 8 3 3 2" xfId="811" xr:uid="{9CFDDE3D-3FC2-4B8E-BB34-BEDDA5F78DBB}"/>
    <cellStyle name="Percent 8 3 4" xfId="703" xr:uid="{D1A54CAD-0FF9-4DE6-8582-7BF290E9BFAC}"/>
    <cellStyle name="Percent 8 4" xfId="236" xr:uid="{144F6116-9958-4B56-B5C8-B7A09AB844E0}"/>
    <cellStyle name="Percent 8 4 2" xfId="309" xr:uid="{70CAFC98-C0A5-41D6-8D7E-AFD31F32C5FF}"/>
    <cellStyle name="Percent 8 4 2 2" xfId="643" xr:uid="{C24353AA-891D-4AB2-9012-31CADDD2FB44}"/>
    <cellStyle name="Percent 8 4 2 2 2" xfId="914" xr:uid="{91907BA4-EF56-4DC8-996C-10E7F25E5F33}"/>
    <cellStyle name="Percent 8 4 2 3" xfId="769" xr:uid="{B1845EC3-53B1-4D29-9CD1-1B6F87F449F3}"/>
    <cellStyle name="Percent 8 4 3" xfId="480" xr:uid="{4242EE6C-7AAA-44B4-8078-600D511582CA}"/>
    <cellStyle name="Percent 8 4 3 2" xfId="812" xr:uid="{992A1027-B352-4250-ADA2-780A99CA316D}"/>
    <cellStyle name="Percent 8 4 4" xfId="704" xr:uid="{533C67F5-40DA-46DA-9701-C8CFE7EA6192}"/>
    <cellStyle name="Percent 8 5" xfId="237" xr:uid="{C5BDEC01-6CB3-449C-B996-F9C20CBD0EE5}"/>
    <cellStyle name="Percent 8 5 2" xfId="354" xr:uid="{5F8180E5-CA0D-46F9-A5DE-0DB6CFB4349A}"/>
    <cellStyle name="Percent 8 5 2 2" xfId="644" xr:uid="{9CD08805-0512-4550-999C-31D36B93129C}"/>
    <cellStyle name="Percent 8 5 2 2 2" xfId="921" xr:uid="{A6E88D3E-6CAC-45A8-876C-A5DE309E0090}"/>
    <cellStyle name="Percent 8 5 2 3" xfId="776" xr:uid="{BE05755D-FAA5-4E0D-8946-4452D50AFE0B}"/>
    <cellStyle name="Percent 8 5 3" xfId="645" xr:uid="{63DF4862-67BB-41BD-B2B6-63EEFED7712A}"/>
    <cellStyle name="Percent 8 5 3 2" xfId="864" xr:uid="{9E42FF5F-473F-4EE6-A080-462952E88415}"/>
    <cellStyle name="Percent 8 5 4" xfId="722" xr:uid="{F144D43A-0932-4827-8F00-75C181D2C9A3}"/>
    <cellStyle name="Percent 8 6" xfId="306" xr:uid="{86A8DF2B-B7D6-4DA6-9D69-44FE4923640F}"/>
    <cellStyle name="Percent 8 6 2" xfId="646" xr:uid="{F97177A6-5EBC-4659-9615-8EA5FA17A190}"/>
    <cellStyle name="Percent 8 6 2 2" xfId="911" xr:uid="{8FEA5FE1-5D6A-41EC-BD39-1571A77FF212}"/>
    <cellStyle name="Percent 8 6 3" xfId="766" xr:uid="{7F62B568-931F-41C6-901A-AFB490269771}"/>
    <cellStyle name="Percent 8 7" xfId="477" xr:uid="{6A3E3326-D079-4347-A3A7-712D18BECA39}"/>
    <cellStyle name="Percent 8 7 2" xfId="809" xr:uid="{321B7CAD-FDE0-43C2-B978-6F4579DDDA90}"/>
    <cellStyle name="Percent 8 8" xfId="701" xr:uid="{F69E74DB-B866-4622-9E23-417B89BBB169}"/>
    <cellStyle name="Percent 9" xfId="238" xr:uid="{AA2FDF1C-47E7-4B88-89E8-0F0A1943A009}"/>
    <cellStyle name="Percent 9 2" xfId="239" xr:uid="{D725761A-54BA-4A7D-86D4-BC7FFEF30EDC}"/>
    <cellStyle name="Percent 9 2 2" xfId="363" xr:uid="{DFBF51C4-3F1C-4632-966A-E38F3EF89BA9}"/>
    <cellStyle name="Percent 9 2 2 2" xfId="647" xr:uid="{FCA4B8A4-D862-403A-A8A4-D9A521858528}"/>
    <cellStyle name="Percent 9 2 2 2 2" xfId="926" xr:uid="{B9312E5E-E458-4EBC-A52C-4490486E1658}"/>
    <cellStyle name="Percent 9 2 2 3" xfId="781" xr:uid="{6B2BC296-9C6E-42A1-BCDB-645AB048E124}"/>
    <cellStyle name="Percent 9 2 3" xfId="482" xr:uid="{A9636CED-3115-4E1C-8448-2AE0315A4013}"/>
    <cellStyle name="Percent 9 2 3 2" xfId="814" xr:uid="{72A78FBE-CF7A-48F2-9A2C-F7E4B8A66058}"/>
    <cellStyle name="Percent 9 2 4" xfId="706" xr:uid="{45BA8848-CDBB-4FCD-84E2-00ED07F297CB}"/>
    <cellStyle name="Percent 9 3" xfId="310" xr:uid="{08EC96BD-B7F7-43EC-AB03-986636F9B283}"/>
    <cellStyle name="Percent 9 3 2" xfId="648" xr:uid="{1473CC93-EE06-4BEC-B481-4DCC36861C0E}"/>
    <cellStyle name="Percent 9 3 2 2" xfId="915" xr:uid="{5BB4BD46-C3AA-4B1A-9827-78517A4C8BE9}"/>
    <cellStyle name="Percent 9 3 3" xfId="770" xr:uid="{FA45D542-BEB9-42E4-9F38-526BF98AA656}"/>
    <cellStyle name="Percent 9 4" xfId="481" xr:uid="{BFA09D7E-8919-4CF1-A209-439C0DECE238}"/>
    <cellStyle name="Percent 9 4 2" xfId="649" xr:uid="{38E5047B-F44F-4369-B9EC-4723860DE60B}"/>
    <cellStyle name="Percent 9 4 2 2" xfId="935" xr:uid="{D9874E88-DEB8-4538-990E-550896C05523}"/>
    <cellStyle name="Percent 9 4 3" xfId="813" xr:uid="{7BF091F2-A238-4386-AB25-283496BA277E}"/>
    <cellStyle name="Percent 9 5" xfId="650" xr:uid="{D4D39020-6AB4-44F2-A710-6B1D18FAF6A8}"/>
    <cellStyle name="Percent 9 5 2" xfId="842" xr:uid="{8FB0D8C4-64BA-4B94-8C94-E89926951901}"/>
    <cellStyle name="Percent 9 6" xfId="705" xr:uid="{B4E702A3-B194-4C91-A3CF-862A59C1C7CB}"/>
    <cellStyle name="RISKbigPercent" xfId="240" xr:uid="{EABB7237-6BC8-4016-9FB0-BC41AA48075E}"/>
    <cellStyle name="RISKbigPercent 2" xfId="651" xr:uid="{1639D271-1126-4156-B147-4ACDF38C2E81}"/>
    <cellStyle name="RISKbigPercent 2 2" xfId="865" xr:uid="{AC20D4CD-DD64-4C09-9C8B-4AC9F3FCD285}"/>
    <cellStyle name="RISKbigPercent 3" xfId="723" xr:uid="{6912AD29-18B3-4B29-B8AD-3905079CAC75}"/>
    <cellStyle name="RISKblandrEdge" xfId="241" xr:uid="{A864CC58-0443-4C66-A98E-32895759B61D}"/>
    <cellStyle name="RISKblandrEdge 2" xfId="652" xr:uid="{A02C4B8E-41B7-4840-9FED-F775E9C1BFA1}"/>
    <cellStyle name="RISKblandrEdge 2 2" xfId="866" xr:uid="{E90879CC-E6FC-45ED-9FC6-B62CAE6D6FF3}"/>
    <cellStyle name="RISKblandrEdge 3" xfId="724" xr:uid="{9E6A095A-D9D2-4998-8CC5-FA9987D37598}"/>
    <cellStyle name="RISKblCorner" xfId="242" xr:uid="{24A01088-EA43-42EE-ACA5-3CDEC6B0C70D}"/>
    <cellStyle name="RISKblCorner 2" xfId="653" xr:uid="{9D313A32-CA0E-4F7F-8B01-4767C9C56C81}"/>
    <cellStyle name="RISKblCorner 2 2" xfId="867" xr:uid="{34934E75-E762-4596-B8D8-07F0C1404226}"/>
    <cellStyle name="RISKblCorner 3" xfId="725" xr:uid="{41FE993B-4B87-4D59-8B7B-618527B66FE8}"/>
    <cellStyle name="RISKbottomEdge" xfId="243" xr:uid="{D65FE98B-3C52-43CA-AB96-B963B066CC00}"/>
    <cellStyle name="RISKbottomEdge 2" xfId="654" xr:uid="{7F992336-D632-4E7F-AC76-73938FAF5E77}"/>
    <cellStyle name="RISKbottomEdge 2 2" xfId="868" xr:uid="{1A5152E2-6DAB-4FDC-9815-118EAD9890BB}"/>
    <cellStyle name="RISKbottomEdge 3" xfId="726" xr:uid="{11E3BF5B-B530-43E1-98B1-2FE98E1DE6CD}"/>
    <cellStyle name="RISKbrCorner" xfId="244" xr:uid="{EDA479BD-855B-4DB8-A9F3-C270BAF62418}"/>
    <cellStyle name="RISKbrCorner 2" xfId="655" xr:uid="{B56BBB08-8DE2-476B-935D-1F6F1EDC46AF}"/>
    <cellStyle name="RISKbrCorner 2 2" xfId="869" xr:uid="{B78C3D34-32E2-4CC8-B05D-1D156C62DE90}"/>
    <cellStyle name="RISKbrCorner 3" xfId="727" xr:uid="{0D5667AB-A4B7-47DB-A9BD-C3C2A18DD290}"/>
    <cellStyle name="RISKdarkBoxed" xfId="245" xr:uid="{0CE415FC-CB85-43D8-930C-00B1FC39A8B5}"/>
    <cellStyle name="RISKdarkBoxed 2" xfId="656" xr:uid="{DBDD03A5-1D3B-443D-BB00-078A600BE60D}"/>
    <cellStyle name="RISKdarkBoxed 2 2" xfId="870" xr:uid="{59C25C70-B29B-41BF-8EE3-318E8F94A290}"/>
    <cellStyle name="RISKdarkBoxed 3" xfId="728" xr:uid="{A1FF58F1-15DE-4FB4-A9CB-7034BD54FBF4}"/>
    <cellStyle name="RISKdarkShade" xfId="246" xr:uid="{A2961DFF-80BD-4E95-A422-61656554C124}"/>
    <cellStyle name="RISKdarkShade 2" xfId="657" xr:uid="{DB5DC80F-606D-4A09-A970-7F69E67DE7E6}"/>
    <cellStyle name="RISKdarkShade 2 2" xfId="871" xr:uid="{2C466380-C091-48A6-99A0-48D6E63E2E8B}"/>
    <cellStyle name="RISKdarkShade 3" xfId="729" xr:uid="{9461C213-107A-42D1-964A-384EC18C9C80}"/>
    <cellStyle name="RISKdbottomEdge" xfId="247" xr:uid="{1447E990-44DA-44A9-84D6-F539456FB57A}"/>
    <cellStyle name="RISKdbottomEdge 2" xfId="658" xr:uid="{3FD9F175-5FE9-41C1-88EA-89BF742783CC}"/>
    <cellStyle name="RISKdbottomEdge 2 2" xfId="872" xr:uid="{8939D0A1-F487-445A-8EB7-137B5D2C496E}"/>
    <cellStyle name="RISKdbottomEdge 3" xfId="730" xr:uid="{7A32E32C-4C30-43FC-BD56-73C6922EC79D}"/>
    <cellStyle name="RISKdrightEdge" xfId="248" xr:uid="{61013178-8F87-4D9B-9638-B1408AF8B2A3}"/>
    <cellStyle name="RISKdrightEdge 2" xfId="659" xr:uid="{326221F8-2E57-43DC-9542-5CE3A6D9959E}"/>
    <cellStyle name="RISKdrightEdge 2 2" xfId="873" xr:uid="{5321EAEC-E8C7-4AC7-AB6D-5F2B3DB683FE}"/>
    <cellStyle name="RISKdrightEdge 3" xfId="731" xr:uid="{F794F267-4440-4AC9-8607-F086E8E45246}"/>
    <cellStyle name="RISKdurationTime" xfId="249" xr:uid="{A508B50D-A35F-487A-B3E3-11DC4B8251D5}"/>
    <cellStyle name="RISKdurationTime 2" xfId="660" xr:uid="{85F0A18A-C61F-409E-97B7-7C2FBAC62B2B}"/>
    <cellStyle name="RISKdurationTime 2 2" xfId="874" xr:uid="{46EE8018-C68A-46A2-8AAA-03E2EFFB4EAA}"/>
    <cellStyle name="RISKdurationTime 3" xfId="732" xr:uid="{2FD1D6CC-0330-407F-8F46-8566B5D16149}"/>
    <cellStyle name="RISKinNumber" xfId="250" xr:uid="{24B3CC9E-76C8-4435-9DC5-2041A484A093}"/>
    <cellStyle name="RISKinNumber 2" xfId="355" xr:uid="{6F1897A2-E153-4CC2-BFFF-225D5B9EFECF}"/>
    <cellStyle name="RISKlandrEdge" xfId="251" xr:uid="{92B49D15-0694-4A7D-BD8C-8BF34FC213D1}"/>
    <cellStyle name="RISKlandrEdge 2" xfId="661" xr:uid="{58F5DEE0-61C2-448E-80C5-39109C09FD4F}"/>
    <cellStyle name="RISKlandrEdge 2 2" xfId="875" xr:uid="{4C2ACC5D-16B7-48DF-8413-73ECC4726480}"/>
    <cellStyle name="RISKlandrEdge 3" xfId="733" xr:uid="{BF99144D-6508-4CCF-868A-3CF735BC6DE8}"/>
    <cellStyle name="RISKleftEdge" xfId="252" xr:uid="{24E071DD-5834-43BD-A4DA-D64FACC8B6C2}"/>
    <cellStyle name="RISKleftEdge 2" xfId="662" xr:uid="{FE653F77-E5FB-42EC-ADC8-B83C556806EB}"/>
    <cellStyle name="RISKleftEdge 2 2" xfId="876" xr:uid="{E15E00F6-8A2A-4E7E-8C57-C1A78152B246}"/>
    <cellStyle name="RISKleftEdge 3" xfId="734" xr:uid="{B2D9D8BD-5962-42A9-80B1-7A977CD5E0F1}"/>
    <cellStyle name="RISKlightBoxed" xfId="253" xr:uid="{07E5A598-303E-4036-8532-22DE09B3B0C6}"/>
    <cellStyle name="RISKlightBoxed 2" xfId="663" xr:uid="{E78A5965-43E5-4DD5-BFB5-6D28647758C5}"/>
    <cellStyle name="RISKlightBoxed 2 2" xfId="877" xr:uid="{C5F4A576-624B-4F0D-87B8-BF7D264027E2}"/>
    <cellStyle name="RISKlightBoxed 3" xfId="735" xr:uid="{CACFAFD6-8DDA-4313-8F1F-200D791806F9}"/>
    <cellStyle name="RISKltandbEdge" xfId="254" xr:uid="{18A2BBEA-5C6E-454C-BC08-14C72CB423C3}"/>
    <cellStyle name="RISKltandbEdge 2" xfId="664" xr:uid="{5E9D012A-4FEF-4A00-8FF7-E5F0463FA87F}"/>
    <cellStyle name="RISKltandbEdge 2 2" xfId="878" xr:uid="{B5FCD9EC-54D3-4D5D-B549-C92AA43BCFB6}"/>
    <cellStyle name="RISKltandbEdge 3" xfId="736" xr:uid="{A129FC46-8D01-45C6-8E73-29FFBA58BB18}"/>
    <cellStyle name="RISKnormBoxed" xfId="255" xr:uid="{7FE9CCDE-2662-4D46-A56C-56D2A3F02AE3}"/>
    <cellStyle name="RISKnormBoxed 2" xfId="665" xr:uid="{5292E0D6-938D-4407-BAB5-56AF46716364}"/>
    <cellStyle name="RISKnormBoxed 2 2" xfId="879" xr:uid="{88AA7C50-2EE0-4F92-A458-787620683673}"/>
    <cellStyle name="RISKnormBoxed 3" xfId="737" xr:uid="{CBD8E9F7-3543-45D0-A6B0-19168418BDE1}"/>
    <cellStyle name="RISKnormCenter" xfId="256" xr:uid="{9C587E3B-F9A9-4385-9D59-A565278C5CAE}"/>
    <cellStyle name="RISKnormCenter 2" xfId="666" xr:uid="{369A9B7B-365F-4C77-928D-9DA6E371CB55}"/>
    <cellStyle name="RISKnormCenter 2 2" xfId="880" xr:uid="{0EEC18C3-56C4-407F-9755-C2F5368C9C9E}"/>
    <cellStyle name="RISKnormCenter 3" xfId="738" xr:uid="{B92A76CC-9351-4AF5-AEE0-946CCFEA01AB}"/>
    <cellStyle name="RISKnormHeading" xfId="257" xr:uid="{2217AFC8-707B-4B09-A033-BCE0A8ABA044}"/>
    <cellStyle name="RISKnormItal" xfId="258" xr:uid="{9AE0286B-80E8-4933-A437-DC6E72422E1C}"/>
    <cellStyle name="RISKnormLabel" xfId="259" xr:uid="{8AAB2736-BC39-470F-8EA6-716D4E21396C}"/>
    <cellStyle name="RISKnormShade" xfId="260" xr:uid="{E45058EE-A1A1-427C-B14B-9C1E962798F3}"/>
    <cellStyle name="RISKnormShade 2" xfId="667" xr:uid="{BB0D8AD9-0777-41A7-928D-6A86EE03D6BD}"/>
    <cellStyle name="RISKnormShade 2 2" xfId="881" xr:uid="{AD1510EE-9D87-49F9-BA77-1A3759899F4C}"/>
    <cellStyle name="RISKnormShade 3" xfId="739" xr:uid="{1D8C4AC9-587D-4207-A851-579AAB933DA9}"/>
    <cellStyle name="RISKnormTitle" xfId="261" xr:uid="{E3E09CB5-972E-460B-B54F-0B98BC0DC22A}"/>
    <cellStyle name="RISKoutNumber" xfId="262" xr:uid="{200EA11A-9B7B-467F-BE0C-946E5105BEAA}"/>
    <cellStyle name="RISKoutNumber 2" xfId="356" xr:uid="{A3B82C37-F9F5-4B11-9327-030C45B7EDCF}"/>
    <cellStyle name="RISKrightEdge" xfId="263" xr:uid="{097D79D5-DE82-400C-B4C3-0E79219B71BD}"/>
    <cellStyle name="RISKrightEdge 2" xfId="668" xr:uid="{C81E128D-391E-47CF-A5DC-5D6286D5E1A3}"/>
    <cellStyle name="RISKrightEdge 2 2" xfId="882" xr:uid="{D6B4A014-C5C3-4A7F-B137-3DF8F9E34B98}"/>
    <cellStyle name="RISKrightEdge 3" xfId="740" xr:uid="{185B4A94-D85A-4134-B6F2-7500B5D7CD33}"/>
    <cellStyle name="RISKrtandbEdge" xfId="264" xr:uid="{A42535A6-225A-44FC-BB1C-234D67DA98AD}"/>
    <cellStyle name="RISKrtandbEdge 2" xfId="669" xr:uid="{56055522-3D33-4381-BDE4-A4488342C074}"/>
    <cellStyle name="RISKrtandbEdge 2 2" xfId="883" xr:uid="{4DE49355-49F4-4F74-B511-FCD0F0A40132}"/>
    <cellStyle name="RISKrtandbEdge 3" xfId="741" xr:uid="{F8030E7B-8A91-4B1E-8C19-6D3D8D9C2870}"/>
    <cellStyle name="RISKssTime" xfId="265" xr:uid="{B85292B6-A5B1-4A96-9CD4-189F1FF9E65D}"/>
    <cellStyle name="RISKssTime 2" xfId="670" xr:uid="{E8D85D8B-E462-46D0-AE13-7B8D0362141B}"/>
    <cellStyle name="RISKssTime 2 2" xfId="884" xr:uid="{CC9EB19D-A152-4777-9A2F-0E0EE1FE8EF9}"/>
    <cellStyle name="RISKssTime 3" xfId="742" xr:uid="{9088C4BF-187E-4A1B-ABEA-81DB9F47CBE5}"/>
    <cellStyle name="RISKtandbEdge" xfId="266" xr:uid="{92C51AFA-5E05-4E87-B935-6C9BB3B1FE7E}"/>
    <cellStyle name="RISKtandbEdge 2" xfId="671" xr:uid="{FAC2EF0A-3437-4A0A-B634-38A745783371}"/>
    <cellStyle name="RISKtandbEdge 2 2" xfId="885" xr:uid="{CD4C1CDD-9494-46E7-8743-DFA690629C5D}"/>
    <cellStyle name="RISKtandbEdge 3" xfId="743" xr:uid="{8C8FB0A2-CB6F-4B8A-A094-A684E0BACE76}"/>
    <cellStyle name="RISKtlandrEdge" xfId="267" xr:uid="{131A876B-DC1F-41BA-8F43-03F297533CEF}"/>
    <cellStyle name="RISKtlandrEdge 2" xfId="672" xr:uid="{BC02373C-5B6B-46F0-94C9-416B8F95A20B}"/>
    <cellStyle name="RISKtlandrEdge 2 2" xfId="886" xr:uid="{88993B26-A4D8-448F-A5DA-689B5501340C}"/>
    <cellStyle name="RISKtlandrEdge 3" xfId="744" xr:uid="{4C37B211-191B-478D-93F7-7476219FF3C3}"/>
    <cellStyle name="RISKtlCorner" xfId="268" xr:uid="{0B621AE8-DED6-42AA-A0F4-12996959F716}"/>
    <cellStyle name="RISKtlCorner 2" xfId="673" xr:uid="{BAE38A5E-ED0E-4691-93F2-19EEE66F1488}"/>
    <cellStyle name="RISKtlCorner 2 2" xfId="887" xr:uid="{E1143A58-DA01-479D-AD0F-52AA50B711BF}"/>
    <cellStyle name="RISKtlCorner 3" xfId="745" xr:uid="{981E375A-C9DB-4F46-A17B-A347071C5443}"/>
    <cellStyle name="RISKtopEdge" xfId="269" xr:uid="{826285D6-56EB-41E4-8109-C6EF40D635D4}"/>
    <cellStyle name="RISKtopEdge 2" xfId="674" xr:uid="{53B8F725-8EBB-42F3-A965-ABDEB62DAA2E}"/>
    <cellStyle name="RISKtopEdge 2 2" xfId="888" xr:uid="{DF15D73F-B2D5-4C78-BEE1-07B089E11D67}"/>
    <cellStyle name="RISKtopEdge 3" xfId="746" xr:uid="{3AF26539-313D-4E9C-8784-AF9A694A0C9D}"/>
    <cellStyle name="RISKtrCorner" xfId="270" xr:uid="{A598AF5D-40FA-4939-A11D-A0B61004D135}"/>
    <cellStyle name="RISKtrCorner 2" xfId="675" xr:uid="{6B777278-7143-465E-B795-1C5BA284CB15}"/>
    <cellStyle name="RISKtrCorner 2 2" xfId="889" xr:uid="{7B9FB86F-F852-44D0-9CC0-A282B7CD22AC}"/>
    <cellStyle name="RISKtrCorner 3" xfId="747" xr:uid="{27E97BFC-EDC2-44EA-8751-E19043B5CD25}"/>
    <cellStyle name="Schlecht" xfId="271" xr:uid="{15C69A6B-7A37-4D60-A901-FE117D5FC6CC}"/>
    <cellStyle name="Shade" xfId="272" xr:uid="{FF38EB4C-6010-4020-AD94-D4D90BCB2E0A}"/>
    <cellStyle name="Title" xfId="95" builtinId="15" customBuiltin="1"/>
    <cellStyle name="Title 2" xfId="96" xr:uid="{00000000-0005-0000-0000-000060000000}"/>
    <cellStyle name="Title 2 2" xfId="357" xr:uid="{9EFBCB92-83CC-4056-ABA5-6A2782391408}"/>
    <cellStyle name="Title 3" xfId="407" xr:uid="{39EFDABC-82A0-4613-AB25-D423442D5642}"/>
    <cellStyle name="Title 4" xfId="483" xr:uid="{37C743E3-E006-4DF6-ACF7-715F03B68F15}"/>
    <cellStyle name="Title 5" xfId="273" xr:uid="{7245AE0A-63EC-48CA-8AD4-091C57CF815A}"/>
    <cellStyle name="Total" xfId="97" builtinId="25" customBuiltin="1"/>
    <cellStyle name="Total 2" xfId="98" xr:uid="{00000000-0005-0000-0000-000062000000}"/>
    <cellStyle name="Total 2 2" xfId="676" xr:uid="{5581743B-93B7-4D63-B712-EEDDD8F0A01C}"/>
    <cellStyle name="Total 2 2 2" xfId="922" xr:uid="{41EE42CA-1550-4A92-8E33-3357F3627FDF}"/>
    <cellStyle name="Total 2 3" xfId="777" xr:uid="{D155104C-FCEC-4162-9AE4-254C8E6B9DE6}"/>
    <cellStyle name="Total 2 4" xfId="358" xr:uid="{6D30EEDA-A237-4986-B37C-2EE55E8B92F9}"/>
    <cellStyle name="Total 3" xfId="408" xr:uid="{508DAB7D-F1D4-4D2A-8D01-82881BB017D0}"/>
    <cellStyle name="Total 3 2" xfId="677" xr:uid="{41FDBF7B-8F44-4BDF-968B-B9CB3B07C7B3}"/>
    <cellStyle name="Total 3 2 2" xfId="931" xr:uid="{17E745D8-58A9-4AB7-BC45-FD6E4FACEC6A}"/>
    <cellStyle name="Total 3 3" xfId="783" xr:uid="{FE6D5B33-748B-4169-8393-F2FFE3330FE7}"/>
    <cellStyle name="Total 4" xfId="484" xr:uid="{48F39F06-AE50-4DE2-A458-95BD31834785}"/>
    <cellStyle name="Total 4 2" xfId="678" xr:uid="{DCCD74B4-3D96-4B96-806C-89CB898DABD4}"/>
    <cellStyle name="Total 4 2 2" xfId="890" xr:uid="{AFF52D93-72FE-4853-97A9-4C4C0B901BF1}"/>
    <cellStyle name="Total 4 3" xfId="748" xr:uid="{5C711784-6CDF-42BE-8917-EFA7108CDC4D}"/>
    <cellStyle name="Total 5" xfId="274" xr:uid="{19C3AF72-23BB-4927-ABA0-E495545F3590}"/>
    <cellStyle name="Überschrift" xfId="275" xr:uid="{9FF3B2B9-3079-4724-9645-4EE7F320D9AF}"/>
    <cellStyle name="Überschrift 1" xfId="276" xr:uid="{E70B1F55-A7CD-4711-AFD5-4FD08882456B}"/>
    <cellStyle name="Überschrift 2" xfId="277" xr:uid="{0DEF6990-5C0C-4ACD-BCF5-E7EAF4EEE4DF}"/>
    <cellStyle name="Überschrift 3" xfId="278" xr:uid="{A889B8D3-573E-4E83-9D97-426E13DF7DA3}"/>
    <cellStyle name="Überschrift 3 2" xfId="1302" xr:uid="{A2FE9E35-6219-43AA-910E-B4BFC0DFA359}"/>
    <cellStyle name="Überschrift 3 2 2" xfId="487" xr:uid="{FE377B82-3E0B-401C-8016-8CF030D3DAFE}"/>
    <cellStyle name="Überschrift 3 3" xfId="1306" xr:uid="{4C0B50B7-68B1-4B76-AFF8-B7C0CD7DB7D5}"/>
    <cellStyle name="Überschrift 3 4" xfId="425" xr:uid="{20690E23-7BAD-4F29-BF31-B2C95B0BC38F}"/>
    <cellStyle name="Überschrift 3 5" xfId="1314" xr:uid="{7DEEA1FA-BDF7-4873-BC40-CF6145BE1133}"/>
    <cellStyle name="Überschrift 4" xfId="279" xr:uid="{1B95C211-08F1-4871-8820-07C831EB5129}"/>
    <cellStyle name="Verknüpfte Zelle" xfId="280" xr:uid="{C36D2716-9269-467A-A533-0F7FAADDD56B}"/>
    <cellStyle name="Warnender Text" xfId="281" xr:uid="{6E565D02-D8A7-491A-98B5-54E8544F8D2F}"/>
    <cellStyle name="Warning Text" xfId="99" builtinId="11" customBuiltin="1"/>
    <cellStyle name="Warning Text 2" xfId="100" xr:uid="{00000000-0005-0000-0000-000064000000}"/>
    <cellStyle name="Warning Text 2 2" xfId="359" xr:uid="{8139CF67-21B6-4945-B350-28DCB9FC53F7}"/>
    <cellStyle name="Warning Text 3" xfId="409" xr:uid="{EE4DE639-CD22-4DF4-8F1F-8915FF6B99BD}"/>
    <cellStyle name="Warning Text 4" xfId="486" xr:uid="{5567AF13-4771-4BD4-B15C-3C19B2DFB7D9}"/>
    <cellStyle name="Zelle überprüfen" xfId="282" xr:uid="{85989771-428A-407E-AD4E-B5619EFD83AD}"/>
    <cellStyle name="Гиперссылка" xfId="283" xr:uid="{7157E86B-1466-4932-A3DC-6585AA13A525}"/>
    <cellStyle name="Обычный_2++" xfId="284" xr:uid="{6C14F956-FFF2-493C-BF99-75B7C6BDF7AB}"/>
  </cellStyles>
  <dxfs count="92">
    <dxf>
      <font>
        <b val="0"/>
        <i val="0"/>
        <strike val="0"/>
        <condense val="0"/>
        <extend val="0"/>
        <outline val="0"/>
        <shadow val="0"/>
        <u val="none"/>
        <vertAlign val="baseline"/>
        <sz val="10"/>
        <color auto="1"/>
        <name val="Arial"/>
        <scheme val="none"/>
      </font>
      <numFmt numFmtId="166" formatCode="_(* #,##0_);_(* \(#,##0\);_(* &quot;-&quot;??_);_(@_)"/>
      <protection locked="0" hidden="0"/>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numFmt numFmtId="0" formatCode="General"/>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left" vertical="bottom" textRotation="0" wrapText="0" indent="0" justifyLastLine="0" shrinkToFit="0" readingOrder="0"/>
    </dxf>
    <dxf>
      <font>
        <strike val="0"/>
        <outline val="0"/>
        <shadow val="0"/>
        <u val="none"/>
        <vertAlign val="baseline"/>
        <name val="Arial"/>
        <scheme val="none"/>
      </font>
    </dxf>
    <dxf>
      <font>
        <b val="0"/>
        <i val="0"/>
        <strike val="0"/>
        <condense val="0"/>
        <extend val="0"/>
        <outline val="0"/>
        <shadow val="0"/>
        <u val="none"/>
        <vertAlign val="baseline"/>
        <sz val="10"/>
        <color auto="1"/>
        <name val="Arial"/>
        <scheme val="none"/>
      </font>
      <alignment horizontal="general" vertical="bottom" textRotation="0" wrapText="1" indent="0" justifyLastLine="0" shrinkToFit="0" readingOrder="0"/>
      <protection locked="0" hidden="0"/>
    </dxf>
    <dxf>
      <font>
        <b val="0"/>
        <i val="0"/>
        <strike val="0"/>
        <condense val="0"/>
        <extend val="0"/>
        <outline val="0"/>
        <shadow val="0"/>
        <u val="none"/>
        <vertAlign val="baseline"/>
        <sz val="10"/>
        <color auto="1"/>
        <name val="Arial"/>
        <scheme val="none"/>
      </font>
      <numFmt numFmtId="166" formatCode="_(* #,##0_);_(* \(#,##0\);_(* &quot;-&quot;??_);_(@_)"/>
      <protection locked="0" hidden="0"/>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left" vertical="bottom" textRotation="0" wrapText="0" indent="0" justifyLastLine="0" shrinkToFit="0" readingOrder="0"/>
    </dxf>
    <dxf>
      <font>
        <strike val="0"/>
        <outline val="0"/>
        <shadow val="0"/>
        <u val="none"/>
        <vertAlign val="baseline"/>
        <name val="Arial"/>
        <scheme val="none"/>
      </font>
    </dxf>
    <dxf>
      <font>
        <b val="0"/>
        <i val="0"/>
        <strike val="0"/>
        <condense val="0"/>
        <extend val="0"/>
        <outline val="0"/>
        <shadow val="0"/>
        <u val="none"/>
        <vertAlign val="baseline"/>
        <sz val="10"/>
        <color auto="1"/>
        <name val="Arial"/>
        <scheme val="none"/>
      </font>
      <alignment horizontal="general" vertical="bottom" textRotation="0" wrapText="1" indent="0" justifyLastLine="0" shrinkToFit="0" readingOrder="0"/>
      <protection locked="0" hidden="0"/>
    </dxf>
    <dxf>
      <font>
        <b val="0"/>
        <i val="0"/>
        <strike val="0"/>
        <condense val="0"/>
        <extend val="0"/>
        <outline val="0"/>
        <shadow val="0"/>
        <u val="none"/>
        <vertAlign val="baseline"/>
        <sz val="10"/>
        <color auto="1"/>
        <name val="Arial"/>
        <scheme val="none"/>
      </font>
      <numFmt numFmtId="166" formatCode="_(* #,##0_);_(* \(#,##0\);_(* &quot;-&quot;??_);_(@_)"/>
      <protection locked="0" hidden="0"/>
    </dxf>
    <dxf>
      <font>
        <strike val="0"/>
        <outline val="0"/>
        <shadow val="0"/>
        <u val="none"/>
        <vertAlign val="baseline"/>
        <name val="Arial"/>
        <scheme val="none"/>
      </font>
    </dxf>
    <dxf>
      <font>
        <strike val="0"/>
        <outline val="0"/>
        <shadow val="0"/>
        <u val="none"/>
        <vertAlign val="baseline"/>
        <name val="Arial"/>
        <scheme val="none"/>
      </font>
    </dxf>
    <dxf>
      <font>
        <b val="0"/>
        <i val="0"/>
        <strike val="0"/>
        <condense val="0"/>
        <extend val="0"/>
        <outline val="0"/>
        <shadow val="0"/>
        <u val="none"/>
        <vertAlign val="baseline"/>
        <sz val="10"/>
        <color auto="1"/>
        <name val="Arial"/>
        <scheme val="none"/>
      </font>
      <numFmt numFmtId="166" formatCode="_(* #,##0_);_(* \(#,##0\);_(* &quot;-&quot;??_);_(@_)"/>
      <protection locked="0" hidden="0"/>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left" vertical="bottom" textRotation="0" wrapText="0" indent="0" justifyLastLine="0" shrinkToFit="0" readingOrder="0"/>
    </dxf>
    <dxf>
      <font>
        <strike val="0"/>
        <outline val="0"/>
        <shadow val="0"/>
        <u val="none"/>
        <vertAlign val="baseline"/>
        <name val="Arial"/>
        <scheme val="none"/>
      </font>
    </dxf>
    <dxf>
      <font>
        <b val="0"/>
        <i val="0"/>
        <strike val="0"/>
        <condense val="0"/>
        <extend val="0"/>
        <outline val="0"/>
        <shadow val="0"/>
        <u val="none"/>
        <vertAlign val="baseline"/>
        <sz val="10"/>
        <color auto="1"/>
        <name val="Arial"/>
        <scheme val="none"/>
      </font>
      <alignment horizontal="general" vertical="bottom" textRotation="0" wrapText="1" indent="0" justifyLastLine="0" shrinkToFit="0" readingOrder="0"/>
      <protection locked="0" hidden="0"/>
    </dxf>
    <dxf>
      <font>
        <b val="0"/>
        <i val="0"/>
        <strike val="0"/>
        <condense val="0"/>
        <extend val="0"/>
        <outline val="0"/>
        <shadow val="0"/>
        <u val="none"/>
        <vertAlign val="baseline"/>
        <sz val="10"/>
        <color auto="1"/>
        <name val="Arial"/>
        <scheme val="none"/>
      </font>
      <numFmt numFmtId="166" formatCode="_(* #,##0_);_(* \(#,##0\);_(* &quot;-&quot;??_);_(@_)"/>
      <protection locked="0" hidden="0"/>
    </dxf>
    <dxf>
      <font>
        <b val="0"/>
        <i val="0"/>
        <strike val="0"/>
        <condense val="0"/>
        <extend val="0"/>
        <outline val="0"/>
        <shadow val="0"/>
        <u val="none"/>
        <vertAlign val="baseline"/>
        <sz val="10"/>
        <color auto="1"/>
        <name val="Arial"/>
        <scheme val="none"/>
      </font>
      <numFmt numFmtId="166" formatCode="_(* #,##0_);_(* \(#,##0\);_(* &quot;-&quot;??_);_(@_)"/>
      <protection locked="0" hidden="0"/>
    </dxf>
    <dxf>
      <font>
        <strike val="0"/>
        <outline val="0"/>
        <shadow val="0"/>
        <u val="none"/>
        <vertAlign val="baseline"/>
        <name val="Arial"/>
        <scheme val="none"/>
      </font>
      <numFmt numFmtId="171" formatCode="0.000"/>
    </dxf>
    <dxf>
      <font>
        <b val="0"/>
        <i val="0"/>
        <strike val="0"/>
        <condense val="0"/>
        <extend val="0"/>
        <outline val="0"/>
        <shadow val="0"/>
        <u val="none"/>
        <vertAlign val="baseline"/>
        <sz val="10"/>
        <color auto="1"/>
        <name val="Arial"/>
        <scheme val="none"/>
      </font>
      <numFmt numFmtId="166" formatCode="_(* #,##0_);_(* \(#,##0\);_(* &quot;-&quot;??_);_(@_)"/>
      <protection locked="0" hidden="0"/>
    </dxf>
    <dxf>
      <font>
        <b val="0"/>
        <i val="0"/>
        <strike val="0"/>
        <condense val="0"/>
        <extend val="0"/>
        <outline val="0"/>
        <shadow val="0"/>
        <u val="none"/>
        <vertAlign val="baseline"/>
        <sz val="10"/>
        <color auto="1"/>
        <name val="Arial"/>
        <scheme val="none"/>
      </font>
      <numFmt numFmtId="166" formatCode="_(* #,##0_);_(* \(#,##0\);_(* &quot;-&quot;??_);_(@_)"/>
      <protection locked="0" hidden="0"/>
    </dxf>
    <dxf>
      <font>
        <b val="0"/>
        <i val="0"/>
        <strike val="0"/>
        <condense val="0"/>
        <extend val="0"/>
        <outline val="0"/>
        <shadow val="0"/>
        <u val="none"/>
        <vertAlign val="baseline"/>
        <sz val="10"/>
        <color auto="1"/>
        <name val="Arial"/>
        <scheme val="none"/>
      </font>
      <numFmt numFmtId="166" formatCode="_(* #,##0_);_(* \(#,##0\);_(* &quot;-&quot;??_);_(@_)"/>
      <protection locked="0" hidden="0"/>
    </dxf>
    <dxf>
      <font>
        <b val="0"/>
        <i val="0"/>
        <strike val="0"/>
        <condense val="0"/>
        <extend val="0"/>
        <outline val="0"/>
        <shadow val="0"/>
        <u val="none"/>
        <vertAlign val="baseline"/>
        <sz val="10"/>
        <color auto="1"/>
        <name val="Arial"/>
        <scheme val="none"/>
      </font>
      <numFmt numFmtId="166" formatCode="_(* #,##0_);_(* \(#,##0\);_(* &quot;-&quot;??_);_(@_)"/>
      <protection locked="0" hidden="0"/>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left" vertical="bottom" textRotation="0" wrapText="0" indent="0" justifyLastLine="0" shrinkToFit="0" readingOrder="0"/>
    </dxf>
    <dxf>
      <font>
        <strike val="0"/>
        <outline val="0"/>
        <shadow val="0"/>
        <u val="none"/>
        <vertAlign val="baseline"/>
        <name val="Arial"/>
        <scheme val="none"/>
      </font>
    </dxf>
    <dxf>
      <font>
        <b val="0"/>
        <i val="0"/>
        <strike val="0"/>
        <condense val="0"/>
        <extend val="0"/>
        <outline val="0"/>
        <shadow val="0"/>
        <u val="none"/>
        <vertAlign val="baseline"/>
        <sz val="10"/>
        <color auto="1"/>
        <name val="Arial"/>
        <scheme val="none"/>
      </font>
      <alignment horizontal="general" vertical="bottom" textRotation="0" wrapText="1" indent="0" justifyLastLine="0" shrinkToFit="0" readingOrder="0"/>
      <protection locked="0" hidden="0"/>
    </dxf>
    <dxf>
      <font>
        <b val="0"/>
        <i val="0"/>
        <strike val="0"/>
        <condense val="0"/>
        <extend val="0"/>
        <outline val="0"/>
        <shadow val="0"/>
        <u val="none"/>
        <vertAlign val="baseline"/>
        <sz val="10"/>
        <color auto="1"/>
        <name val="Arial"/>
        <scheme val="none"/>
      </font>
      <numFmt numFmtId="166" formatCode="_(* #,##0_);_(* \(#,##0\);_(* &quot;-&quot;??_);_(@_)"/>
      <protection locked="0" hidden="0"/>
    </dxf>
    <dxf>
      <font>
        <b val="0"/>
        <i val="0"/>
        <strike val="0"/>
        <condense val="0"/>
        <extend val="0"/>
        <outline val="0"/>
        <shadow val="0"/>
        <u val="none"/>
        <vertAlign val="baseline"/>
        <sz val="10"/>
        <color auto="1"/>
        <name val="Arial"/>
        <scheme val="none"/>
      </font>
      <numFmt numFmtId="166" formatCode="_(* #,##0_);_(* \(#,##0\);_(* &quot;-&quot;??_);_(@_)"/>
      <protection locked="0" hidden="0"/>
    </dxf>
    <dxf>
      <font>
        <strike val="0"/>
        <outline val="0"/>
        <shadow val="0"/>
        <u val="none"/>
        <vertAlign val="baseline"/>
        <name val="Arial"/>
        <scheme val="none"/>
      </font>
      <numFmt numFmtId="171" formatCode="0.000"/>
    </dxf>
    <dxf>
      <font>
        <b val="0"/>
        <i val="0"/>
        <strike val="0"/>
        <condense val="0"/>
        <extend val="0"/>
        <outline val="0"/>
        <shadow val="0"/>
        <u val="none"/>
        <vertAlign val="baseline"/>
        <sz val="10"/>
        <color auto="1"/>
        <name val="Arial"/>
        <scheme val="none"/>
      </font>
      <numFmt numFmtId="166" formatCode="_(* #,##0_);_(* \(#,##0\);_(* &quot;-&quot;??_);_(@_)"/>
      <protection locked="0" hidden="0"/>
    </dxf>
    <dxf>
      <font>
        <b val="0"/>
        <i val="0"/>
        <strike val="0"/>
        <condense val="0"/>
        <extend val="0"/>
        <outline val="0"/>
        <shadow val="0"/>
        <u val="none"/>
        <vertAlign val="baseline"/>
        <sz val="10"/>
        <color auto="1"/>
        <name val="Arial"/>
        <scheme val="none"/>
      </font>
      <numFmt numFmtId="166" formatCode="_(* #,##0_);_(* \(#,##0\);_(* &quot;-&quot;??_);_(@_)"/>
      <protection locked="0" hidden="0"/>
    </dxf>
    <dxf>
      <font>
        <b val="0"/>
        <i val="0"/>
        <strike val="0"/>
        <condense val="0"/>
        <extend val="0"/>
        <outline val="0"/>
        <shadow val="0"/>
        <u val="none"/>
        <vertAlign val="baseline"/>
        <sz val="10"/>
        <color auto="1"/>
        <name val="Arial"/>
        <scheme val="none"/>
      </font>
      <numFmt numFmtId="166" formatCode="_(* #,##0_);_(* \(#,##0\);_(* &quot;-&quot;??_);_(@_)"/>
      <protection locked="0" hidden="0"/>
    </dxf>
    <dxf>
      <font>
        <b val="0"/>
        <i val="0"/>
        <strike val="0"/>
        <condense val="0"/>
        <extend val="0"/>
        <outline val="0"/>
        <shadow val="0"/>
        <u val="none"/>
        <vertAlign val="baseline"/>
        <sz val="10"/>
        <color auto="1"/>
        <name val="Arial"/>
        <scheme val="none"/>
      </font>
      <numFmt numFmtId="166" formatCode="_(* #,##0_);_(* \(#,##0\);_(* &quot;-&quot;??_);_(@_)"/>
      <protection locked="0" hidden="0"/>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left" vertical="bottom" textRotation="0" wrapText="0" indent="0" justifyLastLine="0" shrinkToFit="0" readingOrder="0"/>
    </dxf>
    <dxf>
      <font>
        <strike val="0"/>
        <outline val="0"/>
        <shadow val="0"/>
        <u val="none"/>
        <vertAlign val="baseline"/>
        <name val="Arial"/>
        <scheme val="none"/>
      </font>
    </dxf>
    <dxf>
      <font>
        <b val="0"/>
        <i val="0"/>
        <strike val="0"/>
        <condense val="0"/>
        <extend val="0"/>
        <outline val="0"/>
        <shadow val="0"/>
        <u val="none"/>
        <vertAlign val="baseline"/>
        <sz val="10"/>
        <color auto="1"/>
        <name val="Arial"/>
        <scheme val="none"/>
      </font>
      <alignment horizontal="general" vertical="bottom" textRotation="0" wrapText="1" indent="0" justifyLastLine="0" shrinkToFit="0" readingOrder="0"/>
      <protection locked="0" hidden="0"/>
    </dxf>
    <dxf>
      <font>
        <b val="0"/>
        <i val="0"/>
        <strike val="0"/>
        <condense val="0"/>
        <extend val="0"/>
        <outline val="0"/>
        <shadow val="0"/>
        <u val="none"/>
        <vertAlign val="baseline"/>
        <sz val="10"/>
        <color auto="1"/>
        <name val="Arial"/>
        <scheme val="none"/>
      </font>
      <numFmt numFmtId="166" formatCode="_(* #,##0_);_(* \(#,##0\);_(* &quot;-&quot;??_);_(@_)"/>
      <protection locked="0" hidden="0"/>
    </dxf>
    <dxf>
      <font>
        <b val="0"/>
        <i val="0"/>
        <strike val="0"/>
        <condense val="0"/>
        <extend val="0"/>
        <outline val="0"/>
        <shadow val="0"/>
        <u val="none"/>
        <vertAlign val="baseline"/>
        <sz val="10"/>
        <color auto="1"/>
        <name val="Arial"/>
        <scheme val="none"/>
      </font>
      <numFmt numFmtId="166" formatCode="_(* #,##0_);_(* \(#,##0\);_(* &quot;-&quot;??_);_(@_)"/>
      <protection locked="0" hidden="0"/>
    </dxf>
    <dxf>
      <font>
        <strike val="0"/>
        <outline val="0"/>
        <shadow val="0"/>
        <u val="none"/>
        <vertAlign val="baseline"/>
        <name val="Arial"/>
        <scheme val="none"/>
      </font>
      <numFmt numFmtId="171" formatCode="0.000"/>
    </dxf>
    <dxf>
      <font>
        <b val="0"/>
        <i val="0"/>
        <strike val="0"/>
        <condense val="0"/>
        <extend val="0"/>
        <outline val="0"/>
        <shadow val="0"/>
        <u val="none"/>
        <vertAlign val="baseline"/>
        <sz val="10"/>
        <color auto="1"/>
        <name val="Arial"/>
        <scheme val="none"/>
      </font>
      <numFmt numFmtId="166" formatCode="_(* #,##0_);_(* \(#,##0\);_(* &quot;-&quot;??_);_(@_)"/>
      <protection locked="0" hidden="0"/>
    </dxf>
    <dxf>
      <font>
        <b val="0"/>
        <i val="0"/>
        <strike val="0"/>
        <condense val="0"/>
        <extend val="0"/>
        <outline val="0"/>
        <shadow val="0"/>
        <u val="none"/>
        <vertAlign val="baseline"/>
        <sz val="10"/>
        <color auto="1"/>
        <name val="Arial"/>
        <scheme val="none"/>
      </font>
      <numFmt numFmtId="166" formatCode="_(* #,##0_);_(* \(#,##0\);_(* &quot;-&quot;??_);_(@_)"/>
      <protection locked="0" hidden="0"/>
    </dxf>
    <dxf>
      <font>
        <b val="0"/>
        <i val="0"/>
        <strike val="0"/>
        <condense val="0"/>
        <extend val="0"/>
        <outline val="0"/>
        <shadow val="0"/>
        <u val="none"/>
        <vertAlign val="baseline"/>
        <sz val="10"/>
        <color auto="1"/>
        <name val="Arial"/>
        <scheme val="none"/>
      </font>
      <numFmt numFmtId="166" formatCode="_(* #,##0_);_(* \(#,##0\);_(* &quot;-&quot;??_);_(@_)"/>
      <protection locked="0" hidden="0"/>
    </dxf>
    <dxf>
      <font>
        <b val="0"/>
        <i val="0"/>
        <strike val="0"/>
        <condense val="0"/>
        <extend val="0"/>
        <outline val="0"/>
        <shadow val="0"/>
        <u val="none"/>
        <vertAlign val="baseline"/>
        <sz val="10"/>
        <color auto="1"/>
        <name val="Arial"/>
        <scheme val="none"/>
      </font>
      <numFmt numFmtId="166" formatCode="_(* #,##0_);_(* \(#,##0\);_(* &quot;-&quot;??_);_(@_)"/>
      <protection locked="0" hidden="0"/>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left" vertical="bottom" textRotation="0" wrapText="0" indent="0" justifyLastLine="0" shrinkToFit="0" readingOrder="0"/>
    </dxf>
    <dxf>
      <font>
        <strike val="0"/>
        <outline val="0"/>
        <shadow val="0"/>
        <u val="none"/>
        <vertAlign val="baseline"/>
        <name val="Arial"/>
        <scheme val="none"/>
      </font>
    </dxf>
    <dxf>
      <font>
        <b val="0"/>
        <i val="0"/>
        <strike val="0"/>
        <condense val="0"/>
        <extend val="0"/>
        <outline val="0"/>
        <shadow val="0"/>
        <u val="none"/>
        <vertAlign val="baseline"/>
        <sz val="10"/>
        <color auto="1"/>
        <name val="Arial"/>
        <scheme val="none"/>
      </font>
      <alignment horizontal="general" vertical="bottom" textRotation="0" wrapText="1" indent="0" justifyLastLine="0" shrinkToFit="0" readingOrder="0"/>
      <protection locked="0" hidden="0"/>
    </dxf>
    <dxf>
      <font>
        <b val="0"/>
        <i val="0"/>
        <strike val="0"/>
        <condense val="0"/>
        <extend val="0"/>
        <outline val="0"/>
        <shadow val="0"/>
        <u val="none"/>
        <vertAlign val="baseline"/>
        <sz val="10"/>
        <color auto="1"/>
        <name val="Arial"/>
        <scheme val="none"/>
      </font>
      <numFmt numFmtId="166" formatCode="_(* #,##0_);_(* \(#,##0\);_(* &quot;-&quot;??_);_(@_)"/>
      <protection locked="0" hidden="0"/>
    </dxf>
    <dxf>
      <font>
        <strike val="0"/>
        <outline val="0"/>
        <shadow val="0"/>
        <u val="none"/>
        <vertAlign val="baseline"/>
        <name val="Arial"/>
        <scheme val="none"/>
      </font>
    </dxf>
    <dxf>
      <font>
        <strike val="0"/>
        <outline val="0"/>
        <shadow val="0"/>
        <u val="none"/>
        <vertAlign val="baseline"/>
        <name val="Arial"/>
        <scheme val="none"/>
      </font>
      <numFmt numFmtId="171" formatCode="0.000"/>
    </dxf>
    <dxf>
      <font>
        <strike val="0"/>
        <outline val="0"/>
        <shadow val="0"/>
        <u val="none"/>
        <vertAlign val="baseline"/>
        <name val="Arial"/>
        <scheme val="none"/>
      </font>
    </dxf>
    <dxf>
      <font>
        <strike val="0"/>
        <outline val="0"/>
        <shadow val="0"/>
        <u val="none"/>
        <vertAlign val="baseline"/>
        <name val="Arial"/>
        <scheme val="none"/>
      </font>
      <numFmt numFmtId="166" formatCode="_(* #,##0_);_(* \(#,##0\);_(* &quot;-&quot;??_);_(@_)"/>
    </dxf>
    <dxf>
      <font>
        <strike val="0"/>
        <outline val="0"/>
        <shadow val="0"/>
        <u val="none"/>
        <vertAlign val="baseline"/>
        <name val="Arial"/>
        <scheme val="none"/>
      </font>
    </dxf>
    <dxf>
      <font>
        <strike val="0"/>
        <outline val="0"/>
        <shadow val="0"/>
        <u val="none"/>
        <vertAlign val="baseline"/>
        <name val="Arial"/>
        <scheme val="none"/>
      </font>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left" vertical="bottom" textRotation="0" wrapText="0" indent="0" justifyLastLine="0" shrinkToFit="0" readingOrder="0"/>
    </dxf>
    <dxf>
      <font>
        <strike val="0"/>
        <outline val="0"/>
        <shadow val="0"/>
        <u val="none"/>
        <vertAlign val="baseline"/>
        <name val="Arial"/>
        <scheme val="none"/>
      </font>
    </dxf>
    <dxf>
      <font>
        <b val="0"/>
        <i val="0"/>
        <strike val="0"/>
        <condense val="0"/>
        <extend val="0"/>
        <outline val="0"/>
        <shadow val="0"/>
        <u val="none"/>
        <vertAlign val="baseline"/>
        <sz val="10"/>
        <color auto="1"/>
        <name val="Arial"/>
        <scheme val="none"/>
      </font>
      <alignment horizontal="general" vertical="bottom" textRotation="0" wrapText="1" indent="0" justifyLastLine="0" shrinkToFit="0" readingOrder="0"/>
      <protection locked="0" hidden="0"/>
    </dxf>
    <dxf>
      <font>
        <b val="0"/>
        <i val="0"/>
        <strike val="0"/>
        <condense val="0"/>
        <extend val="0"/>
        <outline val="0"/>
        <shadow val="0"/>
        <u val="none"/>
        <vertAlign val="baseline"/>
        <sz val="10"/>
        <color auto="1"/>
        <name val="Arial"/>
        <scheme val="none"/>
      </font>
      <numFmt numFmtId="166" formatCode="_(* #,##0_);_(* \(#,##0\);_(* &quot;-&quot;??_);_(@_)"/>
      <protection locked="0" hidden="0"/>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numFmt numFmtId="166" formatCode="_(* #,##0_);_(* \(#,##0\);_(* &quot;-&quot;??_);_(@_)"/>
    </dxf>
    <dxf>
      <font>
        <strike val="0"/>
        <outline val="0"/>
        <shadow val="0"/>
        <u val="none"/>
        <vertAlign val="baseline"/>
        <name val="Arial"/>
        <scheme val="none"/>
      </font>
    </dxf>
    <dxf>
      <font>
        <strike val="0"/>
        <outline val="0"/>
        <shadow val="0"/>
        <u val="none"/>
        <vertAlign val="baseline"/>
        <name val="Arial"/>
        <scheme val="none"/>
      </font>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left" vertical="bottom" textRotation="0" wrapText="0" indent="0" justifyLastLine="0" shrinkToFit="0" readingOrder="0"/>
    </dxf>
    <dxf>
      <font>
        <strike val="0"/>
        <outline val="0"/>
        <shadow val="0"/>
        <u val="none"/>
        <vertAlign val="baseline"/>
        <name val="Arial"/>
        <scheme val="none"/>
      </font>
    </dxf>
    <dxf>
      <font>
        <b val="0"/>
        <i val="0"/>
        <strike val="0"/>
        <condense val="0"/>
        <extend val="0"/>
        <outline val="0"/>
        <shadow val="0"/>
        <u val="none"/>
        <vertAlign val="baseline"/>
        <sz val="10"/>
        <color auto="1"/>
        <name val="Arial"/>
        <scheme val="none"/>
      </font>
      <alignment horizontal="general" vertical="bottom" textRotation="0" wrapText="1" indent="0" justifyLastLine="0" shrinkToFit="0" readingOrder="0"/>
      <protection locked="0" hidden="0"/>
    </dxf>
    <dxf>
      <font>
        <strike val="0"/>
        <outline val="0"/>
        <shadow val="0"/>
        <u val="none"/>
        <vertAlign val="baseline"/>
        <name val="Arial"/>
        <scheme val="none"/>
      </font>
      <numFmt numFmtId="166" formatCode="_(* #,##0_);_(* \(#,##0\);_(* &quot;-&quot;??_);_(@_)"/>
      <protection locked="0" hidden="0"/>
    </dxf>
    <dxf>
      <font>
        <strike val="0"/>
        <outline val="0"/>
        <shadow val="0"/>
        <u val="none"/>
        <vertAlign val="baseline"/>
        <name val="Arial"/>
        <scheme val="none"/>
      </font>
      <numFmt numFmtId="166" formatCode="_(* #,##0_);_(* \(#,##0\);_(* &quot;-&quot;??_);_(@_)"/>
      <protection locked="0" hidden="0"/>
    </dxf>
    <dxf>
      <font>
        <strike val="0"/>
        <outline val="0"/>
        <shadow val="0"/>
        <u val="none"/>
        <vertAlign val="baseline"/>
        <name val="Arial"/>
        <scheme val="none"/>
      </font>
      <numFmt numFmtId="171" formatCode="0.000"/>
      <protection locked="0" hidden="0"/>
    </dxf>
    <dxf>
      <font>
        <strike val="0"/>
        <outline val="0"/>
        <shadow val="0"/>
        <u val="none"/>
        <vertAlign val="baseline"/>
        <name val="Arial"/>
        <scheme val="none"/>
      </font>
      <numFmt numFmtId="166" formatCode="_(* #,##0_);_(* \(#,##0\);_(* &quot;-&quot;??_);_(@_)"/>
      <protection locked="0" hidden="0"/>
    </dxf>
    <dxf>
      <font>
        <strike val="0"/>
        <outline val="0"/>
        <shadow val="0"/>
        <u val="none"/>
        <vertAlign val="baseline"/>
        <name val="Arial"/>
        <scheme val="none"/>
      </font>
      <numFmt numFmtId="166" formatCode="_(* #,##0_);_(* \(#,##0\);_(* &quot;-&quot;??_);_(@_)"/>
      <protection locked="0" hidden="0"/>
    </dxf>
    <dxf>
      <font>
        <strike val="0"/>
        <outline val="0"/>
        <shadow val="0"/>
        <u val="none"/>
        <vertAlign val="baseline"/>
        <name val="Arial"/>
        <scheme val="none"/>
      </font>
      <numFmt numFmtId="166" formatCode="_(* #,##0_);_(* \(#,##0\);_(* &quot;-&quot;??_);_(@_)"/>
      <protection locked="0" hidden="0"/>
    </dxf>
    <dxf>
      <font>
        <strike val="0"/>
        <outline val="0"/>
        <shadow val="0"/>
        <u val="none"/>
        <vertAlign val="baseline"/>
        <name val="Arial"/>
        <scheme val="none"/>
      </font>
      <protection locked="0" hidden="0"/>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left" vertical="bottom" textRotation="0" wrapText="0" indent="0" justifyLastLine="0" shrinkToFit="0" readingOrder="0"/>
      <protection locked="0" hidden="0"/>
    </dxf>
    <dxf>
      <font>
        <strike val="0"/>
        <outline val="0"/>
        <shadow val="0"/>
        <u val="none"/>
        <vertAlign val="baseline"/>
        <name val="Arial"/>
        <scheme val="none"/>
      </font>
      <protection locked="0" hidden="0"/>
    </dxf>
    <dxf>
      <font>
        <b val="0"/>
        <i val="0"/>
        <strike val="0"/>
        <condense val="0"/>
        <extend val="0"/>
        <outline val="0"/>
        <shadow val="0"/>
        <u val="none"/>
        <vertAlign val="baseline"/>
        <sz val="10"/>
        <color auto="1"/>
        <name val="Arial"/>
        <scheme val="none"/>
      </font>
      <protection locked="0" hidden="0"/>
    </dxf>
    <dxf>
      <font>
        <b/>
        <i val="0"/>
      </font>
      <fill>
        <patternFill>
          <bgColor rgb="FFD7D7D7"/>
        </patternFill>
      </fill>
    </dxf>
    <dxf>
      <font>
        <b val="0"/>
        <i val="0"/>
      </font>
      <fill>
        <patternFill patternType="none">
          <bgColor indexed="65"/>
        </patternFill>
      </fill>
    </dxf>
  </dxfs>
  <tableStyles count="1" defaultTableStyle="TableStyleMedium9" defaultPivotStyle="PivotStyleLight16">
    <tableStyle name="MySqlDefault" pivot="0" table="0" count="2" xr9:uid="{00000000-0011-0000-FFFF-FFFF00000000}">
      <tableStyleElement type="wholeTable" dxfId="91"/>
      <tableStyleElement type="headerRow" dxfId="90"/>
    </tableStyle>
  </tableStyles>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12</xdr:col>
      <xdr:colOff>990600</xdr:colOff>
      <xdr:row>93</xdr:row>
      <xdr:rowOff>69850</xdr:rowOff>
    </xdr:from>
    <xdr:to>
      <xdr:col>22</xdr:col>
      <xdr:colOff>533400</xdr:colOff>
      <xdr:row>130</xdr:row>
      <xdr:rowOff>95982</xdr:rowOff>
    </xdr:to>
    <xdr:pic>
      <xdr:nvPicPr>
        <xdr:cNvPr id="28760" name="Picture 2">
          <a:extLst>
            <a:ext uri="{FF2B5EF4-FFF2-40B4-BE49-F238E27FC236}">
              <a16:creationId xmlns:a16="http://schemas.microsoft.com/office/drawing/2014/main" id="{5A790EA8-4DB3-4202-90F0-D7E93D8E90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29150" y="16713200"/>
          <a:ext cx="7816850" cy="904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1016000</xdr:colOff>
      <xdr:row>137</xdr:row>
      <xdr:rowOff>127000</xdr:rowOff>
    </xdr:from>
    <xdr:to>
      <xdr:col>22</xdr:col>
      <xdr:colOff>619125</xdr:colOff>
      <xdr:row>170</xdr:row>
      <xdr:rowOff>85724</xdr:rowOff>
    </xdr:to>
    <xdr:pic>
      <xdr:nvPicPr>
        <xdr:cNvPr id="28761" name="Picture 1">
          <a:extLst>
            <a:ext uri="{FF2B5EF4-FFF2-40B4-BE49-F238E27FC236}">
              <a16:creationId xmlns:a16="http://schemas.microsoft.com/office/drawing/2014/main" id="{5A50BF62-D199-4733-B84A-3522DA858A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7354550" y="27495500"/>
          <a:ext cx="7874000" cy="582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sueannrichardson/Downloads/2008%20GHGINVIMP%20as%20AP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 923 Generation and Fuel Da"/>
      <sheetName val="EPA Part 75 data"/>
      <sheetName val="Electric Power Annual Table A3"/>
      <sheetName val="IPCC Guidelines Table 2.2"/>
      <sheetName val="Calculating CO2e"/>
      <sheetName val="rps transfers"/>
      <sheetName val="rps - Calculating CO2e"/>
      <sheetName val="ISO load-generation-imports"/>
      <sheetName val="Imported Emissions"/>
      <sheetName val="GWPs"/>
    </sheetNames>
    <sheetDataSet>
      <sheetData sheetId="0"/>
      <sheetData sheetId="1"/>
      <sheetData sheetId="2"/>
      <sheetData sheetId="3"/>
      <sheetData sheetId="4"/>
      <sheetData sheetId="5"/>
      <sheetData sheetId="6"/>
      <sheetData sheetId="7"/>
      <sheetData sheetId="8"/>
      <sheetData sheetId="9">
        <row r="11">
          <cell r="B11" t="str">
            <v>SAR</v>
          </cell>
        </row>
        <row r="12">
          <cell r="B12" t="str">
            <v>AR4</v>
          </cell>
        </row>
        <row r="13">
          <cell r="B13" t="str">
            <v>AR5</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2" displayName="Table2" ref="A14:H23" totalsRowShown="0" headerRowDxfId="89" dataDxfId="88">
  <tableColumns count="8">
    <tableColumn id="1" xr3:uid="{00000000-0010-0000-0000-000001000000}" name="Fuel Types " dataDxfId="87"/>
    <tableColumn id="2" xr3:uid="{00000000-0010-0000-0000-000002000000}" name="Into State - MSS Meter (MMBtu)" dataDxfId="86"/>
    <tableColumn id="3" xr3:uid="{00000000-0010-0000-0000-000003000000}" name="Into State - IMP Meter (MMBtu)2" dataDxfId="85"/>
    <tableColumn id="4" xr3:uid="{00000000-0010-0000-0000-000004000000}" name="Into State - NON Meter (MMBtu)" dataDxfId="84" dataCellStyle="Comma"/>
    <tableColumn id="5" xr3:uid="{00000000-0010-0000-0000-000005000000}" name="Out of State -_x000a_MSS Meter _x000a_(MMBtu)" dataDxfId="83" dataCellStyle="Comma"/>
    <tableColumn id="6" xr3:uid="{00000000-0010-0000-0000-000006000000}" name="*Form 923 trash split" dataDxfId="82" dataCellStyle="Comma"/>
    <tableColumn id="7" xr3:uid="{00000000-0010-0000-0000-000007000000}" name="  -" dataDxfId="81" dataCellStyle="Comma"/>
    <tableColumn id="9" xr3:uid="{00000000-0010-0000-0000-000009000000}" name="Net Heat Input from all GIS certificates (MMBtu)" dataDxfId="80" dataCellStyle="Comma"/>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3" displayName="Table3" ref="A26:H35" totalsRowShown="0" headerRowDxfId="79" dataDxfId="78">
  <autoFilter ref="A26:H35" xr:uid="{00000000-0009-0000-0100-000002000000}"/>
  <tableColumns count="8">
    <tableColumn id="1" xr3:uid="{00000000-0010-0000-0100-000001000000}" name="Fuel Types " dataDxfId="77"/>
    <tableColumn id="2" xr3:uid="{00000000-0010-0000-0100-000002000000}" name="Into State - MSS Meter (MMBtu)" dataDxfId="76"/>
    <tableColumn id="3" xr3:uid="{00000000-0010-0000-0100-000003000000}" name="Into State - IMP Meter (MMBtu)2" dataDxfId="75"/>
    <tableColumn id="4" xr3:uid="{00000000-0010-0000-0100-000004000000}" name="Into State - NON Meter (MMBtu)" dataDxfId="74"/>
    <tableColumn id="5" xr3:uid="{00000000-0010-0000-0100-000005000000}" name="Out of State -_x000a_MSS Meter _x000a_(MMBtu)" dataDxfId="73"/>
    <tableColumn id="6" xr3:uid="{00000000-0010-0000-0100-000006000000}" name="*Form 923 trash split" dataDxfId="72"/>
    <tableColumn id="7" xr3:uid="{00000000-0010-0000-0100-000007000000}" name="  -" dataDxfId="71"/>
    <tableColumn id="8" xr3:uid="{00000000-0010-0000-0100-000008000000}" name="Net Heat Input from all GIS certificates (MMBtu)" dataDxfId="70" dataCellStyle="Comma"/>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4" displayName="Table4" ref="A38:H47" totalsRowShown="0" headerRowDxfId="69" dataDxfId="68">
  <autoFilter ref="A38:H47" xr:uid="{00000000-0009-0000-0100-000003000000}"/>
  <tableColumns count="8">
    <tableColumn id="1" xr3:uid="{00000000-0010-0000-0200-000001000000}" name="Fuel Types " dataDxfId="67"/>
    <tableColumn id="2" xr3:uid="{00000000-0010-0000-0200-000002000000}" name="Into State - MSS Meter (MMBtu)" dataDxfId="66"/>
    <tableColumn id="3" xr3:uid="{00000000-0010-0000-0200-000003000000}" name="Into State - IMP Meter (MMBtu)2" dataDxfId="65"/>
    <tableColumn id="4" xr3:uid="{00000000-0010-0000-0200-000004000000}" name="Into State - NON Meter (MMBtu)" dataDxfId="64"/>
    <tableColumn id="5" xr3:uid="{00000000-0010-0000-0200-000005000000}" name="Out of State -_x000a_MSS Meter _x000a_(MMBtu)" dataDxfId="63"/>
    <tableColumn id="6" xr3:uid="{00000000-0010-0000-0200-000006000000}" name="*Form 923 trash split" dataDxfId="62"/>
    <tableColumn id="7" xr3:uid="{00000000-0010-0000-0200-000007000000}" name="  -" dataDxfId="61"/>
    <tableColumn id="8" xr3:uid="{00000000-0010-0000-0200-000008000000}" name="Net Heat Input from all GIS certificates (MMBtu)" dataDxfId="60" dataCellStyle="Comma"/>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5" displayName="Table5" ref="A50:H59" totalsRowShown="0" headerRowDxfId="59" dataDxfId="58">
  <autoFilter ref="A50:H59" xr:uid="{00000000-0009-0000-0100-000004000000}"/>
  <tableColumns count="8">
    <tableColumn id="1" xr3:uid="{00000000-0010-0000-0300-000001000000}" name="Fuel Types " dataDxfId="57"/>
    <tableColumn id="2" xr3:uid="{00000000-0010-0000-0300-000002000000}" name="Into State - MSS Meter (MMBtu)" dataDxfId="56" dataCellStyle="Comma"/>
    <tableColumn id="3" xr3:uid="{00000000-0010-0000-0300-000003000000}" name="Into State - IMP Meter (MMBtu)2" dataDxfId="55" dataCellStyle="Comma"/>
    <tableColumn id="4" xr3:uid="{00000000-0010-0000-0300-000004000000}" name="Into State - NON Meter (MMBtu)" dataDxfId="54" dataCellStyle="Comma"/>
    <tableColumn id="5" xr3:uid="{00000000-0010-0000-0300-000005000000}" name="Out of State -_x000a_MSS Meter _x000a_(MMBtu)" dataDxfId="53" dataCellStyle="Comma"/>
    <tableColumn id="6" xr3:uid="{00000000-0010-0000-0300-000006000000}" name="*Form 923 trash split" dataDxfId="52"/>
    <tableColumn id="7" xr3:uid="{00000000-0010-0000-0300-000007000000}" name="  -" dataDxfId="51" dataCellStyle="Comma"/>
    <tableColumn id="8" xr3:uid="{00000000-0010-0000-0300-000008000000}" name="Net Heat Input from all GIS certificates (MMBtu)" dataDxfId="50" dataCellStyle="Comma"/>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6" displayName="Table6" ref="A62:H71" totalsRowShown="0" headerRowDxfId="49" dataDxfId="48">
  <autoFilter ref="A62:H71" xr:uid="{00000000-0009-0000-0100-000005000000}"/>
  <tableColumns count="8">
    <tableColumn id="1" xr3:uid="{00000000-0010-0000-0400-000001000000}" name="Fuel Types " dataDxfId="47"/>
    <tableColumn id="2" xr3:uid="{00000000-0010-0000-0400-000002000000}" name="Into State - MSS Meter (MMBtu)" dataDxfId="46" dataCellStyle="Comma"/>
    <tableColumn id="3" xr3:uid="{00000000-0010-0000-0400-000003000000}" name="Into State - IMP Meter (MMBtu)2" dataDxfId="45" dataCellStyle="Comma"/>
    <tableColumn id="4" xr3:uid="{00000000-0010-0000-0400-000004000000}" name="Into State - NON Meter (MMBtu)" dataDxfId="44" dataCellStyle="Comma"/>
    <tableColumn id="5" xr3:uid="{00000000-0010-0000-0400-000005000000}" name="Out of State -_x000a_MSS Meter _x000a_(MMBtu)" dataDxfId="43" dataCellStyle="Comma"/>
    <tableColumn id="6" xr3:uid="{00000000-0010-0000-0400-000006000000}" name="*Form 923 trash split" dataDxfId="42"/>
    <tableColumn id="7" xr3:uid="{00000000-0010-0000-0400-000007000000}" name="  -" dataDxfId="41" dataCellStyle="Comma"/>
    <tableColumn id="8" xr3:uid="{00000000-0010-0000-0400-000008000000}" name="Net Heat Input from all GIS certificates (MMBtu)" dataDxfId="40" dataCellStyle="Comma"/>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7" displayName="Table7" ref="A74:H83" totalsRowShown="0" headerRowDxfId="39" dataDxfId="38">
  <autoFilter ref="A74:H83" xr:uid="{00000000-0009-0000-0100-000006000000}"/>
  <tableColumns count="8">
    <tableColumn id="1" xr3:uid="{00000000-0010-0000-0500-000001000000}" name="Fuel Types " dataDxfId="37"/>
    <tableColumn id="2" xr3:uid="{00000000-0010-0000-0500-000002000000}" name="Into State - MSS Meter (MMBtu)" dataDxfId="36" dataCellStyle="Comma"/>
    <tableColumn id="3" xr3:uid="{00000000-0010-0000-0500-000003000000}" name="Into State - IMP Meter (MMBtu)2" dataDxfId="35" dataCellStyle="Comma"/>
    <tableColumn id="4" xr3:uid="{00000000-0010-0000-0500-000004000000}" name="Into State - NON Meter (MMBtu)" dataDxfId="34" dataCellStyle="Comma"/>
    <tableColumn id="5" xr3:uid="{00000000-0010-0000-0500-000005000000}" name="Out of State -_x000a_MSS Meter _x000a_(MMBtu)" dataDxfId="33" dataCellStyle="Comma"/>
    <tableColumn id="6" xr3:uid="{00000000-0010-0000-0500-000006000000}" name="*Form 923 trash split" dataDxfId="32"/>
    <tableColumn id="7" xr3:uid="{00000000-0010-0000-0500-000007000000}" name="  -" dataDxfId="31" dataCellStyle="Comma"/>
    <tableColumn id="8" xr3:uid="{00000000-0010-0000-0500-000008000000}" name="Net Heat Input from all GIS certificates (MMBtu)" dataDxfId="30" dataCellStyle="Comma"/>
  </tableColumns>
  <tableStyleInfo name="TableStyleMedium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9" displayName="Table9" ref="A86:H95" totalsRowShown="0" headerRowDxfId="29" dataDxfId="28">
  <autoFilter ref="A86:H95" xr:uid="{00000000-0009-0000-0100-000007000000}"/>
  <tableColumns count="8">
    <tableColumn id="1" xr3:uid="{00000000-0010-0000-0600-000001000000}" name="Fuel Types " dataDxfId="27"/>
    <tableColumn id="2" xr3:uid="{00000000-0010-0000-0600-000002000000}" name=" - " dataDxfId="26"/>
    <tableColumn id="3" xr3:uid="{00000000-0010-0000-0600-000003000000}" name="  - " dataDxfId="25"/>
    <tableColumn id="4" xr3:uid="{00000000-0010-0000-0600-000004000000}" name="-" dataDxfId="24"/>
    <tableColumn id="5" xr3:uid="{00000000-0010-0000-0600-000005000000}" name="Out of State -_x000a_IMP Meter _x000a_(MMBtu)" dataDxfId="23" dataCellStyle="Comma"/>
    <tableColumn id="6" xr3:uid="{00000000-0010-0000-0600-000006000000}" name="*Form 923 trash split" dataDxfId="22"/>
    <tableColumn id="7" xr3:uid="{00000000-0010-0000-0600-000007000000}" name="  -" dataDxfId="21"/>
    <tableColumn id="8" xr3:uid="{00000000-0010-0000-0600-000008000000}" name="Net Heat Input from all GIS certificates (MMBtu)" dataDxfId="20" dataCellStyle="Comma"/>
  </tableColumns>
  <tableStyleInfo name="TableStyleMedium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10" displayName="Table10" ref="A98:H107" totalsRowShown="0" headerRowDxfId="19" dataDxfId="18">
  <autoFilter ref="A98:H107" xr:uid="{00000000-0009-0000-0100-000008000000}"/>
  <tableColumns count="8">
    <tableColumn id="1" xr3:uid="{00000000-0010-0000-0700-000001000000}" name="Fuel Types " dataDxfId="17"/>
    <tableColumn id="2" xr3:uid="{00000000-0010-0000-0700-000002000000}" name=" - " dataDxfId="16"/>
    <tableColumn id="3" xr3:uid="{00000000-0010-0000-0700-000003000000}" name="  - " dataDxfId="15"/>
    <tableColumn id="4" xr3:uid="{00000000-0010-0000-0700-000004000000}" name="-" dataDxfId="14"/>
    <tableColumn id="5" xr3:uid="{00000000-0010-0000-0700-000005000000}" name="Out of Province_x000a_IMP Meter _x000a_(MMBtu)" dataDxfId="13"/>
    <tableColumn id="6" xr3:uid="{00000000-0010-0000-0700-000006000000}" name="*Form 923 trash split" dataDxfId="12"/>
    <tableColumn id="7" xr3:uid="{00000000-0010-0000-0700-000007000000}" name="  -" dataDxfId="11"/>
    <tableColumn id="8" xr3:uid="{00000000-0010-0000-0700-000008000000}" name="Net Heat Input from all GIS certificates (MMBtu)" dataDxfId="10" dataCellStyle="Comma"/>
  </tableColumns>
  <tableStyleInfo name="TableStyleMedium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Table29" displayName="Table29" ref="A110:H119" totalsRowShown="0" headerRowDxfId="9" dataDxfId="8">
  <autoFilter ref="A110:H119" xr:uid="{00000000-0009-0000-0100-000009000000}"/>
  <tableColumns count="8">
    <tableColumn id="1" xr3:uid="{00000000-0010-0000-0800-000001000000}" name="Fuel Types " dataDxfId="7"/>
    <tableColumn id="2" xr3:uid="{00000000-0010-0000-0800-000002000000}" name=" - " dataDxfId="6"/>
    <tableColumn id="3" xr3:uid="{00000000-0010-0000-0800-000003000000}" name="  - " dataDxfId="5"/>
    <tableColumn id="4" xr3:uid="{00000000-0010-0000-0800-000004000000}" name="-" dataDxfId="4"/>
    <tableColumn id="5" xr3:uid="{00000000-0010-0000-0800-000005000000}" name="Out of Province_x000a_IMP Meter _x000a_(MMBtu)" dataDxfId="3"/>
    <tableColumn id="6" xr3:uid="{00000000-0010-0000-0800-000006000000}" name="*Form 923 trash split" dataDxfId="2"/>
    <tableColumn id="7" xr3:uid="{00000000-0010-0000-0800-000007000000}" name="  -" dataDxfId="1"/>
    <tableColumn id="8" xr3:uid="{00000000-0010-0000-0800-000008000000}" name="Net Heat Input from all GIS certificates (MMBtu)" dataDxfId="0" dataCellStyle="Comma"/>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hyperlink" Target="https://www.ipcc.ch/site/assets/uploads/2019/06/2019-Refinement_Energy_SBSTA-IPCC_Special-Event.pdf" TargetMode="External"/><Relationship Id="rId3" Type="http://schemas.openxmlformats.org/officeDocument/2006/relationships/hyperlink" Target="https://www.govinfo.gov/content/pkg/CFR-2023-title40-vol23/pdf/CFR-2023-title40-vol23-part98-subpartC-appC.pdf" TargetMode="External"/><Relationship Id="rId7" Type="http://schemas.openxmlformats.org/officeDocument/2006/relationships/hyperlink" Target="https://www.govinfo.gov/content/pkg/FR-2016-12-09/pdf/2016-28564.pdf" TargetMode="External"/><Relationship Id="rId2" Type="http://schemas.openxmlformats.org/officeDocument/2006/relationships/hyperlink" Target="https://www.govinfo.gov/content/pkg/CFR-2023-title40-vol23/pdf/CFR-2023-title40-vol23-part98-subpartC-appC-id531.pdf" TargetMode="External"/><Relationship Id="rId1" Type="http://schemas.openxmlformats.org/officeDocument/2006/relationships/hyperlink" Target="http://www.ipcc-nggip.iges.or.jp/public/2006gl/pdf/2_Volume2/V2_2_Ch2_Stationary_Combustion.pdf" TargetMode="External"/><Relationship Id="rId6" Type="http://schemas.openxmlformats.org/officeDocument/2006/relationships/hyperlink" Target="https://www.federalregister.gov/documents/2024/05/14/2024-08988/greenhouse-gas-reporting-rule-revisions-and-confidentiality-determinations-for-petroleum-and-natural" TargetMode="External"/><Relationship Id="rId11" Type="http://schemas.openxmlformats.org/officeDocument/2006/relationships/comments" Target="../comments6.xml"/><Relationship Id="rId5" Type="http://schemas.openxmlformats.org/officeDocument/2006/relationships/hyperlink" Target="https://www.epa.gov/sites/production/files/2015-07/documents/catalog_of_chp_technologies_section_6._technology_characterization_-_fuel_cells.pdf" TargetMode="External"/><Relationship Id="rId10" Type="http://schemas.openxmlformats.org/officeDocument/2006/relationships/vmlDrawing" Target="../drawings/vmlDrawing6.vml"/><Relationship Id="rId4" Type="http://schemas.openxmlformats.org/officeDocument/2006/relationships/hyperlink" Target="http://www.eia.gov/electricity/annual/" TargetMode="External"/><Relationship Id="rId9"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iso-ne.com/isoexpress/web/reports/load-and-demand/-/tree/net-ener-peak-load" TargetMode="External"/><Relationship Id="rId7" Type="http://schemas.openxmlformats.org/officeDocument/2006/relationships/printerSettings" Target="../printerSettings/printerSettings3.bin"/><Relationship Id="rId2" Type="http://schemas.openxmlformats.org/officeDocument/2006/relationships/hyperlink" Target="https://www.iso-ne.com/search?query=2019%20generation%20and%20load%20by%20state" TargetMode="External"/><Relationship Id="rId1" Type="http://schemas.openxmlformats.org/officeDocument/2006/relationships/hyperlink" Target="https://www150.statcan.gc.ca/t1/tbl1/en/tv.action?pid=2510002001&amp;pickMembers%5B0%5D=1.1&amp;pickMembers%5B1%5D=3.1" TargetMode="External"/><Relationship Id="rId6" Type="http://schemas.openxmlformats.org/officeDocument/2006/relationships/hyperlink" Target="https://www.iso-ne.com/isoexpress/web/reports/load-and-demand/-/tree/net-ener-peak-load" TargetMode="External"/><Relationship Id="rId5" Type="http://schemas.openxmlformats.org/officeDocument/2006/relationships/hyperlink" Target="https://view.officeapps.live.com/op/view.aspx?src=https%3A%2F%2Fwww.iso-ne.com%2Fstatic-assets%2Fdocuments%2F2022%2F02%2F2022_energy_peak_by_source.xlsx&amp;wdOrigin=BROWSELINK" TargetMode="External"/><Relationship Id="rId4" Type="http://schemas.openxmlformats.org/officeDocument/2006/relationships/hyperlink" Target="https://www.iso-ne.com/search?query=energy%20peak%20by%20source" TargetMode="External"/><Relationship Id="rId9"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5.bin"/><Relationship Id="rId1" Type="http://schemas.openxmlformats.org/officeDocument/2006/relationships/hyperlink" Target="https://www.eia.gov/electricity/data/eia923/" TargetMode="External"/><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campd.epa.gov/"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8" Type="http://schemas.openxmlformats.org/officeDocument/2006/relationships/table" Target="../tables/table8.xml"/><Relationship Id="rId3" Type="http://schemas.openxmlformats.org/officeDocument/2006/relationships/table" Target="../tables/table3.xml"/><Relationship Id="rId7" Type="http://schemas.openxmlformats.org/officeDocument/2006/relationships/table" Target="../tables/table7.xml"/><Relationship Id="rId2" Type="http://schemas.openxmlformats.org/officeDocument/2006/relationships/table" Target="../tables/table2.xml"/><Relationship Id="rId1" Type="http://schemas.openxmlformats.org/officeDocument/2006/relationships/table" Target="../tables/table1.xml"/><Relationship Id="rId6" Type="http://schemas.openxmlformats.org/officeDocument/2006/relationships/table" Target="../tables/table6.xml"/><Relationship Id="rId5" Type="http://schemas.openxmlformats.org/officeDocument/2006/relationships/table" Target="../tables/table5.xml"/><Relationship Id="rId4" Type="http://schemas.openxmlformats.org/officeDocument/2006/relationships/table" Target="../tables/table4.xml"/><Relationship Id="rId9" Type="http://schemas.openxmlformats.org/officeDocument/2006/relationships/table" Target="../tables/table9.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8.bin"/><Relationship Id="rId1" Type="http://schemas.openxmlformats.org/officeDocument/2006/relationships/hyperlink" Target="https://www.mass.gov/guides/solar-carve-out-and-solar-carve-out-ii-program-information?_gl=1*vf7t1u*_ga*MTE0NjMwNDc0MC4xNzE0MTM5MjI1*_ga_MCLPEGW7WM*MTcxNjMwODY5MC4xMi4wLjE3MTYzMDg2OTAuMC4wLjA."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pageSetUpPr fitToPage="1"/>
  </sheetPr>
  <dimension ref="A1:DS59"/>
  <sheetViews>
    <sheetView tabSelected="1" zoomScaleNormal="100" workbookViewId="0"/>
  </sheetViews>
  <sheetFormatPr defaultColWidth="9.1796875" defaultRowHeight="13"/>
  <cols>
    <col min="1" max="1" width="3.453125" style="91" customWidth="1"/>
    <col min="2" max="2" width="4.54296875" style="91" customWidth="1"/>
    <col min="3" max="3" width="8.1796875" style="91" customWidth="1"/>
    <col min="4" max="4" width="17.81640625" style="91" customWidth="1"/>
    <col min="5" max="5" width="17" style="91" customWidth="1"/>
    <col min="6" max="6" width="16.81640625" style="91" customWidth="1"/>
    <col min="7" max="7" width="19.453125" style="91" customWidth="1"/>
    <col min="8" max="8" width="18.453125" style="91" customWidth="1"/>
    <col min="9" max="9" width="19" style="91" customWidth="1"/>
    <col min="10" max="10" width="17.54296875" style="91" customWidth="1"/>
    <col min="11" max="11" width="16.54296875" style="91" customWidth="1"/>
    <col min="12" max="12" width="14.81640625" style="91" customWidth="1"/>
    <col min="13" max="13" width="13" style="91" customWidth="1"/>
    <col min="14" max="14" width="20.453125" style="91" customWidth="1"/>
    <col min="15" max="15" width="19.1796875" style="91" customWidth="1"/>
    <col min="16" max="16" width="22" style="91" customWidth="1"/>
    <col min="17" max="17" width="19.453125" style="91" customWidth="1"/>
    <col min="18" max="18" width="19.1796875" style="91" customWidth="1"/>
    <col min="19" max="19" width="17.81640625" style="91" customWidth="1"/>
    <col min="20" max="20" width="18.453125" style="91" customWidth="1"/>
    <col min="21" max="21" width="16.453125" style="91" customWidth="1"/>
    <col min="22" max="22" width="18.453125" style="91" customWidth="1"/>
    <col min="23" max="23" width="15.453125" style="91" customWidth="1"/>
    <col min="24" max="24" width="13.453125" style="91" customWidth="1"/>
    <col min="25" max="25" width="15.453125" style="91" customWidth="1"/>
    <col min="26" max="26" width="12" style="91" customWidth="1"/>
    <col min="27" max="27" width="15" style="91" customWidth="1"/>
    <col min="28" max="28" width="14.453125" style="91" customWidth="1"/>
    <col min="29" max="29" width="13.453125" style="91" customWidth="1"/>
    <col min="30" max="30" width="12" style="91" customWidth="1"/>
    <col min="31" max="31" width="9" style="91" customWidth="1"/>
    <col min="32" max="32" width="12.453125" style="91" customWidth="1"/>
    <col min="33" max="33" width="12.81640625" style="91" customWidth="1"/>
    <col min="34" max="34" width="15" style="91" customWidth="1"/>
    <col min="35" max="35" width="12.54296875" style="91" customWidth="1"/>
    <col min="36" max="36" width="16.81640625" style="91" customWidth="1"/>
    <col min="37" max="37" width="14.453125" style="91" customWidth="1"/>
    <col min="38" max="38" width="17.1796875" style="91" customWidth="1"/>
    <col min="39" max="39" width="14.453125" style="91" customWidth="1"/>
    <col min="40" max="40" width="7.1796875" style="91" customWidth="1"/>
    <col min="41" max="41" width="13.453125" style="91" customWidth="1"/>
    <col min="42" max="42" width="11.81640625" style="91" customWidth="1"/>
    <col min="43" max="43" width="14" style="91" customWidth="1"/>
    <col min="44" max="44" width="12.81640625" style="91" customWidth="1"/>
    <col min="45" max="45" width="10.453125" style="91" customWidth="1"/>
    <col min="46" max="46" width="12.54296875" style="91" customWidth="1"/>
    <col min="47" max="47" width="12.453125" style="91" customWidth="1"/>
    <col min="48" max="48" width="12.81640625" style="91" customWidth="1"/>
    <col min="49" max="49" width="9" style="91" customWidth="1"/>
    <col min="50" max="50" width="13.1796875" style="91" customWidth="1"/>
    <col min="51" max="51" width="12.453125" style="91" customWidth="1"/>
    <col min="52" max="52" width="12.1796875" style="91" customWidth="1"/>
    <col min="53" max="53" width="11" style="91" customWidth="1"/>
    <col min="54" max="54" width="10.1796875" style="91" customWidth="1"/>
    <col min="55" max="55" width="15.453125" style="91" customWidth="1"/>
    <col min="56" max="56" width="14.453125" style="91" customWidth="1"/>
    <col min="57" max="57" width="13.453125" style="91" customWidth="1"/>
    <col min="58" max="58" width="7.81640625" style="91" customWidth="1"/>
    <col min="59" max="59" width="10.54296875" style="91" customWidth="1"/>
    <col min="60" max="60" width="9.81640625" style="91" bestFit="1" customWidth="1"/>
    <col min="61" max="63" width="9.81640625" style="91" customWidth="1"/>
    <col min="64" max="64" width="14.1796875" style="91" customWidth="1"/>
    <col min="65" max="65" width="14.453125" style="91" customWidth="1"/>
    <col min="66" max="66" width="11.54296875" style="91" customWidth="1"/>
    <col min="67" max="67" width="8.1796875" style="91" customWidth="1"/>
    <col min="68" max="68" width="5.54296875" style="91" customWidth="1"/>
    <col min="69" max="69" width="6.81640625" style="91" customWidth="1"/>
    <col min="70" max="70" width="12" style="91" customWidth="1"/>
    <col min="71" max="71" width="13.54296875" style="91" customWidth="1"/>
    <col min="72" max="72" width="11.453125" style="91" customWidth="1"/>
    <col min="73" max="73" width="10.54296875" style="91" customWidth="1"/>
    <col min="74" max="74" width="15" style="91" customWidth="1"/>
    <col min="75" max="75" width="13.81640625" style="91" customWidth="1"/>
    <col min="76" max="76" width="13.453125" style="91" customWidth="1"/>
    <col min="77" max="77" width="7.54296875" style="91" customWidth="1"/>
    <col min="78" max="78" width="14.81640625" style="91" customWidth="1"/>
    <col min="79" max="79" width="15.1796875" style="91" customWidth="1"/>
    <col min="80" max="80" width="12" style="91" customWidth="1"/>
    <col min="81" max="81" width="16" style="91" customWidth="1"/>
    <col min="82" max="82" width="15.453125" style="91" customWidth="1"/>
    <col min="83" max="83" width="7.453125" style="91" customWidth="1"/>
    <col min="84" max="84" width="15" style="91" customWidth="1"/>
    <col min="85" max="85" width="12.453125" style="91" customWidth="1"/>
    <col min="86" max="87" width="12.81640625" style="91" customWidth="1"/>
    <col min="88" max="88" width="14.453125" style="91" customWidth="1"/>
    <col min="89" max="89" width="6.81640625" style="91" customWidth="1"/>
    <col min="90" max="90" width="5.54296875" style="91" customWidth="1"/>
    <col min="91" max="91" width="8.54296875" style="91" customWidth="1"/>
    <col min="92" max="92" width="15.453125" style="91" customWidth="1"/>
    <col min="93" max="95" width="14.1796875" style="91" customWidth="1"/>
    <col min="96" max="96" width="12.1796875" style="91" customWidth="1"/>
    <col min="97" max="97" width="16.1796875" style="91" customWidth="1"/>
    <col min="98" max="98" width="18.453125" style="91" customWidth="1"/>
    <col min="99" max="99" width="21.1796875" style="91" customWidth="1"/>
    <col min="100" max="100" width="6.1796875" style="91" customWidth="1"/>
    <col min="101" max="101" width="10.453125" style="91" customWidth="1"/>
    <col min="102" max="102" width="10" style="91" customWidth="1"/>
    <col min="103" max="103" width="11" style="91" bestFit="1" customWidth="1"/>
    <col min="104" max="104" width="9.1796875" style="91"/>
    <col min="105" max="105" width="12.453125" style="91" customWidth="1"/>
    <col min="106" max="106" width="11.1796875" style="91" bestFit="1" customWidth="1"/>
    <col min="107" max="107" width="8.1796875" style="91" customWidth="1"/>
    <col min="108" max="108" width="13.81640625" style="91" customWidth="1"/>
    <col min="109" max="16384" width="9.1796875" style="91"/>
  </cols>
  <sheetData>
    <row r="1" spans="3:90" ht="16.5" customHeight="1" thickBot="1">
      <c r="G1" s="252"/>
      <c r="H1" s="252"/>
      <c r="I1" s="253"/>
      <c r="J1" s="253"/>
      <c r="K1" s="253"/>
      <c r="Q1" s="254"/>
      <c r="AA1" s="252"/>
      <c r="AG1" s="254"/>
      <c r="AX1" s="252"/>
      <c r="AY1" s="252"/>
      <c r="AZ1" s="252"/>
      <c r="BD1" s="254"/>
      <c r="BQ1" s="252"/>
      <c r="BR1" s="252"/>
      <c r="BS1" s="252"/>
    </row>
    <row r="2" spans="3:90" ht="15.75" customHeight="1">
      <c r="C2" s="751" t="s">
        <v>3956</v>
      </c>
      <c r="D2" s="752"/>
      <c r="E2" s="752"/>
      <c r="F2" s="752"/>
      <c r="G2" s="752"/>
      <c r="H2" s="753"/>
      <c r="I2" s="581"/>
      <c r="J2" s="581"/>
      <c r="K2" s="581"/>
      <c r="L2" s="581"/>
      <c r="M2" s="581"/>
      <c r="Q2" s="254"/>
      <c r="AG2" s="254"/>
      <c r="AX2" s="252"/>
      <c r="AY2" s="252"/>
      <c r="AZ2" s="252"/>
      <c r="BD2" s="254"/>
      <c r="BQ2" s="252"/>
      <c r="BR2" s="252"/>
      <c r="BS2" s="252"/>
      <c r="BZ2" s="255"/>
      <c r="CA2" s="255"/>
      <c r="CB2" s="255"/>
      <c r="CC2" s="255"/>
      <c r="CD2" s="255"/>
      <c r="CE2" s="255"/>
      <c r="CF2" s="255"/>
      <c r="CG2" s="255"/>
    </row>
    <row r="3" spans="3:90" ht="15" customHeight="1">
      <c r="C3" s="754"/>
      <c r="D3" s="755"/>
      <c r="E3" s="755"/>
      <c r="F3" s="755"/>
      <c r="G3" s="755"/>
      <c r="H3" s="756"/>
      <c r="I3" s="581"/>
      <c r="J3" s="581"/>
      <c r="K3" s="581"/>
      <c r="L3" s="581"/>
      <c r="M3" s="581"/>
      <c r="AG3" s="254"/>
      <c r="BD3" s="254"/>
      <c r="BZ3" s="41"/>
      <c r="CA3" s="41"/>
      <c r="CB3" s="41"/>
      <c r="CC3" s="41"/>
      <c r="CD3" s="41"/>
      <c r="CE3" s="41"/>
      <c r="CF3" s="41"/>
      <c r="CG3" s="41"/>
    </row>
    <row r="4" spans="3:90" ht="15.75" customHeight="1" thickBot="1">
      <c r="C4" s="757"/>
      <c r="D4" s="758"/>
      <c r="E4" s="758"/>
      <c r="F4" s="758"/>
      <c r="G4" s="758"/>
      <c r="H4" s="759"/>
      <c r="I4" s="581"/>
      <c r="J4" s="581"/>
      <c r="K4" s="581"/>
      <c r="L4" s="581"/>
      <c r="M4" s="581"/>
      <c r="BZ4" s="41"/>
      <c r="CA4" s="41"/>
      <c r="CB4" s="41"/>
      <c r="CC4" s="41"/>
      <c r="CD4" s="41"/>
      <c r="CE4" s="41"/>
      <c r="CF4" s="41"/>
      <c r="CG4" s="41"/>
    </row>
    <row r="5" spans="3:90" ht="13.5" customHeight="1">
      <c r="G5" s="256"/>
      <c r="H5" s="256"/>
      <c r="AG5" s="254"/>
      <c r="AX5" s="256"/>
      <c r="AY5" s="256"/>
      <c r="AZ5" s="256"/>
      <c r="BD5" s="254"/>
      <c r="BQ5" s="256"/>
      <c r="BR5" s="256"/>
      <c r="BS5" s="256"/>
      <c r="BZ5" s="41"/>
      <c r="CA5" s="257"/>
      <c r="CB5" s="257"/>
      <c r="CC5" s="257"/>
      <c r="CD5" s="257"/>
      <c r="CE5" s="257"/>
      <c r="CF5" s="257"/>
      <c r="CG5" s="257"/>
      <c r="CJ5" s="258"/>
      <c r="CK5" s="258"/>
      <c r="CL5" s="258"/>
    </row>
    <row r="6" spans="3:90" ht="14.5">
      <c r="C6" s="722" t="s">
        <v>3957</v>
      </c>
      <c r="G6" s="256"/>
      <c r="H6" s="256"/>
      <c r="AG6" s="254"/>
      <c r="AX6" s="256"/>
      <c r="AY6" s="256"/>
      <c r="AZ6" s="256"/>
      <c r="BD6" s="254"/>
      <c r="BQ6" s="256"/>
      <c r="BR6" s="256"/>
      <c r="BS6" s="256"/>
      <c r="BZ6" s="41"/>
      <c r="CA6" s="257"/>
      <c r="CB6" s="257"/>
      <c r="CC6" s="257"/>
      <c r="CD6" s="257"/>
      <c r="CE6" s="257"/>
      <c r="CF6" s="257"/>
      <c r="CG6" s="257"/>
      <c r="CJ6" s="258"/>
      <c r="CK6" s="258"/>
      <c r="CL6" s="258"/>
    </row>
    <row r="7" spans="3:90" ht="14.5">
      <c r="C7" s="722" t="s">
        <v>3958</v>
      </c>
      <c r="G7" s="256"/>
      <c r="H7" s="256"/>
      <c r="AG7" s="254"/>
      <c r="AX7" s="256"/>
      <c r="AY7" s="256"/>
      <c r="AZ7" s="256"/>
      <c r="BD7" s="254"/>
      <c r="BQ7" s="256"/>
      <c r="BR7" s="256"/>
      <c r="BS7" s="256"/>
      <c r="BZ7" s="41"/>
      <c r="CA7" s="257"/>
      <c r="CB7" s="257"/>
      <c r="CC7" s="257"/>
      <c r="CD7" s="257"/>
      <c r="CE7" s="257"/>
      <c r="CF7" s="257"/>
      <c r="CG7" s="257"/>
      <c r="CJ7" s="258"/>
      <c r="CK7" s="258"/>
      <c r="CL7" s="258"/>
    </row>
    <row r="8" spans="3:90" ht="14.5">
      <c r="C8" s="723" t="s">
        <v>3959</v>
      </c>
      <c r="G8" s="256"/>
      <c r="H8" s="256"/>
      <c r="AG8" s="254"/>
      <c r="AX8" s="256"/>
      <c r="AY8" s="256"/>
      <c r="AZ8" s="256"/>
      <c r="BD8" s="254"/>
      <c r="BQ8" s="256"/>
      <c r="BR8" s="256"/>
      <c r="BS8" s="256"/>
      <c r="BZ8" s="41"/>
      <c r="CA8" s="257"/>
      <c r="CB8" s="257"/>
      <c r="CC8" s="257"/>
      <c r="CD8" s="257"/>
      <c r="CE8" s="257"/>
      <c r="CF8" s="257"/>
      <c r="CG8" s="257"/>
      <c r="CJ8" s="258"/>
      <c r="CK8" s="258"/>
      <c r="CL8" s="258"/>
    </row>
    <row r="9" spans="3:90" ht="15" thickBot="1">
      <c r="C9" s="747" t="s">
        <v>3977</v>
      </c>
      <c r="G9" s="256"/>
      <c r="H9" s="256"/>
      <c r="AG9" s="254"/>
      <c r="AX9" s="256"/>
      <c r="AY9" s="256"/>
      <c r="AZ9" s="256"/>
      <c r="BD9" s="254"/>
      <c r="BQ9" s="256"/>
      <c r="BR9" s="256"/>
      <c r="BS9" s="256"/>
      <c r="BZ9" s="41"/>
      <c r="CA9" s="257"/>
      <c r="CB9" s="257"/>
      <c r="CC9" s="257"/>
      <c r="CD9" s="257"/>
      <c r="CE9" s="257"/>
      <c r="CF9" s="257"/>
      <c r="CG9" s="257"/>
      <c r="CJ9" s="258"/>
      <c r="CK9" s="258"/>
      <c r="CL9" s="258"/>
    </row>
    <row r="10" spans="3:90" ht="15" thickBot="1">
      <c r="C10" s="259"/>
      <c r="D10" s="582" t="s">
        <v>3990</v>
      </c>
      <c r="G10" s="256"/>
      <c r="H10" s="256"/>
      <c r="W10" s="782" t="s">
        <v>2680</v>
      </c>
      <c r="X10" s="783"/>
      <c r="Y10" s="783"/>
      <c r="Z10" s="783"/>
      <c r="AA10" s="783"/>
      <c r="AB10" s="784"/>
      <c r="AG10" s="254"/>
      <c r="AX10" s="256"/>
      <c r="AY10" s="256"/>
      <c r="AZ10" s="256"/>
      <c r="BD10" s="254"/>
      <c r="BQ10" s="256"/>
      <c r="BR10" s="256"/>
      <c r="BS10" s="256"/>
      <c r="BZ10" s="41"/>
      <c r="CA10" s="257"/>
      <c r="CB10" s="257"/>
      <c r="CC10" s="257"/>
      <c r="CD10" s="257"/>
      <c r="CE10" s="257"/>
      <c r="CF10" s="257"/>
      <c r="CG10" s="257"/>
      <c r="CJ10" s="258"/>
      <c r="CK10" s="258"/>
      <c r="CL10" s="258"/>
    </row>
    <row r="11" spans="3:90" ht="15" thickBot="1">
      <c r="C11" s="261"/>
      <c r="D11" s="582" t="s">
        <v>3991</v>
      </c>
      <c r="G11" s="256"/>
      <c r="H11" s="256"/>
      <c r="W11" s="719"/>
      <c r="X11" s="720"/>
      <c r="Y11" s="720"/>
      <c r="Z11" s="720"/>
      <c r="AA11" s="720"/>
      <c r="AB11" s="721"/>
      <c r="AG11" s="254"/>
      <c r="AX11" s="256"/>
      <c r="AY11" s="256"/>
      <c r="AZ11" s="256"/>
      <c r="BD11" s="254"/>
      <c r="BQ11" s="256"/>
      <c r="BR11" s="256"/>
      <c r="BS11" s="256"/>
      <c r="BZ11" s="41"/>
      <c r="CA11" s="257"/>
      <c r="CB11" s="257"/>
      <c r="CC11" s="257"/>
      <c r="CD11" s="257"/>
      <c r="CE11" s="257"/>
      <c r="CF11" s="257"/>
      <c r="CG11" s="257"/>
      <c r="CJ11" s="258"/>
      <c r="CK11" s="258"/>
      <c r="CL11" s="258"/>
    </row>
    <row r="12" spans="3:90" ht="15" thickBot="1">
      <c r="C12" s="262"/>
      <c r="D12" s="582" t="s">
        <v>3992</v>
      </c>
      <c r="G12" s="256"/>
      <c r="H12" s="256"/>
      <c r="W12" s="719"/>
      <c r="X12" s="720"/>
      <c r="Y12" s="720"/>
      <c r="Z12" s="720"/>
      <c r="AA12" s="720"/>
      <c r="AB12" s="721"/>
      <c r="AG12" s="254"/>
      <c r="AX12" s="256"/>
      <c r="AY12" s="256"/>
      <c r="AZ12" s="256"/>
      <c r="BD12" s="254"/>
      <c r="BQ12" s="256"/>
      <c r="BR12" s="256"/>
      <c r="BS12" s="256"/>
      <c r="BZ12" s="41"/>
      <c r="CA12" s="257"/>
      <c r="CB12" s="257"/>
      <c r="CC12" s="257"/>
      <c r="CD12" s="257"/>
      <c r="CE12" s="257"/>
      <c r="CF12" s="257"/>
      <c r="CG12" s="257"/>
      <c r="CJ12" s="258"/>
      <c r="CK12" s="258"/>
      <c r="CL12" s="258"/>
    </row>
    <row r="13" spans="3:90" ht="15" thickBot="1">
      <c r="C13" s="685"/>
      <c r="J13" s="263"/>
      <c r="K13" s="263"/>
      <c r="L13" s="263"/>
      <c r="N13" s="264"/>
      <c r="O13" s="265"/>
      <c r="P13" s="266"/>
      <c r="R13" s="266"/>
      <c r="S13" s="267"/>
      <c r="T13" s="268"/>
      <c r="U13" s="269"/>
      <c r="V13" s="268"/>
      <c r="W13" s="785" t="s">
        <v>435</v>
      </c>
      <c r="X13" s="786"/>
      <c r="Y13" s="786"/>
      <c r="Z13" s="786"/>
      <c r="AA13" s="786"/>
      <c r="AB13" s="787"/>
    </row>
    <row r="14" spans="3:90" ht="59.5" customHeight="1" thickBot="1">
      <c r="C14" s="693">
        <v>2022</v>
      </c>
      <c r="D14" s="760" t="s">
        <v>3960</v>
      </c>
      <c r="E14" s="761"/>
      <c r="F14" s="762" t="s">
        <v>3961</v>
      </c>
      <c r="G14" s="763"/>
      <c r="H14" s="270"/>
      <c r="I14" s="730" t="s">
        <v>3965</v>
      </c>
      <c r="J14" s="731" t="s">
        <v>187</v>
      </c>
      <c r="K14" s="732" t="s">
        <v>3966</v>
      </c>
      <c r="L14" s="733" t="s">
        <v>3967</v>
      </c>
      <c r="M14" s="260"/>
      <c r="N14" s="760" t="s">
        <v>3971</v>
      </c>
      <c r="O14" s="761"/>
      <c r="P14" s="762" t="s">
        <v>3972</v>
      </c>
      <c r="Q14" s="763"/>
      <c r="R14" s="271"/>
      <c r="S14" s="272"/>
      <c r="T14" s="273"/>
      <c r="U14" s="272"/>
      <c r="V14" s="271"/>
      <c r="W14" s="274"/>
      <c r="X14" s="275" t="s">
        <v>2677</v>
      </c>
      <c r="Y14" s="275" t="s">
        <v>2678</v>
      </c>
      <c r="Z14" s="275" t="s">
        <v>2679</v>
      </c>
      <c r="AA14" s="369" t="s">
        <v>337</v>
      </c>
      <c r="AB14" s="276"/>
      <c r="AE14" s="272"/>
      <c r="AF14" s="273"/>
      <c r="AG14" s="272"/>
      <c r="AH14" s="271"/>
      <c r="AI14" s="272"/>
      <c r="AL14" s="277"/>
      <c r="AM14" s="273"/>
      <c r="AN14" s="277"/>
      <c r="AS14" s="277"/>
      <c r="AT14" s="273"/>
      <c r="AU14" s="277"/>
      <c r="AZ14" s="277"/>
      <c r="BA14" s="273"/>
      <c r="BB14" s="277"/>
    </row>
    <row r="15" spans="3:90" ht="42" customHeight="1">
      <c r="D15" s="768" t="s">
        <v>3962</v>
      </c>
      <c r="E15" s="769"/>
      <c r="F15" s="724" t="s">
        <v>3963</v>
      </c>
      <c r="G15" s="725" t="s">
        <v>3964</v>
      </c>
      <c r="I15" s="734" t="s">
        <v>3968</v>
      </c>
      <c r="J15" s="735">
        <f>K15+L15</f>
        <v>21997952.333333332</v>
      </c>
      <c r="K15" s="735">
        <v>2850288</v>
      </c>
      <c r="L15" s="735">
        <v>19147664.333333332</v>
      </c>
      <c r="N15" s="764" t="s">
        <v>3973</v>
      </c>
      <c r="O15" s="765"/>
      <c r="P15" s="724" t="s">
        <v>3974</v>
      </c>
      <c r="Q15" s="725" t="s">
        <v>3964</v>
      </c>
      <c r="R15" s="278"/>
      <c r="S15" s="278"/>
      <c r="T15" s="278"/>
      <c r="U15" s="272"/>
      <c r="V15" s="279"/>
      <c r="W15" s="274">
        <f>C14</f>
        <v>2022</v>
      </c>
      <c r="X15" s="322">
        <f>'Generation Load Imports'!B30</f>
        <v>287127</v>
      </c>
      <c r="Y15" s="322">
        <f>'Generation Load Imports'!C7*1000</f>
        <v>11029000</v>
      </c>
      <c r="Z15" s="322">
        <f>X15+Y15</f>
        <v>11316127</v>
      </c>
      <c r="AA15" s="587">
        <f>(Y15/Z15)</f>
        <v>0.97462674287766482</v>
      </c>
      <c r="AB15" s="276"/>
      <c r="AE15" s="279"/>
      <c r="AG15" s="272"/>
      <c r="AH15" s="279"/>
      <c r="AI15" s="279"/>
      <c r="AZ15" s="273"/>
      <c r="BA15" s="43"/>
      <c r="BB15" s="43"/>
    </row>
    <row r="16" spans="3:90" ht="15" thickBot="1">
      <c r="D16" s="766" t="s">
        <v>1527</v>
      </c>
      <c r="E16" s="767"/>
      <c r="F16" s="726">
        <f>T24</f>
        <v>454.21727818312922</v>
      </c>
      <c r="G16" s="727">
        <f>CT24</f>
        <v>439.0146159080133</v>
      </c>
      <c r="I16" s="736" t="s">
        <v>3969</v>
      </c>
      <c r="J16" s="737">
        <f>K16+L16</f>
        <v>3274894964.2115278</v>
      </c>
      <c r="K16" s="738">
        <v>16000</v>
      </c>
      <c r="L16" s="739">
        <v>3274878964.2115278</v>
      </c>
      <c r="N16" s="766" t="s">
        <v>1527</v>
      </c>
      <c r="O16" s="767"/>
      <c r="P16" s="726">
        <f>(S24-J16)/(F24-J15)</f>
        <v>637.41720379152434</v>
      </c>
      <c r="Q16" s="727">
        <f>(CS24-J16)/(CQ24-J15)</f>
        <v>498.83607118886408</v>
      </c>
      <c r="R16" s="279"/>
      <c r="S16" s="279"/>
      <c r="T16" s="281"/>
      <c r="U16" s="272"/>
      <c r="V16" s="279"/>
      <c r="W16" s="282"/>
      <c r="X16" s="343"/>
      <c r="Y16" s="343"/>
      <c r="Z16" s="343"/>
      <c r="AA16" s="343"/>
      <c r="AB16" s="283"/>
      <c r="AE16" s="279"/>
      <c r="AG16" s="272"/>
      <c r="AH16" s="279"/>
      <c r="AI16" s="279"/>
      <c r="AS16" s="273"/>
      <c r="AT16" s="43"/>
      <c r="AU16" s="43"/>
      <c r="AZ16" s="273"/>
      <c r="BA16" s="43"/>
      <c r="BB16" s="43"/>
    </row>
    <row r="17" spans="1:123" ht="15" thickBot="1">
      <c r="A17" s="284"/>
      <c r="D17" s="780" t="s">
        <v>217</v>
      </c>
      <c r="E17" s="781"/>
      <c r="F17" s="728">
        <f>T33</f>
        <v>55.484061684894854</v>
      </c>
      <c r="G17" s="729">
        <f>CT33</f>
        <v>98.528614808575099</v>
      </c>
      <c r="I17" s="740" t="s">
        <v>3970</v>
      </c>
      <c r="J17" s="741">
        <f>K17+L17</f>
        <v>3559727937.6379251</v>
      </c>
      <c r="K17" s="742">
        <v>3234000</v>
      </c>
      <c r="L17" s="743">
        <v>3556493937.6379251</v>
      </c>
      <c r="N17" s="780" t="s">
        <v>217</v>
      </c>
      <c r="O17" s="781"/>
      <c r="P17" s="728">
        <f>IF((S33-J17)/(F33-J15)&lt;0,0,(S33-J17)/(F33-J15))</f>
        <v>0</v>
      </c>
      <c r="Q17" s="729">
        <f>IF((CS33-J17)/(CQ33-J15)&lt;0,0,(CS33-J17)/(CQ33-J15))</f>
        <v>85.479016448697962</v>
      </c>
      <c r="R17" s="279"/>
      <c r="S17" s="279"/>
      <c r="T17" s="281"/>
      <c r="U17" s="272"/>
      <c r="V17" s="279"/>
      <c r="W17" s="91" t="s">
        <v>192</v>
      </c>
      <c r="AC17" s="272"/>
      <c r="AD17" s="279"/>
      <c r="AE17" s="279"/>
      <c r="AG17" s="272"/>
      <c r="AH17" s="279"/>
      <c r="AI17" s="279"/>
      <c r="AL17" s="273"/>
      <c r="AM17" s="43"/>
      <c r="AN17" s="43"/>
      <c r="AS17" s="273"/>
      <c r="AT17" s="43"/>
      <c r="AU17" s="43"/>
      <c r="AZ17" s="273"/>
      <c r="BA17" s="43"/>
      <c r="BB17" s="43"/>
    </row>
    <row r="18" spans="1:123" ht="17.25" customHeight="1" thickBot="1"/>
    <row r="19" spans="1:123" ht="13.5" customHeight="1">
      <c r="B19" s="285" t="s">
        <v>1525</v>
      </c>
      <c r="C19" s="286"/>
      <c r="D19" s="286"/>
      <c r="E19" s="286"/>
      <c r="F19" s="286"/>
      <c r="G19" s="287"/>
      <c r="H19" s="286"/>
      <c r="I19" s="286"/>
      <c r="J19" s="286"/>
      <c r="K19" s="286"/>
      <c r="L19" s="286"/>
      <c r="M19" s="286"/>
      <c r="N19" s="286"/>
      <c r="O19" s="286"/>
      <c r="P19" s="286"/>
      <c r="Q19" s="286"/>
      <c r="R19" s="286"/>
      <c r="S19" s="288"/>
      <c r="T19" s="289"/>
      <c r="V19" s="290" t="s">
        <v>338</v>
      </c>
      <c r="W19" s="286"/>
      <c r="X19" s="286"/>
      <c r="Y19" s="286"/>
      <c r="Z19" s="286"/>
      <c r="AA19" s="286"/>
      <c r="AB19" s="286"/>
      <c r="AC19" s="286"/>
      <c r="AD19" s="286"/>
      <c r="AE19" s="286"/>
      <c r="AF19" s="286"/>
      <c r="AG19" s="286"/>
      <c r="AH19" s="286"/>
      <c r="AI19" s="286"/>
      <c r="AJ19" s="286"/>
      <c r="AK19" s="286"/>
      <c r="AL19" s="286"/>
      <c r="AM19" s="286"/>
      <c r="AN19" s="286"/>
      <c r="AO19" s="286"/>
      <c r="AP19" s="286"/>
      <c r="AQ19" s="286"/>
      <c r="AR19" s="286"/>
      <c r="AS19" s="286"/>
      <c r="AT19" s="286"/>
      <c r="AU19" s="286"/>
      <c r="AV19" s="286"/>
      <c r="AW19" s="286"/>
      <c r="AX19" s="286"/>
      <c r="AY19" s="286"/>
      <c r="AZ19" s="286"/>
      <c r="BA19" s="286"/>
      <c r="BB19" s="286"/>
      <c r="BC19" s="286"/>
      <c r="BD19" s="286"/>
      <c r="BE19" s="286"/>
      <c r="BF19" s="286"/>
      <c r="BG19" s="286"/>
      <c r="BH19" s="286"/>
      <c r="BI19" s="286"/>
      <c r="BJ19" s="286"/>
      <c r="BK19" s="286"/>
      <c r="BL19" s="286"/>
      <c r="BM19" s="286"/>
      <c r="BN19" s="286"/>
      <c r="BO19" s="289"/>
      <c r="BQ19" s="290" t="s">
        <v>339</v>
      </c>
      <c r="BR19" s="286"/>
      <c r="BS19" s="286"/>
      <c r="BT19" s="286"/>
      <c r="BU19" s="286"/>
      <c r="BV19" s="286"/>
      <c r="BW19" s="286"/>
      <c r="BX19" s="286"/>
      <c r="BY19" s="286"/>
      <c r="BZ19" s="286"/>
      <c r="CA19" s="286"/>
      <c r="CB19" s="286"/>
      <c r="CC19" s="286"/>
      <c r="CD19" s="286"/>
      <c r="CE19" s="286"/>
      <c r="CF19" s="286"/>
      <c r="CG19" s="286"/>
      <c r="CH19" s="286"/>
      <c r="CI19" s="286"/>
      <c r="CJ19" s="286"/>
      <c r="CK19" s="289"/>
      <c r="CM19" s="290" t="s">
        <v>340</v>
      </c>
      <c r="CN19" s="286"/>
      <c r="CO19" s="286"/>
      <c r="CP19" s="286"/>
      <c r="CQ19" s="286"/>
      <c r="CR19" s="286"/>
      <c r="CS19" s="286"/>
      <c r="CT19" s="286"/>
      <c r="CU19" s="286"/>
      <c r="CV19" s="289"/>
    </row>
    <row r="20" spans="1:123" ht="13.5" customHeight="1" thickBot="1">
      <c r="B20" s="274"/>
      <c r="S20" s="260"/>
      <c r="T20" s="276"/>
      <c r="V20" s="291" t="s">
        <v>341</v>
      </c>
      <c r="BO20" s="276"/>
      <c r="BQ20" s="291" t="s">
        <v>341</v>
      </c>
      <c r="BV20" s="292"/>
      <c r="BW20" s="260"/>
      <c r="CK20" s="276"/>
      <c r="CM20" s="274"/>
      <c r="CV20" s="276"/>
    </row>
    <row r="21" spans="1:123" ht="15" customHeight="1">
      <c r="B21" s="274"/>
      <c r="D21" s="770" t="s">
        <v>342</v>
      </c>
      <c r="E21" s="771"/>
      <c r="F21" s="771"/>
      <c r="G21" s="772"/>
      <c r="H21" s="776" t="s">
        <v>343</v>
      </c>
      <c r="I21" s="770" t="s">
        <v>344</v>
      </c>
      <c r="J21" s="772"/>
      <c r="K21" s="770" t="s">
        <v>345</v>
      </c>
      <c r="L21" s="771"/>
      <c r="M21" s="772"/>
      <c r="N21" s="776" t="s">
        <v>346</v>
      </c>
      <c r="O21" s="770" t="s">
        <v>347</v>
      </c>
      <c r="P21" s="771"/>
      <c r="Q21" s="772"/>
      <c r="R21" s="776" t="s">
        <v>336</v>
      </c>
      <c r="S21" s="776" t="s">
        <v>348</v>
      </c>
      <c r="T21" s="776" t="s">
        <v>193</v>
      </c>
      <c r="V21" s="274"/>
      <c r="BO21" s="276"/>
      <c r="BQ21" s="274"/>
      <c r="BV21" s="260"/>
      <c r="BW21" s="260"/>
      <c r="CK21" s="276"/>
      <c r="CM21" s="274"/>
      <c r="CV21" s="276"/>
    </row>
    <row r="22" spans="1:123" ht="31.5" customHeight="1" thickBot="1">
      <c r="B22" s="274"/>
      <c r="D22" s="773"/>
      <c r="E22" s="774"/>
      <c r="F22" s="774"/>
      <c r="G22" s="775"/>
      <c r="H22" s="777"/>
      <c r="I22" s="778"/>
      <c r="J22" s="779"/>
      <c r="K22" s="773"/>
      <c r="L22" s="774"/>
      <c r="M22" s="775"/>
      <c r="N22" s="777"/>
      <c r="O22" s="773"/>
      <c r="P22" s="774"/>
      <c r="Q22" s="775"/>
      <c r="R22" s="777"/>
      <c r="S22" s="777"/>
      <c r="T22" s="777"/>
      <c r="V22" s="274"/>
      <c r="W22" s="293" t="s">
        <v>90</v>
      </c>
      <c r="X22" s="261"/>
      <c r="Y22" s="261"/>
      <c r="Z22" s="261"/>
      <c r="AA22" s="261"/>
      <c r="AB22" s="261"/>
      <c r="AC22" s="261"/>
      <c r="AD22" s="261"/>
      <c r="AF22" s="293" t="s">
        <v>96</v>
      </c>
      <c r="AG22" s="261"/>
      <c r="AH22" s="261"/>
      <c r="AI22" s="261"/>
      <c r="AJ22" s="261"/>
      <c r="AK22" s="261"/>
      <c r="AL22" s="261"/>
      <c r="AM22" s="261"/>
      <c r="AO22" s="293" t="s">
        <v>349</v>
      </c>
      <c r="AP22" s="261"/>
      <c r="AQ22" s="261"/>
      <c r="AR22" s="261"/>
      <c r="AS22" s="261"/>
      <c r="AT22" s="261"/>
      <c r="AU22" s="261"/>
      <c r="AV22" s="261"/>
      <c r="AX22" s="293" t="s">
        <v>41</v>
      </c>
      <c r="AY22" s="261"/>
      <c r="AZ22" s="261"/>
      <c r="BA22" s="261"/>
      <c r="BB22" s="261"/>
      <c r="BC22" s="261"/>
      <c r="BD22" s="261"/>
      <c r="BE22" s="261"/>
      <c r="BG22" s="293" t="s">
        <v>130</v>
      </c>
      <c r="BH22" s="261"/>
      <c r="BI22" s="261"/>
      <c r="BJ22" s="261"/>
      <c r="BK22" s="261"/>
      <c r="BL22" s="261"/>
      <c r="BM22" s="261"/>
      <c r="BN22" s="261"/>
      <c r="BO22" s="276"/>
      <c r="BQ22" s="274"/>
      <c r="BR22" s="293" t="s">
        <v>57</v>
      </c>
      <c r="BS22" s="261"/>
      <c r="BT22" s="261"/>
      <c r="BU22" s="261"/>
      <c r="BV22" s="293"/>
      <c r="BW22" s="293"/>
      <c r="BX22" s="261"/>
      <c r="BZ22" s="293" t="s">
        <v>226</v>
      </c>
      <c r="CA22" s="293"/>
      <c r="CB22" s="261"/>
      <c r="CC22" s="261"/>
      <c r="CD22" s="261"/>
      <c r="CF22" s="293" t="s">
        <v>225</v>
      </c>
      <c r="CG22" s="293"/>
      <c r="CH22" s="261"/>
      <c r="CI22" s="261"/>
      <c r="CJ22" s="261"/>
      <c r="CK22" s="276"/>
      <c r="CM22" s="274"/>
      <c r="CN22" s="294" t="s">
        <v>351</v>
      </c>
      <c r="CO22" s="295"/>
      <c r="CP22" s="296"/>
      <c r="CQ22" s="296"/>
      <c r="CR22" s="296"/>
      <c r="CS22" s="296"/>
      <c r="CT22" s="296"/>
      <c r="CU22" s="297"/>
      <c r="CV22" s="298"/>
      <c r="DP22" s="299"/>
    </row>
    <row r="23" spans="1:123" ht="66" customHeight="1">
      <c r="B23" s="274"/>
      <c r="C23" s="300" t="s">
        <v>364</v>
      </c>
      <c r="D23" s="301" t="s">
        <v>3270</v>
      </c>
      <c r="E23" s="302" t="s">
        <v>2615</v>
      </c>
      <c r="F23" s="303" t="s">
        <v>2631</v>
      </c>
      <c r="G23" s="304" t="s">
        <v>2616</v>
      </c>
      <c r="H23" s="305" t="s">
        <v>2617</v>
      </c>
      <c r="I23" s="301" t="s">
        <v>2618</v>
      </c>
      <c r="J23" s="304" t="s">
        <v>352</v>
      </c>
      <c r="K23" s="306" t="s">
        <v>353</v>
      </c>
      <c r="L23" s="307" t="s">
        <v>354</v>
      </c>
      <c r="M23" s="308" t="s">
        <v>355</v>
      </c>
      <c r="N23" s="301" t="s">
        <v>2619</v>
      </c>
      <c r="O23" s="301" t="s">
        <v>2620</v>
      </c>
      <c r="P23" s="302" t="s">
        <v>2621</v>
      </c>
      <c r="Q23" s="304" t="s">
        <v>2622</v>
      </c>
      <c r="R23" s="309" t="s">
        <v>2623</v>
      </c>
      <c r="S23" s="300" t="s">
        <v>2624</v>
      </c>
      <c r="T23" s="310" t="s">
        <v>2625</v>
      </c>
      <c r="V23" s="311"/>
      <c r="W23" s="312" t="s">
        <v>2641</v>
      </c>
      <c r="X23" s="312" t="s">
        <v>2642</v>
      </c>
      <c r="Y23" s="313" t="s">
        <v>2643</v>
      </c>
      <c r="Z23" s="312" t="s">
        <v>2644</v>
      </c>
      <c r="AA23" s="312" t="s">
        <v>356</v>
      </c>
      <c r="AB23" s="312" t="s">
        <v>2645</v>
      </c>
      <c r="AC23" s="312" t="s">
        <v>2646</v>
      </c>
      <c r="AD23" s="312" t="s">
        <v>2511</v>
      </c>
      <c r="AE23" s="313"/>
      <c r="AF23" s="312" t="s">
        <v>2641</v>
      </c>
      <c r="AG23" s="312" t="s">
        <v>2642</v>
      </c>
      <c r="AH23" s="313" t="s">
        <v>2643</v>
      </c>
      <c r="AI23" s="312" t="s">
        <v>2644</v>
      </c>
      <c r="AJ23" s="312" t="s">
        <v>356</v>
      </c>
      <c r="AK23" s="312" t="s">
        <v>2645</v>
      </c>
      <c r="AL23" s="312" t="s">
        <v>2646</v>
      </c>
      <c r="AM23" s="312" t="s">
        <v>2511</v>
      </c>
      <c r="AN23" s="313"/>
      <c r="AO23" s="312" t="s">
        <v>2641</v>
      </c>
      <c r="AP23" s="312" t="s">
        <v>2642</v>
      </c>
      <c r="AQ23" s="313" t="s">
        <v>2643</v>
      </c>
      <c r="AR23" s="312" t="s">
        <v>2644</v>
      </c>
      <c r="AS23" s="312" t="s">
        <v>356</v>
      </c>
      <c r="AT23" s="312" t="s">
        <v>2645</v>
      </c>
      <c r="AU23" s="312" t="s">
        <v>2646</v>
      </c>
      <c r="AV23" s="312" t="s">
        <v>2511</v>
      </c>
      <c r="AW23" s="313"/>
      <c r="AX23" s="312" t="s">
        <v>2641</v>
      </c>
      <c r="AY23" s="312" t="s">
        <v>2642</v>
      </c>
      <c r="AZ23" s="313" t="s">
        <v>2643</v>
      </c>
      <c r="BA23" s="312" t="s">
        <v>2644</v>
      </c>
      <c r="BB23" s="312" t="s">
        <v>356</v>
      </c>
      <c r="BC23" s="312" t="s">
        <v>2645</v>
      </c>
      <c r="BD23" s="312" t="s">
        <v>2646</v>
      </c>
      <c r="BE23" s="312" t="s">
        <v>2511</v>
      </c>
      <c r="BF23" s="313"/>
      <c r="BG23" s="312" t="s">
        <v>2641</v>
      </c>
      <c r="BH23" s="312" t="s">
        <v>2642</v>
      </c>
      <c r="BI23" s="313" t="s">
        <v>2643</v>
      </c>
      <c r="BJ23" s="312" t="s">
        <v>2644</v>
      </c>
      <c r="BK23" s="312" t="s">
        <v>356</v>
      </c>
      <c r="BL23" s="312" t="s">
        <v>2645</v>
      </c>
      <c r="BM23" s="312" t="s">
        <v>2646</v>
      </c>
      <c r="BN23" s="312" t="s">
        <v>2511</v>
      </c>
      <c r="BO23" s="276"/>
      <c r="BQ23" s="274"/>
      <c r="BR23" s="314" t="s">
        <v>357</v>
      </c>
      <c r="BS23" s="312" t="s">
        <v>2647</v>
      </c>
      <c r="BT23" s="312" t="s">
        <v>2648</v>
      </c>
      <c r="BU23" s="312" t="s">
        <v>358</v>
      </c>
      <c r="BV23" s="312" t="s">
        <v>2649</v>
      </c>
      <c r="BW23" s="312" t="s">
        <v>2646</v>
      </c>
      <c r="BX23" s="312" t="s">
        <v>2511</v>
      </c>
      <c r="BZ23" s="312" t="s">
        <v>2647</v>
      </c>
      <c r="CA23" s="312" t="s">
        <v>2648</v>
      </c>
      <c r="CB23" s="312" t="s">
        <v>356</v>
      </c>
      <c r="CC23" s="312" t="s">
        <v>2646</v>
      </c>
      <c r="CD23" s="312" t="s">
        <v>2511</v>
      </c>
      <c r="CF23" s="312" t="s">
        <v>2647</v>
      </c>
      <c r="CG23" s="312" t="s">
        <v>2648</v>
      </c>
      <c r="CH23" s="312" t="s">
        <v>356</v>
      </c>
      <c r="CI23" s="312" t="s">
        <v>2650</v>
      </c>
      <c r="CJ23" s="312" t="s">
        <v>2511</v>
      </c>
      <c r="CK23" s="276"/>
      <c r="CM23" s="274"/>
      <c r="CN23" s="315" t="s">
        <v>2652</v>
      </c>
      <c r="CO23" s="315" t="s">
        <v>3993</v>
      </c>
      <c r="CP23" s="315" t="s">
        <v>359</v>
      </c>
      <c r="CQ23" s="315" t="s">
        <v>2653</v>
      </c>
      <c r="CR23" s="315" t="s">
        <v>360</v>
      </c>
      <c r="CS23" s="315" t="s">
        <v>3994</v>
      </c>
      <c r="CT23" s="316" t="s">
        <v>2654</v>
      </c>
      <c r="CU23" s="307" t="s">
        <v>188</v>
      </c>
      <c r="CV23" s="317"/>
      <c r="CY23" s="280"/>
      <c r="DP23" s="313"/>
      <c r="DQ23" s="313"/>
      <c r="DR23" s="313"/>
      <c r="DS23" s="313"/>
    </row>
    <row r="24" spans="1:123" ht="13.5" thickBot="1">
      <c r="B24" s="318"/>
      <c r="C24" s="319">
        <v>2022</v>
      </c>
      <c r="D24" s="320">
        <f>'State &amp; Province Summary'!C59+'State &amp; Province Summary'!D62</f>
        <v>42975500.333333328</v>
      </c>
      <c r="E24" s="321">
        <f>'Generation Load Imports'!H18*1000+'State &amp; Province Summary'!D59</f>
        <v>57440333.333333336</v>
      </c>
      <c r="F24" s="321">
        <f>E24+((E24/CO24)*CP24)</f>
        <v>58662569.133426361</v>
      </c>
      <c r="G24" s="323">
        <f>'State &amp; Province Summary'!C20+'State &amp; Province Summary'!D20</f>
        <v>17443045715.580849</v>
      </c>
      <c r="H24" s="324">
        <f>F24-(D24)</f>
        <v>15687068.800093032</v>
      </c>
      <c r="I24" s="681">
        <f>SUM(IF(H24&gt;0,H24,0),(IF(W24&lt;Y24,Y24-W24,0)),(IF(AF24&lt;AH24,AH24-AF24,0)),(IF(AO24&lt;AQ24,AQ24-AO24,0)),(IF(AX24&lt;AZ24,AZ24-AX24,0)),(IF(BG24&lt;BI24,BI24-BG24,0)),(IF(BS24&lt;0,(BS24*-1),0)),(IF(BZ24&lt;0,(BZ24*-1),0)),(IF(CF24&lt;0,(CF24*-1),0)))</f>
        <v>24043784.887786452</v>
      </c>
      <c r="J24" s="325">
        <f>IF(H24&gt;0,H24/I24,0)</f>
        <v>0.65243757891302756</v>
      </c>
      <c r="K24" s="320">
        <f>SUM(AA24,AJ24,AS24,BB24,BK24)</f>
        <v>11079530.477618808</v>
      </c>
      <c r="L24" s="321">
        <f>SUM(BU24,CB24,CH24)</f>
        <v>4607538.3224742208</v>
      </c>
      <c r="M24" s="326">
        <f>K24+L24</f>
        <v>15687068.800093029</v>
      </c>
      <c r="N24" s="327">
        <f>SUM(AD24,AM24,AV24,BE24,BN24)</f>
        <v>8423545183.8640947</v>
      </c>
      <c r="O24" s="328">
        <f>BX24</f>
        <v>0</v>
      </c>
      <c r="P24" s="328">
        <f>SUM(CD24+CJ24)</f>
        <v>778961583.56962633</v>
      </c>
      <c r="Q24" s="329">
        <f>O24+P24</f>
        <v>778961583.56962633</v>
      </c>
      <c r="R24" s="330">
        <f>N24+Q24+(IF(H24&lt;0,G24*H24/D24,0))</f>
        <v>9202506767.4337215</v>
      </c>
      <c r="S24" s="331">
        <f>G24+R24</f>
        <v>26645552483.014572</v>
      </c>
      <c r="T24" s="332">
        <f>S24/F24</f>
        <v>454.21727818312922</v>
      </c>
      <c r="V24" s="274">
        <f>C14</f>
        <v>2022</v>
      </c>
      <c r="W24" s="333">
        <f>'State &amp; Province Summary'!C64+'State &amp; Province Summary'!D67</f>
        <v>9357521</v>
      </c>
      <c r="X24" s="322">
        <f>'Generation Load Imports'!C18*1000+'State &amp; Province Summary'!D64</f>
        <v>13007330</v>
      </c>
      <c r="Y24" s="322">
        <f>X24+((X24/CO24)*CP24)</f>
        <v>13284104.584460814</v>
      </c>
      <c r="Z24" s="322">
        <f>IF(W24&gt;Y24,W24-Y24,0)</f>
        <v>0</v>
      </c>
      <c r="AA24" s="322">
        <f>Z24*J24</f>
        <v>0</v>
      </c>
      <c r="AB24" s="334">
        <f>(('State &amp; Province Summary'!C23+'State &amp; Province Summary'!D23)*AA$15)</f>
        <v>3939440894.3914475</v>
      </c>
      <c r="AC24" s="335">
        <f>Z24*'State &amp; Province Summary'!I23</f>
        <v>0</v>
      </c>
      <c r="AD24" s="335">
        <f>AC24*J24</f>
        <v>0</v>
      </c>
      <c r="AF24" s="333">
        <f>'State &amp; Province Summary'!C69+'State &amp; Province Summary'!D72</f>
        <v>11681151</v>
      </c>
      <c r="AG24" s="322">
        <f>'Generation Load Imports'!D18*1000+'State &amp; Province Summary'!D69</f>
        <v>11914110</v>
      </c>
      <c r="AH24" s="322">
        <f>AG24+((AG24/CO24)*CP24)</f>
        <v>12167622.661281787</v>
      </c>
      <c r="AI24" s="322">
        <f>IF(AF24&gt;AH24,AF24-AH24,0)</f>
        <v>0</v>
      </c>
      <c r="AJ24" s="322">
        <f>AI24*J24</f>
        <v>0</v>
      </c>
      <c r="AK24" s="334">
        <f>'State &amp; Province Summary'!C26+'State &amp; Province Summary'!D26</f>
        <v>5256845281.9883699</v>
      </c>
      <c r="AL24" s="335">
        <f>AI24*'State &amp; Province Summary'!I26</f>
        <v>0</v>
      </c>
      <c r="AM24" s="335">
        <f>AL24*J24</f>
        <v>0</v>
      </c>
      <c r="AO24" s="333">
        <f>'State &amp; Province Summary'!C79+'State &amp; Province Summary'!D82</f>
        <v>4939714.5539999995</v>
      </c>
      <c r="AP24" s="322">
        <f>'Generation Load Imports'!E18*1000+'State &amp; Province Summary'!D79</f>
        <v>5760247</v>
      </c>
      <c r="AQ24" s="322">
        <f>AP24+((AP24/CO24)*CP24)</f>
        <v>5882815.5801633885</v>
      </c>
      <c r="AR24" s="322">
        <f>IF(AO24&gt;AQ24,AO24-AQ24,0)</f>
        <v>0</v>
      </c>
      <c r="AS24" s="322">
        <f>AR24*J24</f>
        <v>0</v>
      </c>
      <c r="AT24" s="334">
        <f>'State &amp; Province Summary'!C32+'State &amp; Province Summary'!D32</f>
        <v>39941266.627621159</v>
      </c>
      <c r="AU24" s="335">
        <f>AR24*'State &amp; Province Summary'!I32</f>
        <v>0</v>
      </c>
      <c r="AV24" s="335">
        <f>AU24*J24</f>
        <v>0</v>
      </c>
      <c r="AX24" s="333">
        <f>'State &amp; Province Summary'!C54+'State &amp; Province Summary'!D57</f>
        <v>47333776</v>
      </c>
      <c r="AY24" s="322">
        <f>'Generation Load Imports'!F18*1000+'State &amp; Province Summary'!D54</f>
        <v>29719643</v>
      </c>
      <c r="AZ24" s="322">
        <f>AY24+((AY24/CO24)*CP24)</f>
        <v>30352028.112213556</v>
      </c>
      <c r="BA24" s="322">
        <f>IF(AX24&gt;AZ24,AX24-AZ24,0)</f>
        <v>16981747.887786444</v>
      </c>
      <c r="BB24" s="322">
        <f>BA24*J24</f>
        <v>11079530.477618808</v>
      </c>
      <c r="BC24" s="334">
        <f>'State &amp; Province Summary'!C17+'State &amp; Province Summary'!D17</f>
        <v>22473172988.985195</v>
      </c>
      <c r="BD24" s="335">
        <f>BA24*'State &amp; Province Summary'!I17</f>
        <v>12910882904.534513</v>
      </c>
      <c r="BE24" s="335">
        <f>BD24*J24</f>
        <v>8423545183.8640947</v>
      </c>
      <c r="BG24" s="333">
        <f>'State &amp; Province Summary'!C74+'State &amp; Province Summary'!D77</f>
        <v>8121652</v>
      </c>
      <c r="BH24" s="322">
        <f>'Generation Load Imports'!G18*1000+'State &amp; Province Summary'!D74</f>
        <v>8167963</v>
      </c>
      <c r="BI24" s="322">
        <f>BH24+((BH24/CO24)*CP24)</f>
        <v>8341763.8157874299</v>
      </c>
      <c r="BJ24" s="322">
        <f>IF(BG24&gt;BI24,BG24-BI24,0)</f>
        <v>0</v>
      </c>
      <c r="BK24" s="322">
        <f>BJ24*J24</f>
        <v>0</v>
      </c>
      <c r="BL24" s="334">
        <f>'State &amp; Province Summary'!C29+'State &amp; Province Summary'!D29</f>
        <v>6150816521.0874109</v>
      </c>
      <c r="BM24" s="335">
        <f>BJ24*'State &amp; Province Summary'!I29</f>
        <v>0</v>
      </c>
      <c r="BN24" s="335">
        <f>BM24*J24</f>
        <v>0</v>
      </c>
      <c r="BO24" s="276"/>
      <c r="BQ24" s="274">
        <f>C14</f>
        <v>2022</v>
      </c>
      <c r="BR24" s="322">
        <f>'State &amp; Province Summary'!C84</f>
        <v>122083854.63800001</v>
      </c>
      <c r="BS24" s="336">
        <f>'State &amp; Province Summary'!C85+'State &amp; Province Summary'!D87</f>
        <v>-2780448</v>
      </c>
      <c r="BT24" s="322">
        <f>IF(BS24&gt;0,BS24,0)</f>
        <v>0</v>
      </c>
      <c r="BU24" s="322">
        <f>BT24*J24</f>
        <v>0</v>
      </c>
      <c r="BV24" s="334">
        <f>'State &amp; Province Summary'!C35+'State &amp; Province Summary'!D35</f>
        <v>62158427531.584076</v>
      </c>
      <c r="BW24" s="335">
        <f>BT24*(BV24/(BR24+'State &amp; Province Summary'!D87))</f>
        <v>0</v>
      </c>
      <c r="BX24" s="335">
        <f>BW24*J24</f>
        <v>0</v>
      </c>
      <c r="BZ24" s="322">
        <f>'State &amp; Province Summary'!C90+'State &amp; Province Summary'!D92</f>
        <v>1534096</v>
      </c>
      <c r="CA24" s="337">
        <f>IF(BZ24&gt;0,BZ24,0)</f>
        <v>1534096</v>
      </c>
      <c r="CB24" s="338">
        <f>CA24*J24</f>
        <v>1000901.88006016</v>
      </c>
      <c r="CC24" s="335">
        <f>BZ24*(('State &amp; Province Summary'!C38+'State &amp; Province Summary'!D38)/(('State &amp; Province Summary'!C89+'State &amp; Province Summary'!D92)))</f>
        <v>1179407225.1115503</v>
      </c>
      <c r="CD24" s="335">
        <f>J24*CC24</f>
        <v>769489594.50431204</v>
      </c>
      <c r="CF24" s="322">
        <f>'State &amp; Province Summary'!C95+'State &amp; Province Summary'!D97</f>
        <v>5527941</v>
      </c>
      <c r="CG24" s="337">
        <f>IF(CF24&gt;0,CF24,0)</f>
        <v>5527941</v>
      </c>
      <c r="CH24" s="338">
        <f>CG24*J24</f>
        <v>3606636.4424140607</v>
      </c>
      <c r="CI24" s="335">
        <f>CF24*(('State &amp; Province Summary'!C41+'State &amp; Province Summary'!D41)/('State &amp; Province Summary'!C94+'State &amp; Province Summary'!D97))</f>
        <v>14517847.180254146</v>
      </c>
      <c r="CJ24" s="335">
        <f>J24*CI24</f>
        <v>9471989.0653143395</v>
      </c>
      <c r="CK24" s="276"/>
      <c r="CM24" s="274">
        <f>C14</f>
        <v>2022</v>
      </c>
      <c r="CN24" s="333">
        <f>'State &amp; Province Summary'!C99+'State &amp; Province Summary'!D102</f>
        <v>124409314.88733333</v>
      </c>
      <c r="CO24" s="322">
        <f>'Generation Load Imports'!B18*1000+'State &amp; Province Summary'!D99</f>
        <v>126009626.33333333</v>
      </c>
      <c r="CP24" s="339">
        <f>'Generation Load Imports'!F14*1000</f>
        <v>2681277.5540000005</v>
      </c>
      <c r="CQ24" s="339">
        <f>CO24+CP24</f>
        <v>128690903.88733333</v>
      </c>
      <c r="CR24" s="322">
        <f>CQ24-CN24</f>
        <v>4281589</v>
      </c>
      <c r="CS24" s="335">
        <f>G24+AB24+AK24+AT24+BC24+BL24+BW24+CC24+CI24</f>
        <v>56497187740.952698</v>
      </c>
      <c r="CT24" s="340">
        <f>CS24/CQ24</f>
        <v>439.0146159080133</v>
      </c>
      <c r="CU24" s="335">
        <f>CT24*F24</f>
        <v>25753725256.288452</v>
      </c>
      <c r="CV24" s="341"/>
      <c r="CY24" s="280"/>
      <c r="DP24" s="280"/>
      <c r="DQ24" s="280"/>
      <c r="DR24" s="280"/>
      <c r="DS24" s="342"/>
    </row>
    <row r="25" spans="1:123" ht="13.5" thickBot="1">
      <c r="B25" s="282"/>
      <c r="C25" s="343"/>
      <c r="D25" s="343"/>
      <c r="E25" s="343"/>
      <c r="F25" s="343"/>
      <c r="G25" s="344"/>
      <c r="H25" s="343"/>
      <c r="I25" s="343"/>
      <c r="J25" s="343"/>
      <c r="K25" s="343"/>
      <c r="L25" s="343"/>
      <c r="M25" s="343"/>
      <c r="N25" s="343"/>
      <c r="O25" s="343"/>
      <c r="P25" s="343"/>
      <c r="Q25" s="343"/>
      <c r="R25" s="343"/>
      <c r="S25" s="343"/>
      <c r="T25" s="283"/>
      <c r="V25" s="282"/>
      <c r="W25" s="343"/>
      <c r="X25" s="343"/>
      <c r="Y25" s="343"/>
      <c r="Z25" s="343"/>
      <c r="AA25" s="343"/>
      <c r="AB25" s="343"/>
      <c r="AC25" s="343"/>
      <c r="AD25" s="343"/>
      <c r="AE25" s="343"/>
      <c r="AF25" s="343"/>
      <c r="AG25" s="343"/>
      <c r="AH25" s="343"/>
      <c r="AI25" s="343"/>
      <c r="AJ25" s="343"/>
      <c r="AK25" s="343"/>
      <c r="AL25" s="343"/>
      <c r="AM25" s="343"/>
      <c r="AN25" s="343"/>
      <c r="AO25" s="343"/>
      <c r="AP25" s="343"/>
      <c r="AQ25" s="343"/>
      <c r="AR25" s="343"/>
      <c r="AS25" s="343"/>
      <c r="AT25" s="343"/>
      <c r="AU25" s="343"/>
      <c r="AV25" s="343"/>
      <c r="AW25" s="343"/>
      <c r="AX25" s="343"/>
      <c r="AY25" s="343"/>
      <c r="AZ25" s="343"/>
      <c r="BA25" s="343"/>
      <c r="BB25" s="343"/>
      <c r="BC25" s="343"/>
      <c r="BD25" s="343"/>
      <c r="BE25" s="698"/>
      <c r="BF25" s="343"/>
      <c r="BG25" s="343"/>
      <c r="BH25" s="343"/>
      <c r="BI25" s="343"/>
      <c r="BJ25" s="343"/>
      <c r="BK25" s="343"/>
      <c r="BL25" s="343"/>
      <c r="BM25" s="343"/>
      <c r="BN25" s="343"/>
      <c r="BO25" s="283"/>
      <c r="BQ25" s="282"/>
      <c r="BR25" s="699"/>
      <c r="BS25" s="343"/>
      <c r="BT25" s="343"/>
      <c r="BU25" s="343"/>
      <c r="BV25" s="343"/>
      <c r="BW25" s="343"/>
      <c r="BX25" s="343"/>
      <c r="BY25" s="343"/>
      <c r="BZ25" s="699"/>
      <c r="CA25" s="343"/>
      <c r="CB25" s="343"/>
      <c r="CC25" s="343"/>
      <c r="CD25" s="343"/>
      <c r="CE25" s="343"/>
      <c r="CF25" s="343"/>
      <c r="CG25" s="343"/>
      <c r="CH25" s="343"/>
      <c r="CI25" s="343"/>
      <c r="CJ25" s="343"/>
      <c r="CK25" s="283"/>
      <c r="CM25" s="282"/>
      <c r="CN25" s="343"/>
      <c r="CO25" s="343"/>
      <c r="CP25" s="343"/>
      <c r="CQ25" s="343"/>
      <c r="CR25" s="343"/>
      <c r="CS25" s="343"/>
      <c r="CT25" s="343"/>
      <c r="CU25" s="343"/>
      <c r="CV25" s="283"/>
      <c r="CY25" s="345"/>
    </row>
    <row r="26" spans="1:123" ht="15.75" customHeight="1">
      <c r="D26" s="280"/>
      <c r="F26" s="346"/>
      <c r="G26" s="346"/>
      <c r="H26" s="280"/>
      <c r="I26" s="280"/>
      <c r="J26" s="347"/>
      <c r="K26" s="280"/>
      <c r="L26" s="280"/>
      <c r="N26" s="280"/>
      <c r="P26" s="280"/>
      <c r="AA26" s="346"/>
      <c r="AB26" s="348"/>
      <c r="AC26" s="349"/>
      <c r="AI26" s="280"/>
      <c r="AK26" s="348"/>
      <c r="AL26" s="280"/>
      <c r="AM26" s="280"/>
      <c r="AO26" s="348"/>
      <c r="AP26" s="348"/>
      <c r="AQ26" s="348"/>
      <c r="AR26" s="348"/>
      <c r="AS26" s="348"/>
      <c r="AT26" s="348"/>
      <c r="AU26" s="348"/>
      <c r="AV26" s="348"/>
      <c r="BB26" s="280"/>
      <c r="BC26" s="348"/>
      <c r="BE26" s="280"/>
      <c r="BG26" s="280"/>
      <c r="BH26" s="280"/>
      <c r="BI26" s="280"/>
      <c r="BL26" s="348"/>
      <c r="BQ26" s="350"/>
      <c r="BR26" s="351"/>
      <c r="BS26" s="350"/>
      <c r="CY26" s="352"/>
      <c r="DA26" s="349"/>
    </row>
    <row r="27" spans="1:123" ht="15.75" customHeight="1" thickBot="1">
      <c r="AM27" s="280"/>
      <c r="BE27" s="280"/>
      <c r="BI27" s="280"/>
      <c r="BQ27" s="350"/>
      <c r="BR27" s="350"/>
      <c r="BS27" s="350"/>
      <c r="CY27" s="280"/>
      <c r="DA27" s="349"/>
    </row>
    <row r="28" spans="1:123" ht="15.75" customHeight="1">
      <c r="B28" s="285" t="s">
        <v>1526</v>
      </c>
      <c r="C28" s="286"/>
      <c r="D28" s="286"/>
      <c r="E28" s="286"/>
      <c r="F28" s="286"/>
      <c r="G28" s="287"/>
      <c r="H28" s="286"/>
      <c r="I28" s="286"/>
      <c r="J28" s="286"/>
      <c r="K28" s="286"/>
      <c r="L28" s="286"/>
      <c r="M28" s="286"/>
      <c r="N28" s="286"/>
      <c r="O28" s="286"/>
      <c r="P28" s="286"/>
      <c r="Q28" s="286"/>
      <c r="R28" s="286"/>
      <c r="S28" s="286"/>
      <c r="T28" s="289"/>
      <c r="V28" s="290" t="s">
        <v>338</v>
      </c>
      <c r="W28" s="286"/>
      <c r="X28" s="286"/>
      <c r="Y28" s="286"/>
      <c r="Z28" s="286"/>
      <c r="AA28" s="286"/>
      <c r="AB28" s="286"/>
      <c r="AC28" s="286"/>
      <c r="AD28" s="286"/>
      <c r="AE28" s="286"/>
      <c r="AF28" s="286"/>
      <c r="AG28" s="286"/>
      <c r="AH28" s="286"/>
      <c r="AI28" s="286"/>
      <c r="AJ28" s="286"/>
      <c r="AK28" s="286"/>
      <c r="AL28" s="286"/>
      <c r="AM28" s="286"/>
      <c r="AN28" s="286"/>
      <c r="AO28" s="286"/>
      <c r="AP28" s="286"/>
      <c r="AQ28" s="286"/>
      <c r="AR28" s="286"/>
      <c r="AS28" s="286"/>
      <c r="AT28" s="286"/>
      <c r="AU28" s="286"/>
      <c r="AV28" s="286"/>
      <c r="AW28" s="286"/>
      <c r="AX28" s="286"/>
      <c r="AY28" s="286"/>
      <c r="AZ28" s="286"/>
      <c r="BA28" s="286"/>
      <c r="BB28" s="286"/>
      <c r="BC28" s="286"/>
      <c r="BD28" s="286"/>
      <c r="BE28" s="286"/>
      <c r="BF28" s="286"/>
      <c r="BG28" s="286"/>
      <c r="BH28" s="286"/>
      <c r="BI28" s="286"/>
      <c r="BJ28" s="286"/>
      <c r="BK28" s="286"/>
      <c r="BL28" s="286"/>
      <c r="BM28" s="286"/>
      <c r="BN28" s="286"/>
      <c r="BO28" s="289"/>
      <c r="BQ28" s="290" t="s">
        <v>339</v>
      </c>
      <c r="BR28" s="286"/>
      <c r="BS28" s="286"/>
      <c r="BT28" s="286"/>
      <c r="BU28" s="286"/>
      <c r="BV28" s="286"/>
      <c r="BW28" s="286"/>
      <c r="BX28" s="286"/>
      <c r="BY28" s="286"/>
      <c r="BZ28" s="286"/>
      <c r="CA28" s="286"/>
      <c r="CB28" s="286"/>
      <c r="CC28" s="286"/>
      <c r="CD28" s="286"/>
      <c r="CE28" s="286"/>
      <c r="CF28" s="286"/>
      <c r="CG28" s="286"/>
      <c r="CH28" s="286"/>
      <c r="CI28" s="286"/>
      <c r="CJ28" s="286"/>
      <c r="CK28" s="289"/>
      <c r="CM28" s="290" t="s">
        <v>340</v>
      </c>
      <c r="CN28" s="286"/>
      <c r="CO28" s="286"/>
      <c r="CP28" s="286"/>
      <c r="CQ28" s="286"/>
      <c r="CR28" s="286"/>
      <c r="CS28" s="286"/>
      <c r="CT28" s="286"/>
      <c r="CU28" s="286"/>
      <c r="CV28" s="289"/>
      <c r="DA28" s="349"/>
    </row>
    <row r="29" spans="1:123" ht="15.75" customHeight="1" thickBot="1">
      <c r="B29" s="274"/>
      <c r="T29" s="276"/>
      <c r="V29" s="291" t="s">
        <v>191</v>
      </c>
      <c r="BO29" s="276"/>
      <c r="BQ29" s="291" t="s">
        <v>191</v>
      </c>
      <c r="BY29" s="91" t="s">
        <v>361</v>
      </c>
      <c r="CK29" s="276"/>
      <c r="CM29" s="274"/>
      <c r="CV29" s="276"/>
      <c r="DA29" s="349"/>
    </row>
    <row r="30" spans="1:123" ht="15.75" customHeight="1">
      <c r="B30" s="274"/>
      <c r="D30" s="770" t="s">
        <v>342</v>
      </c>
      <c r="E30" s="771"/>
      <c r="F30" s="771"/>
      <c r="G30" s="772"/>
      <c r="H30" s="776" t="s">
        <v>343</v>
      </c>
      <c r="I30" s="770" t="s">
        <v>344</v>
      </c>
      <c r="J30" s="772"/>
      <c r="K30" s="770" t="s">
        <v>345</v>
      </c>
      <c r="L30" s="771"/>
      <c r="M30" s="772"/>
      <c r="N30" s="776" t="s">
        <v>190</v>
      </c>
      <c r="O30" s="770" t="s">
        <v>347</v>
      </c>
      <c r="P30" s="771"/>
      <c r="Q30" s="772"/>
      <c r="R30" s="776" t="s">
        <v>362</v>
      </c>
      <c r="S30" s="776" t="s">
        <v>363</v>
      </c>
      <c r="T30" s="776" t="s">
        <v>194</v>
      </c>
      <c r="U30" s="353"/>
      <c r="V30" s="274"/>
      <c r="BO30" s="276"/>
      <c r="BQ30" s="274"/>
      <c r="CK30" s="276"/>
      <c r="CM30" s="274"/>
      <c r="CV30" s="276"/>
      <c r="DA30" s="349"/>
    </row>
    <row r="31" spans="1:123" ht="30.75" customHeight="1" thickBot="1">
      <c r="B31" s="274"/>
      <c r="D31" s="773"/>
      <c r="E31" s="774"/>
      <c r="F31" s="774"/>
      <c r="G31" s="775"/>
      <c r="H31" s="777"/>
      <c r="I31" s="773"/>
      <c r="J31" s="775"/>
      <c r="K31" s="773"/>
      <c r="L31" s="774"/>
      <c r="M31" s="775"/>
      <c r="N31" s="777"/>
      <c r="O31" s="773"/>
      <c r="P31" s="774"/>
      <c r="Q31" s="775"/>
      <c r="R31" s="777"/>
      <c r="S31" s="777"/>
      <c r="T31" s="777"/>
      <c r="U31" s="353"/>
      <c r="V31" s="274"/>
      <c r="W31" s="293" t="s">
        <v>90</v>
      </c>
      <c r="X31" s="261"/>
      <c r="Y31" s="261"/>
      <c r="Z31" s="261"/>
      <c r="AA31" s="261"/>
      <c r="AB31" s="354"/>
      <c r="AC31" s="261"/>
      <c r="AD31" s="261"/>
      <c r="AF31" s="293" t="s">
        <v>96</v>
      </c>
      <c r="AG31" s="261"/>
      <c r="AH31" s="261"/>
      <c r="AI31" s="261"/>
      <c r="AJ31" s="261"/>
      <c r="AK31" s="261"/>
      <c r="AL31" s="261"/>
      <c r="AM31" s="261"/>
      <c r="AO31" s="293" t="s">
        <v>349</v>
      </c>
      <c r="AP31" s="261"/>
      <c r="AQ31" s="261"/>
      <c r="AR31" s="261"/>
      <c r="AS31" s="261"/>
      <c r="AT31" s="261"/>
      <c r="AU31" s="261"/>
      <c r="AV31" s="261"/>
      <c r="AX31" s="293" t="s">
        <v>41</v>
      </c>
      <c r="AY31" s="261"/>
      <c r="AZ31" s="261"/>
      <c r="BA31" s="261"/>
      <c r="BB31" s="261"/>
      <c r="BC31" s="261"/>
      <c r="BD31" s="261"/>
      <c r="BE31" s="261"/>
      <c r="BG31" s="293" t="s">
        <v>130</v>
      </c>
      <c r="BH31" s="261"/>
      <c r="BI31" s="261"/>
      <c r="BJ31" s="261"/>
      <c r="BK31" s="261"/>
      <c r="BL31" s="261"/>
      <c r="BM31" s="261"/>
      <c r="BN31" s="261"/>
      <c r="BO31" s="276"/>
      <c r="BQ31" s="274"/>
      <c r="BR31" s="293" t="s">
        <v>57</v>
      </c>
      <c r="BS31" s="261"/>
      <c r="BT31" s="261"/>
      <c r="BU31" s="261"/>
      <c r="BV31" s="293"/>
      <c r="BW31" s="293"/>
      <c r="BX31" s="261"/>
      <c r="BZ31" s="293" t="s">
        <v>226</v>
      </c>
      <c r="CA31" s="293"/>
      <c r="CB31" s="261"/>
      <c r="CC31" s="261"/>
      <c r="CD31" s="261"/>
      <c r="CF31" s="293" t="s">
        <v>225</v>
      </c>
      <c r="CG31" s="293"/>
      <c r="CH31" s="261"/>
      <c r="CI31" s="261"/>
      <c r="CJ31" s="261"/>
      <c r="CK31" s="276"/>
      <c r="CM31" s="274"/>
      <c r="CN31" s="294" t="s">
        <v>351</v>
      </c>
      <c r="CO31" s="295"/>
      <c r="CP31" s="296"/>
      <c r="CQ31" s="296"/>
      <c r="CR31" s="296"/>
      <c r="CS31" s="296"/>
      <c r="CT31" s="296"/>
      <c r="CU31" s="297"/>
      <c r="CV31" s="298"/>
      <c r="DA31" s="349"/>
    </row>
    <row r="32" spans="1:123" ht="76.5" customHeight="1">
      <c r="B32" s="274"/>
      <c r="C32" s="300" t="s">
        <v>364</v>
      </c>
      <c r="D32" s="301" t="s">
        <v>3270</v>
      </c>
      <c r="E32" s="302" t="s">
        <v>2615</v>
      </c>
      <c r="F32" s="303" t="s">
        <v>2631</v>
      </c>
      <c r="G32" s="304" t="s">
        <v>2632</v>
      </c>
      <c r="H32" s="305" t="s">
        <v>2617</v>
      </c>
      <c r="I32" s="301" t="s">
        <v>2618</v>
      </c>
      <c r="J32" s="304" t="s">
        <v>352</v>
      </c>
      <c r="K32" s="301" t="s">
        <v>353</v>
      </c>
      <c r="L32" s="302" t="s">
        <v>354</v>
      </c>
      <c r="M32" s="304" t="s">
        <v>355</v>
      </c>
      <c r="N32" s="301" t="s">
        <v>2633</v>
      </c>
      <c r="O32" s="301" t="s">
        <v>2634</v>
      </c>
      <c r="P32" s="302" t="s">
        <v>2635</v>
      </c>
      <c r="Q32" s="304" t="s">
        <v>3995</v>
      </c>
      <c r="R32" s="309" t="s">
        <v>2636</v>
      </c>
      <c r="S32" s="300" t="s">
        <v>2624</v>
      </c>
      <c r="T32" s="310" t="s">
        <v>2637</v>
      </c>
      <c r="V32" s="311"/>
      <c r="W32" s="312" t="s">
        <v>2641</v>
      </c>
      <c r="X32" s="312" t="s">
        <v>2642</v>
      </c>
      <c r="Y32" s="313" t="s">
        <v>2643</v>
      </c>
      <c r="Z32" s="312" t="s">
        <v>2644</v>
      </c>
      <c r="AA32" s="312" t="s">
        <v>356</v>
      </c>
      <c r="AB32" s="312" t="s">
        <v>2645</v>
      </c>
      <c r="AC32" s="312" t="s">
        <v>2646</v>
      </c>
      <c r="AD32" s="312" t="s">
        <v>2511</v>
      </c>
      <c r="AE32" s="313"/>
      <c r="AF32" s="312" t="s">
        <v>2641</v>
      </c>
      <c r="AG32" s="312" t="s">
        <v>2642</v>
      </c>
      <c r="AH32" s="313" t="s">
        <v>2643</v>
      </c>
      <c r="AI32" s="312" t="s">
        <v>2644</v>
      </c>
      <c r="AJ32" s="312" t="s">
        <v>356</v>
      </c>
      <c r="AK32" s="312" t="s">
        <v>2645</v>
      </c>
      <c r="AL32" s="312" t="s">
        <v>2646</v>
      </c>
      <c r="AM32" s="312" t="s">
        <v>2511</v>
      </c>
      <c r="AN32" s="313"/>
      <c r="AO32" s="312" t="s">
        <v>2641</v>
      </c>
      <c r="AP32" s="312" t="s">
        <v>2642</v>
      </c>
      <c r="AQ32" s="313" t="s">
        <v>2643</v>
      </c>
      <c r="AR32" s="312" t="s">
        <v>2644</v>
      </c>
      <c r="AS32" s="312" t="s">
        <v>356</v>
      </c>
      <c r="AT32" s="312" t="s">
        <v>2645</v>
      </c>
      <c r="AU32" s="312" t="s">
        <v>2646</v>
      </c>
      <c r="AV32" s="312" t="s">
        <v>2511</v>
      </c>
      <c r="AW32" s="313"/>
      <c r="AX32" s="312" t="s">
        <v>2641</v>
      </c>
      <c r="AY32" s="312" t="s">
        <v>2642</v>
      </c>
      <c r="AZ32" s="313" t="s">
        <v>2643</v>
      </c>
      <c r="BA32" s="312" t="s">
        <v>2644</v>
      </c>
      <c r="BB32" s="312" t="s">
        <v>356</v>
      </c>
      <c r="BC32" s="312" t="s">
        <v>2645</v>
      </c>
      <c r="BD32" s="312" t="s">
        <v>2646</v>
      </c>
      <c r="BE32" s="312" t="s">
        <v>2511</v>
      </c>
      <c r="BF32" s="313"/>
      <c r="BG32" s="312" t="s">
        <v>2641</v>
      </c>
      <c r="BH32" s="312" t="s">
        <v>2642</v>
      </c>
      <c r="BI32" s="313" t="s">
        <v>2643</v>
      </c>
      <c r="BJ32" s="312" t="s">
        <v>2644</v>
      </c>
      <c r="BK32" s="312" t="s">
        <v>356</v>
      </c>
      <c r="BL32" s="312" t="s">
        <v>2645</v>
      </c>
      <c r="BM32" s="312" t="s">
        <v>2646</v>
      </c>
      <c r="BN32" s="312" t="s">
        <v>2511</v>
      </c>
      <c r="BO32" s="276"/>
      <c r="BQ32" s="274"/>
      <c r="BR32" s="314" t="s">
        <v>357</v>
      </c>
      <c r="BS32" s="312" t="s">
        <v>2647</v>
      </c>
      <c r="BT32" s="312" t="s">
        <v>2648</v>
      </c>
      <c r="BU32" s="312" t="s">
        <v>358</v>
      </c>
      <c r="BV32" s="312" t="s">
        <v>2649</v>
      </c>
      <c r="BW32" s="312" t="s">
        <v>2646</v>
      </c>
      <c r="BX32" s="312" t="s">
        <v>2511</v>
      </c>
      <c r="BZ32" s="312" t="s">
        <v>2647</v>
      </c>
      <c r="CA32" s="312" t="s">
        <v>2648</v>
      </c>
      <c r="CB32" s="312" t="s">
        <v>356</v>
      </c>
      <c r="CC32" s="312" t="s">
        <v>2646</v>
      </c>
      <c r="CD32" s="312" t="s">
        <v>2511</v>
      </c>
      <c r="CF32" s="312" t="s">
        <v>2647</v>
      </c>
      <c r="CG32" s="312" t="s">
        <v>2648</v>
      </c>
      <c r="CH32" s="312" t="s">
        <v>356</v>
      </c>
      <c r="CI32" s="312" t="s">
        <v>2651</v>
      </c>
      <c r="CJ32" s="312" t="s">
        <v>2511</v>
      </c>
      <c r="CK32" s="276"/>
      <c r="CM32" s="274"/>
      <c r="CN32" s="315" t="s">
        <v>2652</v>
      </c>
      <c r="CO32" s="315" t="s">
        <v>3993</v>
      </c>
      <c r="CP32" s="315" t="s">
        <v>359</v>
      </c>
      <c r="CQ32" s="315" t="s">
        <v>2653</v>
      </c>
      <c r="CR32" s="314" t="s">
        <v>360</v>
      </c>
      <c r="CS32" s="315" t="s">
        <v>3994</v>
      </c>
      <c r="CT32" s="316" t="s">
        <v>2654</v>
      </c>
      <c r="CU32" s="312" t="s">
        <v>189</v>
      </c>
      <c r="CV32" s="317"/>
      <c r="DA32" s="349"/>
    </row>
    <row r="33" spans="2:105" ht="15.75" customHeight="1" thickBot="1">
      <c r="B33" s="318"/>
      <c r="C33" s="319">
        <f>C24</f>
        <v>2022</v>
      </c>
      <c r="D33" s="320">
        <f>D24</f>
        <v>42975500.333333328</v>
      </c>
      <c r="E33" s="321">
        <f>E24</f>
        <v>57440333.333333336</v>
      </c>
      <c r="F33" s="321">
        <f>F24</f>
        <v>58662569.133426361</v>
      </c>
      <c r="G33" s="323">
        <f>'State &amp; Province Summary'!C21+'State &amp; Province Summary'!D21</f>
        <v>3216554581.565783</v>
      </c>
      <c r="H33" s="355">
        <f>H24</f>
        <v>15687068.800093032</v>
      </c>
      <c r="I33" s="321">
        <f>SUM(IF(H33&gt;0,H33,0),(IF(W33&lt;Y33,Y33-W33,0)),(IF(AF33&lt;AH33,AH33-AF33,0)),(IF(AO33&lt;AQ33,AQ33-AO33,0)),(IF(AX33&lt;AZ33,AZ33-AX33,0)),(IF(BG33&lt;BI33,BI33-BG33,0)),(IF(BS33&lt;0,(BS33*-1),0)),(IF(BZ33&lt;0,(BZ33*-1),0)),(IF(CF33&lt;0,(CF33*-1),0)))</f>
        <v>24043784.887786452</v>
      </c>
      <c r="J33" s="356">
        <f>IF(H33&gt;0,H33/I33,0)</f>
        <v>0.65243757891302756</v>
      </c>
      <c r="K33" s="320">
        <f>SUM(AA33,AJ33,AS33,BB33,BK33)</f>
        <v>11079530.477618808</v>
      </c>
      <c r="L33" s="321">
        <f>SUM(BU33,CB33,CH33)</f>
        <v>4607538.3224742208</v>
      </c>
      <c r="M33" s="326">
        <f>K33+L33</f>
        <v>15687068.800093029</v>
      </c>
      <c r="N33" s="327">
        <f>SUM(AD33,AM33,AV33,BE33,BN33)</f>
        <v>0</v>
      </c>
      <c r="O33" s="328">
        <f>BX33</f>
        <v>0</v>
      </c>
      <c r="P33" s="328">
        <f>SUM(CD33+CJ33)</f>
        <v>38283022.827653706</v>
      </c>
      <c r="Q33" s="329">
        <f>O33+P33</f>
        <v>38283022.827653706</v>
      </c>
      <c r="R33" s="330">
        <f>N33+Q33+(IF(H33&lt;0,G33*H33/D33,0))</f>
        <v>38283022.827653706</v>
      </c>
      <c r="S33" s="331">
        <f>G33+R33</f>
        <v>3254837604.3934369</v>
      </c>
      <c r="T33" s="332">
        <f>S33/F33</f>
        <v>55.484061684894854</v>
      </c>
      <c r="V33" s="274">
        <f>C14</f>
        <v>2022</v>
      </c>
      <c r="W33" s="333">
        <f>W24</f>
        <v>9357521</v>
      </c>
      <c r="X33" s="322">
        <f>X24</f>
        <v>13007330</v>
      </c>
      <c r="Y33" s="322">
        <f>Y24</f>
        <v>13284104.584460814</v>
      </c>
      <c r="Z33" s="322">
        <f>IF(W33&gt;Y33,W33-Y33,0)</f>
        <v>0</v>
      </c>
      <c r="AA33" s="322">
        <f>Z33*J33</f>
        <v>0</v>
      </c>
      <c r="AB33" s="334">
        <f>(('State &amp; Province Summary'!C24+'State &amp; Province Summary'!D24)*AA$15)</f>
        <v>916167662.17588699</v>
      </c>
      <c r="AC33" s="334">
        <f>Z33*'State &amp; Province Summary'!I24</f>
        <v>0</v>
      </c>
      <c r="AD33" s="334">
        <f>AC33*J33</f>
        <v>0</v>
      </c>
      <c r="AF33" s="333">
        <f>AF24</f>
        <v>11681151</v>
      </c>
      <c r="AG33" s="322">
        <f>AG24</f>
        <v>11914110</v>
      </c>
      <c r="AH33" s="322">
        <f>AH24</f>
        <v>12167622.661281787</v>
      </c>
      <c r="AI33" s="322">
        <f>IF(AF33&gt;AH33,AF33-AH33,0)</f>
        <v>0</v>
      </c>
      <c r="AJ33" s="322">
        <f>AI33*J33</f>
        <v>0</v>
      </c>
      <c r="AK33" s="334">
        <f>'State &amp; Province Summary'!C27+'State &amp; Province Summary'!D27</f>
        <v>1542626076.5227256</v>
      </c>
      <c r="AL33" s="334">
        <f>AI33*'State &amp; Province Summary'!I27</f>
        <v>0</v>
      </c>
      <c r="AM33" s="334">
        <f>AL33*J33</f>
        <v>0</v>
      </c>
      <c r="AN33" s="274"/>
      <c r="AO33" s="333">
        <f>AO24</f>
        <v>4939714.5539999995</v>
      </c>
      <c r="AP33" s="322">
        <f>AP24</f>
        <v>5760247</v>
      </c>
      <c r="AQ33" s="322">
        <f>AQ24</f>
        <v>5882815.5801633885</v>
      </c>
      <c r="AR33" s="322">
        <f>IF(AO33&gt;AQ33,AO33-AQ33,0)</f>
        <v>0</v>
      </c>
      <c r="AS33" s="322">
        <f>AR33*J33</f>
        <v>0</v>
      </c>
      <c r="AT33" s="334">
        <f>'State &amp; Province Summary'!C33+'State &amp; Province Summary'!D33</f>
        <v>31010489.960727215</v>
      </c>
      <c r="AU33" s="334">
        <f>AR33*'State &amp; Province Summary'!I33</f>
        <v>0</v>
      </c>
      <c r="AV33" s="334">
        <f>AU33*J33</f>
        <v>0</v>
      </c>
      <c r="AX33" s="333">
        <f>AX24</f>
        <v>47333776</v>
      </c>
      <c r="AY33" s="322">
        <f>AY24</f>
        <v>29719643</v>
      </c>
      <c r="AZ33" s="322">
        <f>AZ24</f>
        <v>30352028.112213556</v>
      </c>
      <c r="BA33" s="322">
        <f>IF(AX33&gt;AZ33,AX33-AZ33,0)</f>
        <v>16981747.887786444</v>
      </c>
      <c r="BB33" s="322">
        <f>BA33*J33</f>
        <v>11079530.477618808</v>
      </c>
      <c r="BC33" s="334">
        <f>'State &amp; Province Summary'!C18+'State &amp; Province Summary'!D18</f>
        <v>6324358300.9306259</v>
      </c>
      <c r="BD33" s="334">
        <f>BA33*'State &amp; Province Summary'!I18</f>
        <v>0</v>
      </c>
      <c r="BE33" s="334">
        <f>BD33*J33</f>
        <v>0</v>
      </c>
      <c r="BG33" s="333">
        <f>BG24</f>
        <v>8121652</v>
      </c>
      <c r="BH33" s="322">
        <f>BH24</f>
        <v>8167963</v>
      </c>
      <c r="BI33" s="322">
        <f>BI24</f>
        <v>8341763.8157874299</v>
      </c>
      <c r="BJ33" s="322">
        <f>IF(BG33&gt;BI33,BG33-BI33,0)</f>
        <v>0</v>
      </c>
      <c r="BK33" s="322">
        <f>BJ33*J33</f>
        <v>0</v>
      </c>
      <c r="BL33" s="334">
        <f>'State &amp; Province Summary'!C30+'State &amp; Province Summary'!D30</f>
        <v>590342474.67637634</v>
      </c>
      <c r="BM33" s="334">
        <f>BJ33*'State &amp; Province Summary'!I30</f>
        <v>0</v>
      </c>
      <c r="BN33" s="334">
        <f>BM33*J33</f>
        <v>0</v>
      </c>
      <c r="BO33" s="276"/>
      <c r="BQ33" s="274">
        <f>C14</f>
        <v>2022</v>
      </c>
      <c r="BR33" s="322">
        <f>BR24</f>
        <v>122083854.63800001</v>
      </c>
      <c r="BS33" s="322">
        <f>BS24</f>
        <v>-2780448</v>
      </c>
      <c r="BT33" s="322">
        <f>IF(BS33&gt;0,BS33,0)</f>
        <v>0</v>
      </c>
      <c r="BU33" s="322">
        <f>BT33*J33</f>
        <v>0</v>
      </c>
      <c r="BV33" s="334">
        <f>'State &amp; Province Summary'!C36+'State &amp; Province Summary'!D36</f>
        <v>1659607417.2348702</v>
      </c>
      <c r="BW33" s="335">
        <f>BT33*(BV33/(BR33+'State &amp; Province Summary'!D87))</f>
        <v>0</v>
      </c>
      <c r="BX33" s="334">
        <f>BW33*J33</f>
        <v>0</v>
      </c>
      <c r="BZ33" s="322">
        <f>BZ24</f>
        <v>1534096</v>
      </c>
      <c r="CA33" s="337">
        <f>IF(BZ33&gt;0,BZ33,0)</f>
        <v>1534096</v>
      </c>
      <c r="CB33" s="338">
        <f>CA33*J33</f>
        <v>1000901.88006016</v>
      </c>
      <c r="CC33" s="335">
        <f>BZ33*(('State &amp; Province Summary'!C39+'State &amp; Province Summary'!D39)/(('State &amp; Province Summary'!C89+'State &amp; Province Summary'!D92)))</f>
        <v>0</v>
      </c>
      <c r="CD33" s="335">
        <f>J33*CC33</f>
        <v>0</v>
      </c>
      <c r="CF33" s="322">
        <f>CF24</f>
        <v>5527941</v>
      </c>
      <c r="CG33" s="337">
        <f>IF(CF33&gt;0,CF33,0)</f>
        <v>5527941</v>
      </c>
      <c r="CH33" s="338">
        <f>CG33*J33</f>
        <v>3606636.4424140607</v>
      </c>
      <c r="CI33" s="335">
        <f>CF33*(('State &amp; Province Summary'!C42+'State &amp; Province Summary'!D42)/('State &amp; Province Summary'!C94+'State &amp; Province Summary'!D97))</f>
        <v>58676912.650301188</v>
      </c>
      <c r="CJ33" s="335">
        <f>J33*CI33</f>
        <v>38283022.827653706</v>
      </c>
      <c r="CK33" s="276"/>
      <c r="CM33" s="274">
        <f>C14</f>
        <v>2022</v>
      </c>
      <c r="CN33" s="333">
        <f>CN24</f>
        <v>124409314.88733333</v>
      </c>
      <c r="CO33" s="322">
        <f>CO24</f>
        <v>126009626.33333333</v>
      </c>
      <c r="CP33" s="339">
        <f>CP24</f>
        <v>2681277.5540000005</v>
      </c>
      <c r="CQ33" s="339">
        <f>CO33+CP33</f>
        <v>128690903.88733333</v>
      </c>
      <c r="CR33" s="322">
        <f>CQ33-CN33</f>
        <v>4281589</v>
      </c>
      <c r="CS33" s="335">
        <f>G33+AB33+AK33+AT33+BC33+BL33+BW33+CC33+CI33</f>
        <v>12679736498.482426</v>
      </c>
      <c r="CT33" s="340">
        <f>CS33/CQ33</f>
        <v>98.528614808575099</v>
      </c>
      <c r="CU33" s="335">
        <f>CT33*F33</f>
        <v>5779941677.8287735</v>
      </c>
      <c r="CV33" s="341"/>
      <c r="DA33" s="349"/>
    </row>
    <row r="34" spans="2:105" ht="15.75" customHeight="1" thickBot="1">
      <c r="B34" s="282"/>
      <c r="C34" s="357"/>
      <c r="D34" s="700"/>
      <c r="E34" s="343"/>
      <c r="F34" s="701"/>
      <c r="G34" s="702"/>
      <c r="H34" s="703"/>
      <c r="I34" s="343"/>
      <c r="J34" s="343"/>
      <c r="K34" s="343"/>
      <c r="L34" s="343"/>
      <c r="M34" s="343"/>
      <c r="N34" s="343"/>
      <c r="O34" s="343"/>
      <c r="P34" s="343"/>
      <c r="Q34" s="343"/>
      <c r="R34" s="343"/>
      <c r="S34" s="343"/>
      <c r="T34" s="283"/>
      <c r="V34" s="282"/>
      <c r="W34" s="343"/>
      <c r="X34" s="343"/>
      <c r="Y34" s="343"/>
      <c r="Z34" s="343"/>
      <c r="AA34" s="343"/>
      <c r="AB34" s="343"/>
      <c r="AC34" s="343"/>
      <c r="AD34" s="343"/>
      <c r="AE34" s="343"/>
      <c r="AF34" s="343"/>
      <c r="AG34" s="343"/>
      <c r="AH34" s="343"/>
      <c r="AI34" s="343"/>
      <c r="AJ34" s="343"/>
      <c r="AK34" s="343"/>
      <c r="AL34" s="343"/>
      <c r="AM34" s="343"/>
      <c r="AN34" s="343"/>
      <c r="AO34" s="343"/>
      <c r="AP34" s="343"/>
      <c r="AQ34" s="343"/>
      <c r="AR34" s="343"/>
      <c r="AS34" s="343"/>
      <c r="AT34" s="343"/>
      <c r="AU34" s="343"/>
      <c r="AV34" s="343"/>
      <c r="AW34" s="343"/>
      <c r="AX34" s="343"/>
      <c r="AY34" s="343"/>
      <c r="AZ34" s="343"/>
      <c r="BA34" s="343"/>
      <c r="BB34" s="343"/>
      <c r="BC34" s="343"/>
      <c r="BD34" s="343"/>
      <c r="BE34" s="343"/>
      <c r="BF34" s="343"/>
      <c r="BG34" s="343"/>
      <c r="BH34" s="343"/>
      <c r="BI34" s="343"/>
      <c r="BJ34" s="343"/>
      <c r="BK34" s="343"/>
      <c r="BL34" s="343"/>
      <c r="BM34" s="343"/>
      <c r="BN34" s="343"/>
      <c r="BO34" s="283"/>
      <c r="BQ34" s="282"/>
      <c r="BR34" s="343"/>
      <c r="BS34" s="343"/>
      <c r="BT34" s="343"/>
      <c r="BU34" s="343"/>
      <c r="BV34" s="343"/>
      <c r="BW34" s="343"/>
      <c r="BX34" s="343"/>
      <c r="BY34" s="343"/>
      <c r="BZ34" s="699"/>
      <c r="CA34" s="343"/>
      <c r="CB34" s="343"/>
      <c r="CC34" s="343"/>
      <c r="CD34" s="343"/>
      <c r="CE34" s="343"/>
      <c r="CF34" s="343"/>
      <c r="CG34" s="343"/>
      <c r="CH34" s="343"/>
      <c r="CI34" s="343"/>
      <c r="CJ34" s="343"/>
      <c r="CK34" s="283"/>
      <c r="CM34" s="282"/>
      <c r="CN34" s="343"/>
      <c r="CO34" s="343"/>
      <c r="CP34" s="343"/>
      <c r="CQ34" s="343"/>
      <c r="CR34" s="343"/>
      <c r="CS34" s="343"/>
      <c r="CT34" s="343"/>
      <c r="CU34" s="343"/>
      <c r="CV34" s="283"/>
      <c r="DA34" s="349"/>
    </row>
    <row r="35" spans="2:105">
      <c r="AB35" s="348"/>
      <c r="AK35" s="348"/>
      <c r="AM35" s="280"/>
      <c r="AT35" s="348"/>
      <c r="BC35" s="348"/>
      <c r="BE35" s="280"/>
      <c r="BL35" s="348"/>
    </row>
    <row r="36" spans="2:105">
      <c r="AB36" s="348"/>
      <c r="AK36" s="348"/>
      <c r="AM36" s="280"/>
      <c r="AT36" s="348"/>
      <c r="BC36" s="348"/>
      <c r="BE36" s="280"/>
      <c r="BL36" s="348"/>
    </row>
    <row r="37" spans="2:105">
      <c r="AB37" s="348"/>
      <c r="AK37" s="348"/>
      <c r="AM37" s="280"/>
      <c r="AT37" s="348"/>
      <c r="BC37" s="348"/>
      <c r="BE37" s="280"/>
      <c r="BL37" s="348"/>
    </row>
    <row r="38" spans="2:105">
      <c r="AB38" s="348"/>
      <c r="AK38" s="348"/>
      <c r="AM38" s="280"/>
      <c r="AT38" s="348"/>
      <c r="BC38" s="348"/>
      <c r="BE38" s="280"/>
      <c r="BL38" s="348"/>
    </row>
    <row r="39" spans="2:105">
      <c r="N39" s="358"/>
      <c r="AB39" s="348"/>
      <c r="AK39" s="348"/>
      <c r="AM39" s="280"/>
      <c r="AT39" s="348"/>
      <c r="BC39" s="348"/>
      <c r="BE39" s="280"/>
      <c r="BL39" s="348"/>
    </row>
    <row r="40" spans="2:105">
      <c r="D40" s="358"/>
      <c r="E40" s="264"/>
      <c r="F40" s="273"/>
      <c r="G40" s="359"/>
      <c r="H40" s="360"/>
      <c r="J40" s="358"/>
      <c r="K40" s="361"/>
      <c r="L40" s="125"/>
      <c r="N40" s="358"/>
      <c r="O40" s="361"/>
      <c r="P40" s="125"/>
      <c r="AM40" s="280"/>
      <c r="BC40" s="280"/>
      <c r="BE40" s="280"/>
    </row>
    <row r="41" spans="2:105">
      <c r="D41" s="358"/>
      <c r="E41" s="264"/>
      <c r="F41" s="273"/>
      <c r="G41" s="359"/>
      <c r="H41" s="360"/>
      <c r="J41" s="358"/>
      <c r="K41" s="361"/>
      <c r="L41" s="125"/>
      <c r="N41" s="358"/>
      <c r="O41" s="361"/>
      <c r="P41" s="125"/>
      <c r="AM41" s="280"/>
      <c r="BC41" s="280"/>
      <c r="BE41" s="280"/>
    </row>
    <row r="42" spans="2:105">
      <c r="D42" s="358"/>
      <c r="E42" s="264"/>
      <c r="F42" s="273"/>
      <c r="G42" s="359"/>
      <c r="H42" s="360"/>
      <c r="J42" s="358"/>
      <c r="K42" s="361"/>
      <c r="L42" s="125"/>
      <c r="N42" s="358"/>
      <c r="O42" s="361"/>
      <c r="P42" s="125"/>
      <c r="AM42" s="280"/>
      <c r="BC42" s="280"/>
      <c r="BE42" s="280"/>
    </row>
    <row r="43" spans="2:105" ht="55.5" customHeight="1">
      <c r="D43" s="362"/>
      <c r="E43" s="362"/>
      <c r="F43" s="362"/>
      <c r="G43" s="362"/>
      <c r="H43" s="362"/>
      <c r="J43" s="362"/>
      <c r="K43" s="363"/>
      <c r="L43" s="362"/>
      <c r="N43" s="362"/>
      <c r="O43" s="362"/>
      <c r="P43" s="362"/>
      <c r="Q43" s="362"/>
      <c r="R43" s="363"/>
      <c r="S43" s="363"/>
      <c r="T43" s="363"/>
      <c r="U43" s="363"/>
      <c r="V43" s="363"/>
    </row>
    <row r="44" spans="2:105">
      <c r="D44" s="362"/>
      <c r="E44" s="364"/>
      <c r="F44" s="364"/>
      <c r="G44" s="364"/>
      <c r="H44" s="364"/>
      <c r="J44" s="272"/>
      <c r="K44" s="364"/>
      <c r="L44" s="364"/>
      <c r="N44" s="272"/>
      <c r="O44" s="364"/>
      <c r="P44" s="364"/>
      <c r="Q44" s="364"/>
      <c r="R44" s="364"/>
      <c r="S44" s="364"/>
      <c r="T44" s="364"/>
      <c r="U44" s="346"/>
      <c r="V44" s="346"/>
    </row>
    <row r="45" spans="2:105" ht="14.25" customHeight="1">
      <c r="D45" s="362"/>
      <c r="E45" s="364"/>
      <c r="F45" s="364"/>
      <c r="G45" s="364"/>
      <c r="H45" s="364"/>
      <c r="J45" s="272"/>
      <c r="K45" s="364"/>
      <c r="L45" s="364"/>
      <c r="N45" s="272"/>
      <c r="O45" s="364"/>
      <c r="P45" s="364"/>
      <c r="Q45" s="364"/>
      <c r="R45" s="364"/>
      <c r="S45" s="364"/>
      <c r="T45" s="364"/>
      <c r="U45" s="346"/>
      <c r="V45" s="346"/>
    </row>
    <row r="46" spans="2:105">
      <c r="D46" s="362"/>
      <c r="E46" s="364"/>
      <c r="F46" s="364"/>
      <c r="G46" s="364"/>
      <c r="H46" s="364"/>
      <c r="J46" s="272"/>
      <c r="K46" s="364"/>
      <c r="L46" s="364"/>
      <c r="N46" s="272"/>
      <c r="O46" s="364"/>
      <c r="P46" s="364"/>
      <c r="Q46" s="364"/>
      <c r="R46" s="364"/>
      <c r="S46" s="364"/>
      <c r="T46" s="364"/>
      <c r="U46" s="346"/>
      <c r="V46" s="346"/>
      <c r="AG46" s="280"/>
      <c r="AH46" s="280"/>
    </row>
    <row r="47" spans="2:105">
      <c r="D47" s="362"/>
      <c r="E47" s="364"/>
      <c r="F47" s="364"/>
      <c r="G47" s="364"/>
      <c r="H47" s="364"/>
      <c r="J47" s="272"/>
      <c r="K47" s="364"/>
      <c r="L47" s="364"/>
      <c r="N47" s="272"/>
      <c r="O47" s="364"/>
      <c r="P47" s="364"/>
      <c r="Q47" s="364"/>
      <c r="R47" s="364"/>
      <c r="S47" s="364"/>
      <c r="T47" s="364"/>
      <c r="U47" s="346"/>
      <c r="V47" s="346"/>
      <c r="AG47" s="280"/>
      <c r="AH47" s="280"/>
    </row>
    <row r="48" spans="2:105">
      <c r="D48" s="362"/>
      <c r="E48" s="364"/>
      <c r="F48" s="364"/>
      <c r="G48" s="364"/>
      <c r="H48" s="364"/>
      <c r="J48" s="272"/>
      <c r="K48" s="364"/>
      <c r="L48" s="364"/>
      <c r="N48" s="272"/>
      <c r="O48" s="364"/>
      <c r="P48" s="364"/>
      <c r="Q48" s="364"/>
      <c r="R48" s="364"/>
      <c r="S48" s="364"/>
      <c r="T48" s="364"/>
      <c r="U48" s="346"/>
      <c r="V48" s="346"/>
      <c r="AG48" s="365"/>
      <c r="AH48" s="365"/>
    </row>
    <row r="49" spans="4:22">
      <c r="D49" s="362"/>
      <c r="E49" s="364"/>
      <c r="F49" s="364"/>
      <c r="G49" s="364"/>
      <c r="H49" s="364"/>
      <c r="J49" s="272"/>
      <c r="K49" s="364"/>
      <c r="L49" s="364"/>
      <c r="N49" s="272"/>
      <c r="O49" s="364"/>
      <c r="P49" s="364"/>
      <c r="Q49" s="364"/>
      <c r="R49" s="364"/>
      <c r="S49" s="364"/>
      <c r="T49" s="364"/>
      <c r="U49" s="346"/>
      <c r="V49" s="346"/>
    </row>
    <row r="50" spans="4:22">
      <c r="D50" s="272"/>
      <c r="E50" s="366"/>
      <c r="F50" s="367"/>
      <c r="G50" s="366"/>
      <c r="H50" s="364"/>
      <c r="J50" s="272"/>
      <c r="K50" s="364"/>
      <c r="L50" s="364"/>
      <c r="N50" s="272"/>
      <c r="O50" s="368"/>
      <c r="P50" s="368"/>
      <c r="Q50" s="368"/>
      <c r="R50" s="368"/>
      <c r="S50" s="368"/>
      <c r="T50" s="368"/>
    </row>
    <row r="51" spans="4:22">
      <c r="D51" s="272"/>
      <c r="E51" s="366"/>
      <c r="F51" s="367"/>
      <c r="G51" s="366"/>
      <c r="H51" s="364"/>
      <c r="J51" s="272"/>
      <c r="K51" s="364"/>
      <c r="L51" s="364"/>
      <c r="O51" s="125"/>
      <c r="P51" s="125"/>
      <c r="Q51" s="125"/>
      <c r="R51" s="125"/>
      <c r="S51" s="125"/>
      <c r="T51" s="125"/>
    </row>
    <row r="52" spans="4:22">
      <c r="D52" s="272"/>
      <c r="E52" s="366"/>
      <c r="F52" s="367"/>
      <c r="G52" s="366"/>
      <c r="H52" s="364"/>
      <c r="J52" s="272"/>
      <c r="K52" s="364"/>
      <c r="L52" s="364"/>
      <c r="N52" s="272"/>
      <c r="O52" s="368"/>
      <c r="P52" s="368"/>
      <c r="R52" s="260"/>
    </row>
    <row r="53" spans="4:22">
      <c r="D53" s="272"/>
      <c r="E53" s="368"/>
      <c r="F53" s="368"/>
      <c r="G53" s="368"/>
      <c r="H53" s="368"/>
      <c r="J53" s="272"/>
      <c r="K53" s="368"/>
      <c r="L53" s="368"/>
      <c r="O53" s="280"/>
    </row>
    <row r="54" spans="4:22">
      <c r="D54" s="272"/>
      <c r="E54" s="368"/>
      <c r="F54" s="368"/>
      <c r="G54" s="368"/>
      <c r="H54" s="368"/>
      <c r="J54" s="272"/>
      <c r="K54" s="368"/>
      <c r="L54" s="368"/>
      <c r="Q54" s="280"/>
    </row>
    <row r="55" spans="4:22">
      <c r="D55" s="272"/>
      <c r="E55" s="368"/>
      <c r="F55" s="368"/>
      <c r="G55" s="368"/>
      <c r="H55" s="368"/>
      <c r="J55" s="272"/>
      <c r="K55" s="368"/>
      <c r="L55" s="368"/>
      <c r="O55" s="280"/>
      <c r="Q55" s="352"/>
    </row>
    <row r="56" spans="4:22">
      <c r="D56" s="125"/>
      <c r="G56" s="352"/>
      <c r="J56" s="125"/>
      <c r="K56" s="280"/>
      <c r="O56" s="280"/>
      <c r="Q56" s="280"/>
    </row>
    <row r="57" spans="4:22">
      <c r="L57" s="280"/>
      <c r="O57" s="280"/>
    </row>
    <row r="58" spans="4:22">
      <c r="D58" s="272"/>
      <c r="J58" s="272"/>
    </row>
    <row r="59" spans="4:22">
      <c r="D59" s="272"/>
      <c r="H59" s="352"/>
      <c r="N59" s="272"/>
    </row>
  </sheetData>
  <mergeCells count="31">
    <mergeCell ref="D17:E17"/>
    <mergeCell ref="F14:G14"/>
    <mergeCell ref="W10:AB10"/>
    <mergeCell ref="W13:AB13"/>
    <mergeCell ref="O30:Q31"/>
    <mergeCell ref="T30:T31"/>
    <mergeCell ref="R21:R22"/>
    <mergeCell ref="S21:S22"/>
    <mergeCell ref="R30:R31"/>
    <mergeCell ref="O21:Q22"/>
    <mergeCell ref="S30:S31"/>
    <mergeCell ref="T21:T22"/>
    <mergeCell ref="N17:O17"/>
    <mergeCell ref="K30:M31"/>
    <mergeCell ref="N21:N22"/>
    <mergeCell ref="K21:M22"/>
    <mergeCell ref="D30:G31"/>
    <mergeCell ref="D21:G22"/>
    <mergeCell ref="H21:H22"/>
    <mergeCell ref="I21:J22"/>
    <mergeCell ref="N30:N31"/>
    <mergeCell ref="H30:H31"/>
    <mergeCell ref="I30:J31"/>
    <mergeCell ref="C2:H4"/>
    <mergeCell ref="N14:O14"/>
    <mergeCell ref="P14:Q14"/>
    <mergeCell ref="N15:O15"/>
    <mergeCell ref="N16:O16"/>
    <mergeCell ref="D14:E14"/>
    <mergeCell ref="D15:E15"/>
    <mergeCell ref="D16:E16"/>
  </mergeCells>
  <phoneticPr fontId="8" type="noConversion"/>
  <pageMargins left="0" right="0" top="1" bottom="1" header="0.5" footer="0.5"/>
  <pageSetup scale="35" fitToWidth="4" fitToHeight="0" orientation="landscape" r:id="rId1"/>
  <headerFooter alignWithMargins="0">
    <oddFooter>&amp;R&amp;A Page &amp;P of &amp;N</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tabColor theme="9" tint="-0.249977111117893"/>
    <pageSetUpPr fitToPage="1"/>
  </sheetPr>
  <dimension ref="A2:X223"/>
  <sheetViews>
    <sheetView zoomScaleNormal="100" workbookViewId="0"/>
  </sheetViews>
  <sheetFormatPr defaultColWidth="9.1796875" defaultRowHeight="12.5"/>
  <cols>
    <col min="1" max="1" width="3.453125" style="20" customWidth="1"/>
    <col min="2" max="2" width="20.54296875" style="20" customWidth="1"/>
    <col min="3" max="3" width="17.54296875" style="20" customWidth="1"/>
    <col min="4" max="4" width="15" style="20" customWidth="1"/>
    <col min="5" max="5" width="14.81640625" style="20" bestFit="1" customWidth="1"/>
    <col min="6" max="6" width="13.453125" style="20" customWidth="1"/>
    <col min="7" max="7" width="29.453125" style="20" customWidth="1"/>
    <col min="8" max="8" width="17.1796875" style="20" customWidth="1"/>
    <col min="9" max="9" width="41.54296875" style="20" customWidth="1"/>
    <col min="10" max="10" width="26.453125" style="20" customWidth="1"/>
    <col min="11" max="11" width="19.1796875" style="20" customWidth="1"/>
    <col min="12" max="14" width="15.1796875" style="20" customWidth="1"/>
    <col min="15" max="15" width="17.81640625" style="20" customWidth="1"/>
    <col min="16" max="16" width="15.1796875" style="20" customWidth="1"/>
    <col min="17" max="16384" width="9.1796875" style="20"/>
  </cols>
  <sheetData>
    <row r="2" spans="2:16" ht="15" customHeight="1" thickBot="1">
      <c r="C2" s="103" t="s">
        <v>1391</v>
      </c>
      <c r="I2" s="103" t="s">
        <v>1504</v>
      </c>
      <c r="P2" s="65"/>
    </row>
    <row r="3" spans="2:16" ht="48" customHeight="1" thickBot="1">
      <c r="B3" s="423"/>
      <c r="C3" s="424"/>
      <c r="D3" s="424"/>
      <c r="E3" s="424"/>
      <c r="F3" s="424"/>
      <c r="G3" s="425"/>
      <c r="I3" s="426" t="s">
        <v>208</v>
      </c>
      <c r="J3" s="427" t="s">
        <v>322</v>
      </c>
      <c r="K3" s="427" t="s">
        <v>323</v>
      </c>
      <c r="L3" s="427" t="s">
        <v>1501</v>
      </c>
      <c r="M3" s="427" t="s">
        <v>324</v>
      </c>
      <c r="N3" s="428" t="s">
        <v>1514</v>
      </c>
      <c r="O3" s="429" t="s">
        <v>1513</v>
      </c>
    </row>
    <row r="4" spans="2:16" ht="14.25" customHeight="1">
      <c r="B4" s="63"/>
      <c r="C4" s="842" t="s">
        <v>2681</v>
      </c>
      <c r="D4" s="843"/>
      <c r="E4" s="843"/>
      <c r="F4" s="844"/>
      <c r="G4" s="101"/>
      <c r="I4" s="430" t="s">
        <v>212</v>
      </c>
      <c r="J4" s="28"/>
      <c r="K4" s="28"/>
      <c r="L4" s="28"/>
      <c r="M4" s="28"/>
      <c r="N4" s="431"/>
      <c r="O4" s="432"/>
    </row>
    <row r="5" spans="2:16" ht="12.75" customHeight="1">
      <c r="B5" s="63"/>
      <c r="C5" s="845"/>
      <c r="D5" s="846"/>
      <c r="E5" s="846"/>
      <c r="F5" s="847"/>
      <c r="G5" s="101"/>
      <c r="I5" s="433" t="s">
        <v>386</v>
      </c>
      <c r="J5" s="434">
        <f>K148*0.95</f>
        <v>209.0376193056039</v>
      </c>
      <c r="K5" s="434">
        <f>K116</f>
        <v>205.55876879999997</v>
      </c>
      <c r="L5" s="434">
        <f>D97*$C$90</f>
        <v>205.6471979936</v>
      </c>
      <c r="M5" s="434"/>
      <c r="N5" s="435">
        <f t="shared" ref="N5:N17" si="0">IF(K5&gt;0,K5,(IF(L5&gt;0,L5,(IF(J5&gt;0,J5,M5)))))</f>
        <v>205.55876879999997</v>
      </c>
      <c r="O5" s="436" t="str">
        <f t="shared" ref="O5:O17" si="1">IF(N5=J5,"IPCC",(IF(N5=K5,"EIA",(IF(N5=L5,"EPA",(IF(N5=M5,"Average")))))))</f>
        <v>EIA</v>
      </c>
    </row>
    <row r="6" spans="2:16" ht="12.75" customHeight="1">
      <c r="B6" s="63"/>
      <c r="C6" s="845"/>
      <c r="D6" s="846"/>
      <c r="E6" s="846"/>
      <c r="F6" s="847"/>
      <c r="G6" s="101"/>
      <c r="I6" s="433" t="s">
        <v>387</v>
      </c>
      <c r="J6" s="434">
        <f>K149*0.95</f>
        <v>212.35216929459335</v>
      </c>
      <c r="K6" s="434">
        <f>K130</f>
        <v>214.13474059999996</v>
      </c>
      <c r="L6" s="434">
        <f>D98*$C$90</f>
        <v>214.22317998539998</v>
      </c>
      <c r="M6" s="434"/>
      <c r="N6" s="435">
        <f t="shared" si="0"/>
        <v>214.13474059999996</v>
      </c>
      <c r="O6" s="436" t="str">
        <f t="shared" si="1"/>
        <v>EIA</v>
      </c>
    </row>
    <row r="7" spans="2:16" ht="12.75" customHeight="1">
      <c r="B7" s="63"/>
      <c r="C7" s="845"/>
      <c r="D7" s="846"/>
      <c r="E7" s="846"/>
      <c r="F7" s="847"/>
      <c r="G7" s="101"/>
      <c r="I7" s="433" t="s">
        <v>375</v>
      </c>
      <c r="J7" s="434"/>
      <c r="K7" s="434">
        <f>K117</f>
        <v>163.45052679999998</v>
      </c>
      <c r="L7" s="434">
        <f>D108*C90</f>
        <v>161.48860691499999</v>
      </c>
      <c r="M7" s="434"/>
      <c r="N7" s="435">
        <f t="shared" si="0"/>
        <v>163.45052679999998</v>
      </c>
      <c r="O7" s="436" t="str">
        <f t="shared" si="1"/>
        <v>EIA</v>
      </c>
    </row>
    <row r="8" spans="2:16" ht="15" customHeight="1" thickBot="1">
      <c r="B8" s="63"/>
      <c r="C8" s="848"/>
      <c r="D8" s="849"/>
      <c r="E8" s="849"/>
      <c r="F8" s="850"/>
      <c r="G8" s="101"/>
      <c r="I8" s="433" t="s">
        <v>374</v>
      </c>
      <c r="J8" s="434">
        <f>K151*0.9</f>
        <v>117.43973960988026</v>
      </c>
      <c r="K8" s="434">
        <f>K123</f>
        <v>116.64644419999998</v>
      </c>
      <c r="L8" s="434">
        <f>D106*C90</f>
        <v>116.9772762172</v>
      </c>
      <c r="M8" s="434"/>
      <c r="N8" s="435">
        <f t="shared" si="0"/>
        <v>116.64644419999998</v>
      </c>
      <c r="O8" s="436" t="str">
        <f t="shared" si="1"/>
        <v>EIA</v>
      </c>
    </row>
    <row r="9" spans="2:16">
      <c r="B9" s="63"/>
      <c r="G9" s="101"/>
      <c r="I9" s="433" t="s">
        <v>388</v>
      </c>
      <c r="J9" s="434">
        <f>K153*0.95</f>
        <v>202.62948932689085</v>
      </c>
      <c r="K9" s="434"/>
      <c r="L9" s="434"/>
      <c r="M9" s="434"/>
      <c r="N9" s="435">
        <f t="shared" si="0"/>
        <v>202.62948932689085</v>
      </c>
      <c r="O9" s="436" t="str">
        <f t="shared" si="1"/>
        <v>IPCC</v>
      </c>
    </row>
    <row r="10" spans="2:16" ht="14">
      <c r="B10" s="63"/>
      <c r="C10" s="40" t="s">
        <v>1388</v>
      </c>
      <c r="D10" s="40" t="s">
        <v>206</v>
      </c>
      <c r="E10" s="40" t="s">
        <v>207</v>
      </c>
      <c r="G10" s="101"/>
      <c r="I10" s="433" t="s">
        <v>389</v>
      </c>
      <c r="J10" s="434"/>
      <c r="K10" s="434"/>
      <c r="L10" s="434"/>
      <c r="M10" s="434">
        <f>AVERAGE(N5:N9,N11:N17,N20:N23,N25:N27)</f>
        <v>179.02554274240299</v>
      </c>
      <c r="N10" s="435">
        <f t="shared" si="0"/>
        <v>179.02554274240299</v>
      </c>
      <c r="O10" s="436" t="str">
        <f t="shared" si="1"/>
        <v>Average</v>
      </c>
    </row>
    <row r="11" spans="2:16" ht="14">
      <c r="B11" s="63"/>
      <c r="C11" s="713" t="s">
        <v>2714</v>
      </c>
      <c r="D11" s="714">
        <f>IF(C11=C14,D14,IF(C11=C15,D15,IF(C11=C16,D16,IF(C11=C17,D17,IF(C11=C18,D18,IF(C11=C19,D19))))))</f>
        <v>25</v>
      </c>
      <c r="E11" s="714">
        <f>IF(D11=D14,E14,IF(D11=D15,E15,IF(D11=D16,E16,IF(D11=D17,E17,IF(D11=D18,E18,IF(D11=D19,E19))))))</f>
        <v>298</v>
      </c>
      <c r="G11" s="101"/>
      <c r="I11" s="433" t="s">
        <v>384</v>
      </c>
      <c r="J11" s="434"/>
      <c r="K11" s="434">
        <f>K131</f>
        <v>189.53118139999998</v>
      </c>
      <c r="L11" s="434">
        <f>D142*C90</f>
        <v>189.5314066414</v>
      </c>
      <c r="M11" s="434"/>
      <c r="N11" s="435">
        <f t="shared" si="0"/>
        <v>189.53118139999998</v>
      </c>
      <c r="O11" s="436" t="str">
        <f t="shared" si="1"/>
        <v>EIA</v>
      </c>
    </row>
    <row r="12" spans="2:16">
      <c r="B12" s="63"/>
      <c r="G12" s="101"/>
      <c r="I12" s="433" t="s">
        <v>377</v>
      </c>
      <c r="J12" s="434">
        <f>K156*0.95</f>
        <v>215.44574928431689</v>
      </c>
      <c r="K12" s="434">
        <f>K124</f>
        <v>225.12843096919997</v>
      </c>
      <c r="L12" s="434">
        <f>D130*C90</f>
        <v>225.77540251419998</v>
      </c>
      <c r="M12" s="434"/>
      <c r="N12" s="435">
        <f t="shared" si="0"/>
        <v>225.12843096919997</v>
      </c>
      <c r="O12" s="436" t="str">
        <f t="shared" si="1"/>
        <v>EIA</v>
      </c>
    </row>
    <row r="13" spans="2:16" ht="14">
      <c r="B13" s="63"/>
      <c r="C13" s="714"/>
      <c r="D13" s="715" t="s">
        <v>206</v>
      </c>
      <c r="E13" s="715" t="s">
        <v>207</v>
      </c>
      <c r="G13" s="101"/>
      <c r="I13" s="433" t="s">
        <v>376</v>
      </c>
      <c r="J13" s="434">
        <f>K157*0.95</f>
        <v>171.0307794318577</v>
      </c>
      <c r="K13" s="434">
        <f>K127</f>
        <v>165.55225718459997</v>
      </c>
      <c r="L13" s="434">
        <f>D112*C90</f>
        <v>165.56715876199999</v>
      </c>
      <c r="M13" s="434"/>
      <c r="N13" s="435">
        <f t="shared" si="0"/>
        <v>165.55225718459997</v>
      </c>
      <c r="O13" s="436" t="str">
        <f t="shared" si="1"/>
        <v>EIA</v>
      </c>
    </row>
    <row r="14" spans="2:16" ht="14">
      <c r="B14" s="63"/>
      <c r="C14" s="715" t="s">
        <v>2714</v>
      </c>
      <c r="D14" s="716">
        <v>25</v>
      </c>
      <c r="E14" s="716">
        <v>298</v>
      </c>
      <c r="G14" s="101"/>
      <c r="I14" s="433" t="s">
        <v>378</v>
      </c>
      <c r="J14" s="434">
        <f>K158*0.95</f>
        <v>157.99354947516574</v>
      </c>
      <c r="K14" s="434">
        <f>K119</f>
        <v>159.24704398459997</v>
      </c>
      <c r="L14" s="434">
        <f>D137*C90</f>
        <v>159.21784561639998</v>
      </c>
      <c r="M14" s="434"/>
      <c r="N14" s="435">
        <f t="shared" si="0"/>
        <v>159.24704398459997</v>
      </c>
      <c r="O14" s="436" t="str">
        <f t="shared" si="1"/>
        <v>EIA</v>
      </c>
    </row>
    <row r="15" spans="2:16" ht="14">
      <c r="B15" s="63"/>
      <c r="C15" s="715" t="s">
        <v>2715</v>
      </c>
      <c r="D15" s="716">
        <v>28</v>
      </c>
      <c r="E15" s="716">
        <v>265</v>
      </c>
      <c r="G15" s="101"/>
      <c r="I15" s="433" t="s">
        <v>379</v>
      </c>
      <c r="J15" s="434">
        <f>K159*0.95</f>
        <v>158.87742947222955</v>
      </c>
      <c r="K15" s="434">
        <f>K120</f>
        <v>161.34877436919999</v>
      </c>
      <c r="L15" s="434">
        <f>D114*C90</f>
        <v>165.787621024</v>
      </c>
      <c r="M15" s="434"/>
      <c r="N15" s="435">
        <f t="shared" si="0"/>
        <v>161.34877436919999</v>
      </c>
      <c r="O15" s="436" t="str">
        <f t="shared" si="1"/>
        <v>EIA</v>
      </c>
    </row>
    <row r="16" spans="2:16" ht="14">
      <c r="B16" s="63"/>
      <c r="C16" s="715" t="s">
        <v>3949</v>
      </c>
      <c r="D16" s="718">
        <v>29.8</v>
      </c>
      <c r="E16" s="718">
        <v>273</v>
      </c>
      <c r="G16" s="101"/>
      <c r="I16" s="433" t="s">
        <v>380</v>
      </c>
      <c r="J16" s="434">
        <f>K160*0.95</f>
        <v>161.97100946195312</v>
      </c>
      <c r="K16" s="434">
        <f>K132</f>
        <v>205.55876879999997</v>
      </c>
      <c r="L16" s="434"/>
      <c r="M16" s="434"/>
      <c r="N16" s="435">
        <f t="shared" si="0"/>
        <v>205.55876879999997</v>
      </c>
      <c r="O16" s="436" t="str">
        <f t="shared" si="1"/>
        <v>EIA</v>
      </c>
    </row>
    <row r="17" spans="2:15" ht="14">
      <c r="B17" s="63"/>
      <c r="C17" s="715" t="s">
        <v>2716</v>
      </c>
      <c r="D17" s="716">
        <v>72</v>
      </c>
      <c r="E17" s="716">
        <v>289</v>
      </c>
      <c r="G17" s="101"/>
      <c r="I17" s="433" t="s">
        <v>429</v>
      </c>
      <c r="J17" s="434"/>
      <c r="K17" s="434">
        <f>K125</f>
        <v>138.63384698459998</v>
      </c>
      <c r="L17" s="434">
        <f>D116*C90</f>
        <v>138.60462411939997</v>
      </c>
      <c r="M17" s="434"/>
      <c r="N17" s="435">
        <f t="shared" si="0"/>
        <v>138.63384698459998</v>
      </c>
      <c r="O17" s="436" t="str">
        <f t="shared" si="1"/>
        <v>EIA</v>
      </c>
    </row>
    <row r="18" spans="2:15" ht="14">
      <c r="B18" s="63"/>
      <c r="C18" s="715" t="s">
        <v>2717</v>
      </c>
      <c r="D18" s="716">
        <v>84</v>
      </c>
      <c r="E18" s="716">
        <v>264</v>
      </c>
      <c r="G18" s="101"/>
      <c r="I18" s="433"/>
      <c r="J18" s="434"/>
      <c r="K18" s="434"/>
      <c r="L18" s="434"/>
      <c r="M18" s="434"/>
      <c r="N18" s="435"/>
      <c r="O18" s="436"/>
    </row>
    <row r="19" spans="2:15" ht="14">
      <c r="B19" s="63"/>
      <c r="C19" s="715" t="s">
        <v>3950</v>
      </c>
      <c r="D19" s="718">
        <v>81.2</v>
      </c>
      <c r="E19" s="718">
        <v>273</v>
      </c>
      <c r="G19" s="101"/>
      <c r="I19" s="430" t="s">
        <v>218</v>
      </c>
      <c r="J19" s="434"/>
      <c r="K19" s="434"/>
      <c r="L19" s="434"/>
      <c r="M19" s="434"/>
      <c r="N19" s="435"/>
      <c r="O19" s="436"/>
    </row>
    <row r="20" spans="2:15">
      <c r="B20" s="63"/>
      <c r="G20" s="101"/>
      <c r="I20" s="433" t="s">
        <v>382</v>
      </c>
      <c r="J20" s="434">
        <f>K164*0.9</f>
        <v>114.29963962031128</v>
      </c>
      <c r="K20" s="434"/>
      <c r="L20" s="434">
        <f>D156*C90</f>
        <v>114.79469982339999</v>
      </c>
      <c r="M20" s="434"/>
      <c r="N20" s="435">
        <f t="shared" ref="N20:N27" si="2">IF(K20&gt;0,K20,(IF(L20&gt;0,L20,(IF(J20&gt;0,J20,M20)))))</f>
        <v>114.79469982339999</v>
      </c>
      <c r="O20" s="436" t="str">
        <f t="shared" ref="O20:O27" si="3">IF(N20=J20,"IPCC",(IF(N20=K20,"EIA",(IF(N20=L20,"EPA",(IF(N20=M20,"Average")))))))</f>
        <v>EPA</v>
      </c>
    </row>
    <row r="21" spans="2:15" ht="14">
      <c r="B21" s="63"/>
      <c r="C21" s="717" t="s">
        <v>1389</v>
      </c>
      <c r="G21" s="101"/>
      <c r="I21" s="433" t="s">
        <v>385</v>
      </c>
      <c r="J21" s="434">
        <f>K165*0.9</f>
        <v>209.33999930459942</v>
      </c>
      <c r="K21" s="434"/>
      <c r="L21" s="434"/>
      <c r="M21" s="434"/>
      <c r="N21" s="435">
        <f t="shared" si="2"/>
        <v>209.33999930459942</v>
      </c>
      <c r="O21" s="436" t="str">
        <f t="shared" si="3"/>
        <v>IPCC</v>
      </c>
    </row>
    <row r="22" spans="2:15" ht="14">
      <c r="B22" s="63"/>
      <c r="C22" s="717" t="s">
        <v>1390</v>
      </c>
      <c r="G22" s="101"/>
      <c r="I22" s="433" t="s">
        <v>381</v>
      </c>
      <c r="J22" s="434">
        <f>K166*0.9</f>
        <v>199.50101933728322</v>
      </c>
      <c r="K22" s="434"/>
      <c r="L22" s="434"/>
      <c r="M22" s="434"/>
      <c r="N22" s="435">
        <f t="shared" si="2"/>
        <v>199.50101933728322</v>
      </c>
      <c r="O22" s="436" t="str">
        <f t="shared" si="3"/>
        <v>IPCC</v>
      </c>
    </row>
    <row r="23" spans="2:15" ht="14">
      <c r="B23" s="63"/>
      <c r="C23" s="717" t="s">
        <v>3948</v>
      </c>
      <c r="G23" s="101"/>
      <c r="I23" s="433" t="s">
        <v>390</v>
      </c>
      <c r="J23" s="434">
        <f>K167*0.9</f>
        <v>234.46079922115135</v>
      </c>
      <c r="K23" s="434"/>
      <c r="L23" s="434">
        <f>D151*C90</f>
        <v>206.79360175599999</v>
      </c>
      <c r="M23" s="434"/>
      <c r="N23" s="435">
        <f t="shared" si="2"/>
        <v>206.79360175599999</v>
      </c>
      <c r="O23" s="436" t="str">
        <f t="shared" si="3"/>
        <v>EPA</v>
      </c>
    </row>
    <row r="24" spans="2:15" ht="13" thickBot="1">
      <c r="B24" s="437"/>
      <c r="C24" s="438"/>
      <c r="D24" s="438"/>
      <c r="E24" s="438"/>
      <c r="F24" s="438"/>
      <c r="G24" s="439"/>
      <c r="I24" s="433" t="s">
        <v>383</v>
      </c>
      <c r="J24" s="434"/>
      <c r="K24" s="434"/>
      <c r="L24" s="434"/>
      <c r="M24" s="434">
        <f>AVERAGE(N5:N9,N11:N17,N20:N23,N25:N27)</f>
        <v>179.02554274240299</v>
      </c>
      <c r="N24" s="435">
        <f t="shared" si="2"/>
        <v>179.02554274240299</v>
      </c>
      <c r="O24" s="436" t="str">
        <f t="shared" si="3"/>
        <v>Average</v>
      </c>
    </row>
    <row r="25" spans="2:15">
      <c r="I25" s="433" t="s">
        <v>431</v>
      </c>
      <c r="J25" s="434">
        <f>K168*0.9</f>
        <v>209.33999930459942</v>
      </c>
      <c r="K25" s="434"/>
      <c r="L25" s="434"/>
      <c r="M25" s="434"/>
      <c r="N25" s="435">
        <f t="shared" si="2"/>
        <v>209.33999930459942</v>
      </c>
      <c r="O25" s="436" t="str">
        <f t="shared" si="3"/>
        <v>IPCC</v>
      </c>
    </row>
    <row r="26" spans="2:15" ht="16" thickBot="1">
      <c r="B26" s="103" t="s">
        <v>1515</v>
      </c>
      <c r="I26" s="433" t="s">
        <v>2456</v>
      </c>
      <c r="J26" s="434">
        <f>K166*0.9</f>
        <v>199.50101933728322</v>
      </c>
      <c r="K26" s="434"/>
      <c r="L26" s="434"/>
      <c r="M26" s="434"/>
      <c r="N26" s="435">
        <f t="shared" si="2"/>
        <v>199.50101933728322</v>
      </c>
      <c r="O26" s="436" t="str">
        <f t="shared" si="3"/>
        <v>IPCC</v>
      </c>
    </row>
    <row r="27" spans="2:15" ht="13.5" customHeight="1" thickBot="1">
      <c r="B27" s="851" t="s">
        <v>1516</v>
      </c>
      <c r="C27" s="852"/>
      <c r="D27" s="852"/>
      <c r="E27" s="852"/>
      <c r="F27" s="852"/>
      <c r="G27" s="853"/>
      <c r="I27" s="440" t="s">
        <v>430</v>
      </c>
      <c r="J27" s="441">
        <f>K169*0.9</f>
        <v>114.29963962031128</v>
      </c>
      <c r="K27" s="441"/>
      <c r="L27" s="441">
        <f>D157*C90</f>
        <v>114.79469982339999</v>
      </c>
      <c r="M27" s="441"/>
      <c r="N27" s="442">
        <f t="shared" si="2"/>
        <v>114.79469982339999</v>
      </c>
      <c r="O27" s="443" t="str">
        <f t="shared" si="3"/>
        <v>EPA</v>
      </c>
    </row>
    <row r="28" spans="2:15">
      <c r="B28" s="854"/>
      <c r="C28" s="855"/>
      <c r="D28" s="855"/>
      <c r="E28" s="855"/>
      <c r="F28" s="855"/>
      <c r="G28" s="856"/>
    </row>
    <row r="29" spans="2:15" ht="14.25" customHeight="1">
      <c r="B29" s="854"/>
      <c r="C29" s="855"/>
      <c r="D29" s="855"/>
      <c r="E29" s="855"/>
      <c r="F29" s="855"/>
      <c r="G29" s="856"/>
    </row>
    <row r="30" spans="2:15" ht="16" thickBot="1">
      <c r="B30" s="854"/>
      <c r="C30" s="855"/>
      <c r="D30" s="855"/>
      <c r="E30" s="855"/>
      <c r="F30" s="855"/>
      <c r="G30" s="856"/>
      <c r="I30" s="103" t="s">
        <v>1505</v>
      </c>
    </row>
    <row r="31" spans="2:15" ht="46.5" thickBot="1">
      <c r="B31" s="857"/>
      <c r="C31" s="858"/>
      <c r="D31" s="858"/>
      <c r="E31" s="858"/>
      <c r="F31" s="858"/>
      <c r="G31" s="859"/>
      <c r="I31" s="426" t="s">
        <v>208</v>
      </c>
      <c r="J31" s="427" t="s">
        <v>332</v>
      </c>
      <c r="K31" s="427" t="s">
        <v>1509</v>
      </c>
      <c r="L31" s="427" t="s">
        <v>334</v>
      </c>
      <c r="M31" s="428" t="s">
        <v>1514</v>
      </c>
      <c r="N31" s="429" t="s">
        <v>1513</v>
      </c>
    </row>
    <row r="32" spans="2:15" ht="13" thickBot="1">
      <c r="B32" s="444"/>
      <c r="C32" s="444"/>
      <c r="D32" s="444"/>
      <c r="E32" s="444"/>
      <c r="F32" s="444"/>
      <c r="G32" s="444"/>
      <c r="I32" s="430" t="s">
        <v>212</v>
      </c>
      <c r="J32" s="28"/>
      <c r="K32" s="28"/>
      <c r="L32" s="28"/>
      <c r="M32" s="445"/>
      <c r="N32" s="432"/>
    </row>
    <row r="33" spans="2:14" ht="13">
      <c r="B33" s="444"/>
      <c r="C33" s="616" t="s">
        <v>3008</v>
      </c>
      <c r="D33" s="617"/>
      <c r="E33" s="617"/>
      <c r="F33" s="617"/>
      <c r="G33" s="618"/>
      <c r="I33" s="433" t="s">
        <v>386</v>
      </c>
      <c r="J33" s="446">
        <f>K175*0.95</f>
        <v>2.2096999926596605E-3</v>
      </c>
      <c r="K33" s="446">
        <f>0.011*$C$90</f>
        <v>2.4250848819999997E-2</v>
      </c>
      <c r="L33" s="446"/>
      <c r="M33" s="447">
        <f t="shared" ref="M33:M45" si="4">(IF(K33&gt;0,K33,(IF(J33&gt;0,J33,L33))))</f>
        <v>2.4250848819999997E-2</v>
      </c>
      <c r="N33" s="436" t="str">
        <f t="shared" ref="N33:N45" si="5">IF(M33=J33,"IPCC",(IF(M33=K33,"EPA",(IF(M33=L33,"Average")))))</f>
        <v>EPA</v>
      </c>
    </row>
    <row r="34" spans="2:14">
      <c r="C34" s="619"/>
      <c r="D34" s="607" t="s">
        <v>3009</v>
      </c>
      <c r="E34" s="610">
        <v>745.9</v>
      </c>
      <c r="F34" s="611" t="s">
        <v>3003</v>
      </c>
      <c r="G34" s="101"/>
      <c r="I34" s="433" t="s">
        <v>387</v>
      </c>
      <c r="J34" s="446">
        <f>K176*0.95</f>
        <v>2.2096999926596605E-3</v>
      </c>
      <c r="K34" s="446">
        <f>0.011*$C$90</f>
        <v>2.4250848819999997E-2</v>
      </c>
      <c r="L34" s="446"/>
      <c r="M34" s="447">
        <f t="shared" si="4"/>
        <v>2.4250848819999997E-2</v>
      </c>
      <c r="N34" s="436" t="str">
        <f t="shared" si="5"/>
        <v>EPA</v>
      </c>
    </row>
    <row r="35" spans="2:14">
      <c r="C35" s="620" t="s">
        <v>3010</v>
      </c>
      <c r="G35" s="101"/>
      <c r="I35" s="433" t="s">
        <v>375</v>
      </c>
      <c r="J35" s="446">
        <f>K177*0.95</f>
        <v>6.6290999779789802E-3</v>
      </c>
      <c r="K35" s="446">
        <f>0.003*$C$90</f>
        <v>6.6138678599999999E-3</v>
      </c>
      <c r="L35" s="446"/>
      <c r="M35" s="447">
        <f t="shared" si="4"/>
        <v>6.6138678599999999E-3</v>
      </c>
      <c r="N35" s="436" t="str">
        <f t="shared" si="5"/>
        <v>EPA</v>
      </c>
    </row>
    <row r="36" spans="2:14" ht="13" thickBot="1">
      <c r="C36" s="621" t="s">
        <v>3007</v>
      </c>
      <c r="D36" s="622" t="s">
        <v>3006</v>
      </c>
      <c r="E36" s="438"/>
      <c r="F36" s="438"/>
      <c r="G36" s="439"/>
      <c r="I36" s="433" t="s">
        <v>374</v>
      </c>
      <c r="J36" s="446">
        <f>K178*0.9</f>
        <v>2.0933999930459941E-3</v>
      </c>
      <c r="K36" s="446">
        <f>0.001*$C$90</f>
        <v>2.20462262E-3</v>
      </c>
      <c r="L36" s="446"/>
      <c r="M36" s="447">
        <f t="shared" si="4"/>
        <v>2.20462262E-3</v>
      </c>
      <c r="N36" s="436" t="str">
        <f t="shared" si="5"/>
        <v>EPA</v>
      </c>
    </row>
    <row r="37" spans="2:14">
      <c r="I37" s="433" t="s">
        <v>388</v>
      </c>
      <c r="J37" s="446">
        <f>K180*0.95</f>
        <v>6.6290999779789792E-2</v>
      </c>
      <c r="K37" s="446"/>
      <c r="L37" s="446"/>
      <c r="M37" s="447">
        <f t="shared" si="4"/>
        <v>6.6290999779789792E-2</v>
      </c>
      <c r="N37" s="436" t="str">
        <f t="shared" si="5"/>
        <v>IPCC</v>
      </c>
    </row>
    <row r="38" spans="2:14">
      <c r="B38" s="862" t="s">
        <v>4007</v>
      </c>
      <c r="C38" s="863"/>
      <c r="D38" s="863"/>
      <c r="E38" s="863"/>
      <c r="F38" s="863"/>
      <c r="G38" s="864"/>
      <c r="I38" s="433" t="s">
        <v>389</v>
      </c>
      <c r="J38" s="446"/>
      <c r="K38" s="446"/>
      <c r="L38" s="446">
        <f>AVERAGE(M33:M37,M39:M45,M48:M51,M53:M55)</f>
        <v>2.4473862989538703E-2</v>
      </c>
      <c r="M38" s="447">
        <f t="shared" si="4"/>
        <v>2.4473862989538703E-2</v>
      </c>
      <c r="N38" s="436" t="str">
        <f t="shared" si="5"/>
        <v>Average</v>
      </c>
    </row>
    <row r="39" spans="2:14">
      <c r="B39" s="865"/>
      <c r="C39" s="866"/>
      <c r="D39" s="866"/>
      <c r="E39" s="866"/>
      <c r="F39" s="866"/>
      <c r="G39" s="867"/>
      <c r="I39" s="433" t="s">
        <v>384</v>
      </c>
      <c r="J39" s="446">
        <f t="shared" ref="J39:J45" si="6">K182*0.95</f>
        <v>6.6290999779789792E-2</v>
      </c>
      <c r="K39" s="446">
        <f>0.032*$C$90</f>
        <v>7.0547923839999999E-2</v>
      </c>
      <c r="L39" s="446"/>
      <c r="M39" s="447">
        <f t="shared" si="4"/>
        <v>7.0547923839999999E-2</v>
      </c>
      <c r="N39" s="436" t="str">
        <f t="shared" si="5"/>
        <v>EPA</v>
      </c>
    </row>
    <row r="40" spans="2:14">
      <c r="B40" s="865"/>
      <c r="C40" s="866"/>
      <c r="D40" s="866"/>
      <c r="E40" s="866"/>
      <c r="F40" s="866"/>
      <c r="G40" s="867"/>
      <c r="I40" s="433" t="s">
        <v>377</v>
      </c>
      <c r="J40" s="446">
        <f t="shared" si="6"/>
        <v>6.6290999779789802E-3</v>
      </c>
      <c r="K40" s="446">
        <f>0.003*$C$90</f>
        <v>6.6138678599999999E-3</v>
      </c>
      <c r="L40" s="446"/>
      <c r="M40" s="447">
        <f t="shared" si="4"/>
        <v>6.6138678599999999E-3</v>
      </c>
      <c r="N40" s="436" t="str">
        <f t="shared" si="5"/>
        <v>EPA</v>
      </c>
    </row>
    <row r="41" spans="2:14">
      <c r="B41" s="868"/>
      <c r="C41" s="869"/>
      <c r="D41" s="869"/>
      <c r="E41" s="869"/>
      <c r="F41" s="869"/>
      <c r="G41" s="870"/>
      <c r="I41" s="433" t="s">
        <v>376</v>
      </c>
      <c r="J41" s="446">
        <f t="shared" si="6"/>
        <v>6.6290999779789802E-3</v>
      </c>
      <c r="K41" s="446">
        <f>0.003*$C$90</f>
        <v>6.6138678599999999E-3</v>
      </c>
      <c r="L41" s="446"/>
      <c r="M41" s="447">
        <f t="shared" si="4"/>
        <v>6.6138678599999999E-3</v>
      </c>
      <c r="N41" s="436" t="str">
        <f t="shared" si="5"/>
        <v>EPA</v>
      </c>
    </row>
    <row r="42" spans="2:14">
      <c r="I42" s="433" t="s">
        <v>378</v>
      </c>
      <c r="J42" s="446">
        <f t="shared" si="6"/>
        <v>6.6290999779789802E-3</v>
      </c>
      <c r="K42" s="446">
        <f>0.003*$C$90</f>
        <v>6.6138678599999999E-3</v>
      </c>
      <c r="L42" s="446"/>
      <c r="M42" s="447">
        <f t="shared" si="4"/>
        <v>6.6138678599999999E-3</v>
      </c>
      <c r="N42" s="436" t="str">
        <f t="shared" si="5"/>
        <v>EPA</v>
      </c>
    </row>
    <row r="43" spans="2:14">
      <c r="I43" s="433" t="s">
        <v>379</v>
      </c>
      <c r="J43" s="446">
        <f t="shared" si="6"/>
        <v>6.6290999779789802E-3</v>
      </c>
      <c r="K43" s="446">
        <f>0.003*$C$90</f>
        <v>6.6138678599999999E-3</v>
      </c>
      <c r="L43" s="446"/>
      <c r="M43" s="447">
        <f t="shared" si="4"/>
        <v>6.6138678599999999E-3</v>
      </c>
      <c r="N43" s="436" t="str">
        <f t="shared" si="5"/>
        <v>EPA</v>
      </c>
    </row>
    <row r="44" spans="2:14">
      <c r="I44" s="433" t="s">
        <v>380</v>
      </c>
      <c r="J44" s="446">
        <f t="shared" si="6"/>
        <v>6.6290999779789792E-2</v>
      </c>
      <c r="K44" s="446"/>
      <c r="L44" s="446"/>
      <c r="M44" s="447">
        <f t="shared" si="4"/>
        <v>6.6290999779789792E-2</v>
      </c>
      <c r="N44" s="436" t="str">
        <f t="shared" si="5"/>
        <v>IPCC</v>
      </c>
    </row>
    <row r="45" spans="2:14">
      <c r="I45" s="433" t="s">
        <v>429</v>
      </c>
      <c r="J45" s="446">
        <f t="shared" si="6"/>
        <v>2.2096999926596605E-3</v>
      </c>
      <c r="K45" s="446">
        <f>0.001*$C$90</f>
        <v>2.20462262E-3</v>
      </c>
      <c r="L45" s="446"/>
      <c r="M45" s="447">
        <f t="shared" si="4"/>
        <v>2.20462262E-3</v>
      </c>
      <c r="N45" s="436" t="str">
        <f t="shared" si="5"/>
        <v>EPA</v>
      </c>
    </row>
    <row r="46" spans="2:14">
      <c r="I46" s="433"/>
      <c r="J46" s="446"/>
      <c r="K46" s="446"/>
      <c r="L46" s="446"/>
      <c r="M46" s="447"/>
      <c r="N46" s="436"/>
    </row>
    <row r="47" spans="2:14">
      <c r="I47" s="430" t="s">
        <v>218</v>
      </c>
      <c r="J47" s="446"/>
      <c r="K47" s="446"/>
      <c r="L47" s="446"/>
      <c r="M47" s="447"/>
      <c r="N47" s="436"/>
    </row>
    <row r="48" spans="2:14">
      <c r="I48" s="433" t="s">
        <v>382</v>
      </c>
      <c r="J48" s="446">
        <f>K191*0.9</f>
        <v>2.0933999930459941E-3</v>
      </c>
      <c r="K48" s="446">
        <f>0.0032*$C$90</f>
        <v>7.054792384E-3</v>
      </c>
      <c r="L48" s="446"/>
      <c r="M48" s="447">
        <f t="shared" ref="M48:M55" si="7">(IF(K48&gt;0,K48,(IF(J48&gt;0,J48,L48))))</f>
        <v>7.054792384E-3</v>
      </c>
      <c r="N48" s="436" t="str">
        <f t="shared" ref="N48:N55" si="8">IF(M48=J48,"IPCC",(IF(M48=K48,"EPA",(IF(M48=L48,"Average")))))</f>
        <v>EPA</v>
      </c>
    </row>
    <row r="49" spans="7:14">
      <c r="I49" s="433" t="s">
        <v>385</v>
      </c>
      <c r="J49" s="446">
        <f>K192*0.9</f>
        <v>6.280199979137982E-2</v>
      </c>
      <c r="K49" s="446"/>
      <c r="L49" s="446"/>
      <c r="M49" s="447">
        <f t="shared" si="7"/>
        <v>6.280199979137982E-2</v>
      </c>
      <c r="N49" s="436" t="str">
        <f t="shared" si="8"/>
        <v>IPCC</v>
      </c>
    </row>
    <row r="50" spans="7:14">
      <c r="I50" s="433" t="s">
        <v>381</v>
      </c>
      <c r="J50" s="446">
        <f>K193*0.9</f>
        <v>6.2801999791379818E-3</v>
      </c>
      <c r="K50" s="446"/>
      <c r="L50" s="446"/>
      <c r="M50" s="447">
        <f t="shared" si="7"/>
        <v>6.2801999791379818E-3</v>
      </c>
      <c r="N50" s="436" t="str">
        <f t="shared" si="8"/>
        <v>IPCC</v>
      </c>
    </row>
    <row r="51" spans="7:14">
      <c r="G51" s="25"/>
      <c r="I51" s="433" t="s">
        <v>390</v>
      </c>
      <c r="J51" s="446">
        <f>K194*0.9</f>
        <v>6.280199979137982E-2</v>
      </c>
      <c r="K51" s="446">
        <f>0.0072*$C$90</f>
        <v>1.5873282863999999E-2</v>
      </c>
      <c r="L51" s="446"/>
      <c r="M51" s="447">
        <f t="shared" si="7"/>
        <v>1.5873282863999999E-2</v>
      </c>
      <c r="N51" s="436" t="str">
        <f t="shared" si="8"/>
        <v>EPA</v>
      </c>
    </row>
    <row r="52" spans="7:14">
      <c r="G52" s="25"/>
      <c r="I52" s="433" t="s">
        <v>383</v>
      </c>
      <c r="J52" s="446"/>
      <c r="K52" s="446"/>
      <c r="L52" s="446">
        <f>AVERAGE(M33:M37,M39:M45,M48:M51,M53:M55)</f>
        <v>2.4473862989538703E-2</v>
      </c>
      <c r="M52" s="447">
        <f t="shared" si="7"/>
        <v>2.4473862989538703E-2</v>
      </c>
      <c r="N52" s="436" t="str">
        <f t="shared" si="8"/>
        <v>Average</v>
      </c>
    </row>
    <row r="53" spans="7:14">
      <c r="I53" s="433" t="s">
        <v>431</v>
      </c>
      <c r="J53" s="446">
        <f>K195*0.9</f>
        <v>6.280199979137982E-2</v>
      </c>
      <c r="K53" s="446">
        <f>0.032*$C$90</f>
        <v>7.0547923839999999E-2</v>
      </c>
      <c r="L53" s="446"/>
      <c r="M53" s="447">
        <f t="shared" si="7"/>
        <v>7.0547923839999999E-2</v>
      </c>
      <c r="N53" s="436" t="str">
        <f t="shared" si="8"/>
        <v>EPA</v>
      </c>
    </row>
    <row r="54" spans="7:14">
      <c r="I54" s="433" t="s">
        <v>2456</v>
      </c>
      <c r="J54" s="446">
        <f>K193*0.9</f>
        <v>6.2801999791379818E-3</v>
      </c>
      <c r="K54" s="446"/>
      <c r="L54" s="446"/>
      <c r="M54" s="447">
        <f t="shared" si="7"/>
        <v>6.2801999791379818E-3</v>
      </c>
      <c r="N54" s="436" t="str">
        <f t="shared" si="8"/>
        <v>IPCC</v>
      </c>
    </row>
    <row r="55" spans="7:14" ht="13" thickBot="1">
      <c r="I55" s="440" t="s">
        <v>430</v>
      </c>
      <c r="J55" s="448">
        <f>K196*0.9</f>
        <v>2.0933999930459941E-3</v>
      </c>
      <c r="K55" s="448">
        <f>0.0032*$C$90</f>
        <v>7.054792384E-3</v>
      </c>
      <c r="L55" s="448"/>
      <c r="M55" s="449">
        <f t="shared" si="7"/>
        <v>7.054792384E-3</v>
      </c>
      <c r="N55" s="443" t="str">
        <f t="shared" si="8"/>
        <v>EPA</v>
      </c>
    </row>
    <row r="57" spans="7:14">
      <c r="G57" s="25"/>
    </row>
    <row r="58" spans="7:14" ht="16" thickBot="1">
      <c r="G58" s="25"/>
      <c r="I58" s="450" t="s">
        <v>1506</v>
      </c>
    </row>
    <row r="59" spans="7:14" ht="46.5" thickBot="1">
      <c r="G59" s="25"/>
      <c r="I59" s="426" t="s">
        <v>208</v>
      </c>
      <c r="J59" s="427" t="s">
        <v>333</v>
      </c>
      <c r="K59" s="427" t="s">
        <v>1511</v>
      </c>
      <c r="L59" s="427" t="s">
        <v>335</v>
      </c>
      <c r="M59" s="428" t="s">
        <v>1514</v>
      </c>
      <c r="N59" s="429" t="s">
        <v>1513</v>
      </c>
    </row>
    <row r="60" spans="7:14">
      <c r="G60" s="25"/>
      <c r="I60" s="430" t="s">
        <v>212</v>
      </c>
      <c r="J60" s="28"/>
      <c r="K60" s="28"/>
      <c r="L60" s="28"/>
      <c r="M60" s="445"/>
      <c r="N60" s="432"/>
    </row>
    <row r="61" spans="7:14">
      <c r="G61" s="25"/>
      <c r="I61" s="433" t="s">
        <v>386</v>
      </c>
      <c r="J61" s="446">
        <f>K202*0.95</f>
        <v>3.3145499889894901E-3</v>
      </c>
      <c r="K61" s="446">
        <f>0.0016*$C$90</f>
        <v>3.527396192E-3</v>
      </c>
      <c r="L61" s="446"/>
      <c r="M61" s="447">
        <f t="shared" ref="M61:M73" si="9">(IF(K61&gt;0,K61,(IF(J61&gt;0,J61,L61))))</f>
        <v>3.527396192E-3</v>
      </c>
      <c r="N61" s="436" t="str">
        <f t="shared" ref="N61:N73" si="10">IF(M61=J61,"IPCC",(IF(M61=K61,"EPA",(IF(M61=L61,"Average")))))</f>
        <v>EPA</v>
      </c>
    </row>
    <row r="62" spans="7:14">
      <c r="G62" s="25"/>
      <c r="I62" s="433" t="s">
        <v>387</v>
      </c>
      <c r="J62" s="446">
        <f>K203*0.95</f>
        <v>3.3145499889894901E-3</v>
      </c>
      <c r="K62" s="446">
        <f>0.0016*$C$90</f>
        <v>3.527396192E-3</v>
      </c>
      <c r="L62" s="446"/>
      <c r="M62" s="447">
        <f t="shared" si="9"/>
        <v>3.527396192E-3</v>
      </c>
      <c r="N62" s="436" t="str">
        <f t="shared" si="10"/>
        <v>EPA</v>
      </c>
    </row>
    <row r="63" spans="7:14">
      <c r="I63" s="433" t="s">
        <v>375</v>
      </c>
      <c r="J63" s="446">
        <f>K204*0.95</f>
        <v>1.3258199955957961E-3</v>
      </c>
      <c r="K63" s="446">
        <f>0.0006*$C$90</f>
        <v>1.3227735719999998E-3</v>
      </c>
      <c r="L63" s="446"/>
      <c r="M63" s="447">
        <f t="shared" si="9"/>
        <v>1.3227735719999998E-3</v>
      </c>
      <c r="N63" s="436" t="str">
        <f t="shared" si="10"/>
        <v>EPA</v>
      </c>
    </row>
    <row r="64" spans="7:14">
      <c r="G64" s="137"/>
      <c r="I64" s="433" t="s">
        <v>374</v>
      </c>
      <c r="J64" s="446">
        <f>K205*0.9</f>
        <v>2.0933999930459942E-4</v>
      </c>
      <c r="K64" s="446">
        <f>0.0001*$C$90</f>
        <v>2.20462262E-4</v>
      </c>
      <c r="L64" s="446"/>
      <c r="M64" s="447">
        <f t="shared" si="9"/>
        <v>2.20462262E-4</v>
      </c>
      <c r="N64" s="436" t="str">
        <f t="shared" si="10"/>
        <v>EPA</v>
      </c>
    </row>
    <row r="65" spans="7:14">
      <c r="I65" s="433" t="s">
        <v>388</v>
      </c>
      <c r="J65" s="446">
        <f>K207*0.95</f>
        <v>8.838799970638642E-3</v>
      </c>
      <c r="K65" s="446"/>
      <c r="L65" s="446"/>
      <c r="M65" s="447">
        <f t="shared" si="9"/>
        <v>8.838799970638642E-3</v>
      </c>
      <c r="N65" s="436" t="str">
        <f t="shared" si="10"/>
        <v>IPCC</v>
      </c>
    </row>
    <row r="66" spans="7:14">
      <c r="I66" s="433" t="s">
        <v>389</v>
      </c>
      <c r="J66" s="446"/>
      <c r="K66" s="446"/>
      <c r="L66" s="446">
        <f>AVERAGE(M61:M65,M67:M73,M76:M79,M81:M83)</f>
        <v>4.0930358207813284E-3</v>
      </c>
      <c r="M66" s="447">
        <f t="shared" si="9"/>
        <v>4.0930358207813284E-3</v>
      </c>
      <c r="N66" s="436" t="str">
        <f t="shared" si="10"/>
        <v>Average</v>
      </c>
    </row>
    <row r="67" spans="7:14">
      <c r="G67" s="25"/>
      <c r="I67" s="433" t="s">
        <v>384</v>
      </c>
      <c r="J67" s="446">
        <f t="shared" ref="J67:J73" si="11">K209*0.95</f>
        <v>8.838799970638642E-3</v>
      </c>
      <c r="K67" s="446">
        <f>0.0042*$C$90</f>
        <v>9.2594150039999983E-3</v>
      </c>
      <c r="L67" s="446"/>
      <c r="M67" s="447">
        <f t="shared" si="9"/>
        <v>9.2594150039999983E-3</v>
      </c>
      <c r="N67" s="436" t="str">
        <f t="shared" si="10"/>
        <v>EPA</v>
      </c>
    </row>
    <row r="68" spans="7:14">
      <c r="I68" s="433" t="s">
        <v>377</v>
      </c>
      <c r="J68" s="446">
        <f t="shared" si="11"/>
        <v>1.3258199955957961E-3</v>
      </c>
      <c r="K68" s="446">
        <f>0.0006*$C$90</f>
        <v>1.3227735719999998E-3</v>
      </c>
      <c r="L68" s="446"/>
      <c r="M68" s="447">
        <f t="shared" si="9"/>
        <v>1.3227735719999998E-3</v>
      </c>
      <c r="N68" s="436" t="str">
        <f t="shared" si="10"/>
        <v>EPA</v>
      </c>
    </row>
    <row r="69" spans="7:14">
      <c r="I69" s="433" t="s">
        <v>376</v>
      </c>
      <c r="J69" s="446">
        <f t="shared" si="11"/>
        <v>1.3258199955957961E-3</v>
      </c>
      <c r="K69" s="446">
        <f>0.0006*$C$90</f>
        <v>1.3227735719999998E-3</v>
      </c>
      <c r="L69" s="446"/>
      <c r="M69" s="447">
        <f t="shared" si="9"/>
        <v>1.3227735719999998E-3</v>
      </c>
      <c r="N69" s="436" t="str">
        <f t="shared" si="10"/>
        <v>EPA</v>
      </c>
    </row>
    <row r="70" spans="7:14">
      <c r="I70" s="433" t="s">
        <v>378</v>
      </c>
      <c r="J70" s="446">
        <f t="shared" si="11"/>
        <v>1.3258199955957961E-3</v>
      </c>
      <c r="K70" s="446">
        <f>0.0006*$C$90</f>
        <v>1.3227735719999998E-3</v>
      </c>
      <c r="L70" s="446"/>
      <c r="M70" s="447">
        <f t="shared" si="9"/>
        <v>1.3227735719999998E-3</v>
      </c>
      <c r="N70" s="436" t="str">
        <f t="shared" si="10"/>
        <v>EPA</v>
      </c>
    </row>
    <row r="71" spans="7:14">
      <c r="I71" s="433" t="s">
        <v>379</v>
      </c>
      <c r="J71" s="446">
        <f t="shared" si="11"/>
        <v>1.3258199955957961E-3</v>
      </c>
      <c r="K71" s="446">
        <f>0.0006*$C$90</f>
        <v>1.3227735719999998E-3</v>
      </c>
      <c r="L71" s="446"/>
      <c r="M71" s="447">
        <f t="shared" si="9"/>
        <v>1.3227735719999998E-3</v>
      </c>
      <c r="N71" s="436" t="str">
        <f t="shared" si="10"/>
        <v>EPA</v>
      </c>
    </row>
    <row r="72" spans="7:14">
      <c r="I72" s="433" t="s">
        <v>380</v>
      </c>
      <c r="J72" s="446">
        <f t="shared" si="11"/>
        <v>8.838799970638642E-3</v>
      </c>
      <c r="K72" s="446"/>
      <c r="L72" s="446"/>
      <c r="M72" s="447">
        <f t="shared" si="9"/>
        <v>8.838799970638642E-3</v>
      </c>
      <c r="N72" s="436" t="str">
        <f t="shared" si="10"/>
        <v>IPCC</v>
      </c>
    </row>
    <row r="73" spans="7:14">
      <c r="I73" s="433" t="s">
        <v>429</v>
      </c>
      <c r="J73" s="446">
        <f t="shared" si="11"/>
        <v>2.2096999926596604E-4</v>
      </c>
      <c r="K73" s="446">
        <f>0.0001*$C$90</f>
        <v>2.20462262E-4</v>
      </c>
      <c r="L73" s="446"/>
      <c r="M73" s="447">
        <f t="shared" si="9"/>
        <v>2.20462262E-4</v>
      </c>
      <c r="N73" s="436" t="str">
        <f t="shared" si="10"/>
        <v>EPA</v>
      </c>
    </row>
    <row r="74" spans="7:14">
      <c r="I74" s="433"/>
      <c r="J74" s="446"/>
      <c r="K74" s="446"/>
      <c r="L74" s="446"/>
      <c r="M74" s="447"/>
      <c r="N74" s="436"/>
    </row>
    <row r="75" spans="7:14">
      <c r="I75" s="430" t="s">
        <v>218</v>
      </c>
      <c r="J75" s="446"/>
      <c r="K75" s="446"/>
      <c r="L75" s="446"/>
      <c r="M75" s="447"/>
      <c r="N75" s="436"/>
    </row>
    <row r="76" spans="7:14">
      <c r="I76" s="433" t="s">
        <v>382</v>
      </c>
      <c r="J76" s="446">
        <f>K218*0.9</f>
        <v>2.0933999930459942E-4</v>
      </c>
      <c r="K76" s="446">
        <f>0.00063*$C$90</f>
        <v>1.3889122505999999E-3</v>
      </c>
      <c r="L76" s="446"/>
      <c r="M76" s="447">
        <f t="shared" ref="M76:M83" si="12">(IF(K76&gt;0,K76,(IF(J76&gt;0,J76,L76))))</f>
        <v>1.3889122505999999E-3</v>
      </c>
      <c r="N76" s="436" t="str">
        <f t="shared" ref="N76:N83" si="13">IF(M76=J76,"IPCC",(IF(M76=K76,"EPA",(IF(M76=L76,"Average")))))</f>
        <v>EPA</v>
      </c>
    </row>
    <row r="77" spans="7:14">
      <c r="I77" s="433" t="s">
        <v>385</v>
      </c>
      <c r="J77" s="446">
        <f>K219*0.9</f>
        <v>8.3735999721839764E-3</v>
      </c>
      <c r="K77" s="446"/>
      <c r="L77" s="446"/>
      <c r="M77" s="447">
        <f t="shared" si="12"/>
        <v>8.3735999721839764E-3</v>
      </c>
      <c r="N77" s="436" t="str">
        <f t="shared" si="13"/>
        <v>IPCC</v>
      </c>
    </row>
    <row r="78" spans="7:14">
      <c r="I78" s="433" t="s">
        <v>381</v>
      </c>
      <c r="J78" s="446">
        <f>K220*0.9</f>
        <v>4.1867999860919882E-3</v>
      </c>
      <c r="K78" s="446"/>
      <c r="L78" s="446"/>
      <c r="M78" s="447">
        <f t="shared" si="12"/>
        <v>4.1867999860919882E-3</v>
      </c>
      <c r="N78" s="436" t="str">
        <f t="shared" si="13"/>
        <v>IPCC</v>
      </c>
    </row>
    <row r="79" spans="7:14">
      <c r="I79" s="433" t="s">
        <v>390</v>
      </c>
      <c r="J79" s="446">
        <f>K221*0.9</f>
        <v>8.3735999721839764E-3</v>
      </c>
      <c r="K79" s="446">
        <f>0.0036*$C$90</f>
        <v>7.9366414319999995E-3</v>
      </c>
      <c r="L79" s="446"/>
      <c r="M79" s="447">
        <f t="shared" si="12"/>
        <v>7.9366414319999995E-3</v>
      </c>
      <c r="N79" s="436" t="str">
        <f t="shared" si="13"/>
        <v>EPA</v>
      </c>
    </row>
    <row r="80" spans="7:14">
      <c r="I80" s="433" t="s">
        <v>383</v>
      </c>
      <c r="J80" s="446"/>
      <c r="K80" s="446"/>
      <c r="L80" s="446">
        <f>AVERAGE(M61:M65,M67:M73,M76:M79,M81:M83)</f>
        <v>4.0930358207813284E-3</v>
      </c>
      <c r="M80" s="447">
        <f t="shared" si="12"/>
        <v>4.0930358207813284E-3</v>
      </c>
      <c r="N80" s="436" t="str">
        <f t="shared" si="13"/>
        <v>Average</v>
      </c>
    </row>
    <row r="81" spans="1:24">
      <c r="I81" s="433" t="s">
        <v>431</v>
      </c>
      <c r="J81" s="446">
        <f>K222*0.9</f>
        <v>8.3735999721839764E-3</v>
      </c>
      <c r="K81" s="446">
        <f>0.0042*$C$90</f>
        <v>9.2594150039999983E-3</v>
      </c>
      <c r="L81" s="446"/>
      <c r="M81" s="447">
        <f t="shared" si="12"/>
        <v>9.2594150039999983E-3</v>
      </c>
      <c r="N81" s="436" t="str">
        <f t="shared" si="13"/>
        <v>EPA</v>
      </c>
    </row>
    <row r="82" spans="1:24">
      <c r="I82" s="433" t="s">
        <v>2456</v>
      </c>
      <c r="J82" s="446">
        <f>K220*0.9</f>
        <v>4.1867999860919882E-3</v>
      </c>
      <c r="K82" s="446"/>
      <c r="L82" s="446"/>
      <c r="M82" s="447">
        <f t="shared" si="12"/>
        <v>4.1867999860919882E-3</v>
      </c>
      <c r="N82" s="436" t="str">
        <f t="shared" si="13"/>
        <v>IPCC</v>
      </c>
    </row>
    <row r="83" spans="1:24" ht="13" thickBot="1">
      <c r="I83" s="440" t="s">
        <v>430</v>
      </c>
      <c r="J83" s="448">
        <f>K223*0.9</f>
        <v>2.0933999930459942E-4</v>
      </c>
      <c r="K83" s="448">
        <f>0.00063*$C$90</f>
        <v>1.3889122505999999E-3</v>
      </c>
      <c r="L83" s="448"/>
      <c r="M83" s="449">
        <f t="shared" si="12"/>
        <v>1.3889122505999999E-3</v>
      </c>
      <c r="N83" s="443" t="str">
        <f t="shared" si="13"/>
        <v>EPA</v>
      </c>
    </row>
    <row r="85" spans="1:24">
      <c r="I85" s="80"/>
      <c r="J85" s="80"/>
    </row>
    <row r="86" spans="1:24">
      <c r="A86" s="451"/>
      <c r="B86" s="451"/>
      <c r="C86" s="451"/>
      <c r="D86" s="451"/>
      <c r="E86" s="451"/>
      <c r="F86" s="451"/>
      <c r="G86" s="451"/>
      <c r="H86" s="451"/>
      <c r="I86" s="452"/>
      <c r="J86" s="452"/>
      <c r="K86" s="451"/>
      <c r="L86" s="451"/>
      <c r="M86" s="451"/>
      <c r="N86" s="451"/>
      <c r="O86" s="451"/>
      <c r="P86" s="451"/>
      <c r="Q86" s="451"/>
      <c r="R86" s="451"/>
      <c r="S86" s="451"/>
      <c r="T86" s="451"/>
      <c r="U86" s="451"/>
      <c r="V86" s="451"/>
      <c r="W86" s="451"/>
      <c r="X86" s="451"/>
    </row>
    <row r="87" spans="1:24">
      <c r="I87" s="80"/>
      <c r="J87" s="80"/>
      <c r="N87" s="20" t="s">
        <v>3268</v>
      </c>
    </row>
    <row r="88" spans="1:24" ht="14.5" thickBot="1">
      <c r="B88" s="40" t="s">
        <v>1512</v>
      </c>
      <c r="E88" s="655" t="s">
        <v>3989</v>
      </c>
      <c r="H88" s="453" t="s">
        <v>3953</v>
      </c>
      <c r="N88" s="20" t="s">
        <v>2997</v>
      </c>
    </row>
    <row r="89" spans="1:24" ht="14">
      <c r="B89" s="600" t="s">
        <v>1502</v>
      </c>
      <c r="C89" s="601">
        <v>1055.05585</v>
      </c>
      <c r="D89" s="602" t="s">
        <v>1503</v>
      </c>
      <c r="E89" s="655" t="s">
        <v>3988</v>
      </c>
      <c r="N89" s="453" t="s">
        <v>2996</v>
      </c>
    </row>
    <row r="90" spans="1:24" ht="14.5" thickBot="1">
      <c r="B90" s="603" t="s">
        <v>1500</v>
      </c>
      <c r="C90" s="604">
        <v>2.2046226199999999</v>
      </c>
      <c r="D90" s="605" t="s">
        <v>1499</v>
      </c>
      <c r="E90" s="453" t="s">
        <v>2995</v>
      </c>
    </row>
    <row r="91" spans="1:24">
      <c r="D91" s="20" t="s">
        <v>1392</v>
      </c>
      <c r="E91" s="453" t="s">
        <v>3986</v>
      </c>
      <c r="N91" s="20" t="s">
        <v>395</v>
      </c>
    </row>
    <row r="92" spans="1:24" ht="14">
      <c r="B92" s="40" t="s">
        <v>1507</v>
      </c>
      <c r="D92" s="20" t="s">
        <v>1393</v>
      </c>
      <c r="E92" s="453" t="s">
        <v>3987</v>
      </c>
      <c r="N92" s="453" t="s">
        <v>394</v>
      </c>
    </row>
    <row r="93" spans="1:24" ht="14">
      <c r="B93" s="454" t="s">
        <v>1392</v>
      </c>
      <c r="C93" s="455"/>
      <c r="D93" s="455"/>
      <c r="E93" s="456"/>
      <c r="G93" s="454" t="s">
        <v>1393</v>
      </c>
      <c r="H93" s="457"/>
      <c r="I93" s="456"/>
    </row>
    <row r="94" spans="1:24" ht="39">
      <c r="B94" s="454" t="s">
        <v>1394</v>
      </c>
      <c r="C94" s="458" t="s">
        <v>1395</v>
      </c>
      <c r="D94" s="458" t="s">
        <v>1396</v>
      </c>
      <c r="E94" s="459"/>
      <c r="F94" s="460"/>
      <c r="G94" s="458" t="s">
        <v>1394</v>
      </c>
      <c r="H94" s="458" t="s">
        <v>1397</v>
      </c>
      <c r="I94" s="458" t="s">
        <v>1398</v>
      </c>
    </row>
    <row r="95" spans="1:24" ht="14">
      <c r="B95" s="461" t="s">
        <v>1399</v>
      </c>
      <c r="C95" s="461" t="s">
        <v>1400</v>
      </c>
      <c r="D95" s="461" t="s">
        <v>1401</v>
      </c>
      <c r="E95" s="462"/>
      <c r="G95" s="455" t="s">
        <v>1402</v>
      </c>
      <c r="H95" s="455" t="s">
        <v>1403</v>
      </c>
      <c r="I95" s="455" t="s">
        <v>1404</v>
      </c>
    </row>
    <row r="96" spans="1:24" ht="14">
      <c r="B96" s="455" t="s">
        <v>1405</v>
      </c>
      <c r="C96" s="455">
        <v>25.09</v>
      </c>
      <c r="D96" s="455">
        <v>103.69</v>
      </c>
      <c r="E96" s="462"/>
      <c r="G96" s="455" t="s">
        <v>3955</v>
      </c>
      <c r="H96" s="455" t="s">
        <v>1407</v>
      </c>
      <c r="I96" s="455" t="s">
        <v>1408</v>
      </c>
    </row>
    <row r="97" spans="2:24" ht="14">
      <c r="B97" s="455" t="s">
        <v>1409</v>
      </c>
      <c r="C97" s="455">
        <v>24.93</v>
      </c>
      <c r="D97" s="455">
        <v>93.28</v>
      </c>
      <c r="E97" s="462"/>
      <c r="G97" s="455" t="s">
        <v>1410</v>
      </c>
      <c r="H97" s="455" t="s">
        <v>1411</v>
      </c>
      <c r="I97" s="455" t="s">
        <v>1412</v>
      </c>
    </row>
    <row r="98" spans="2:24" ht="15" customHeight="1">
      <c r="B98" s="455" t="s">
        <v>1413</v>
      </c>
      <c r="C98" s="455">
        <v>17.25</v>
      </c>
      <c r="D98" s="455">
        <v>97.17</v>
      </c>
      <c r="E98" s="462"/>
      <c r="G98" s="455" t="s">
        <v>1414</v>
      </c>
      <c r="H98" s="455" t="s">
        <v>1411</v>
      </c>
      <c r="I98" s="455" t="s">
        <v>1412</v>
      </c>
    </row>
    <row r="99" spans="2:24" ht="14">
      <c r="B99" s="455" t="s">
        <v>1415</v>
      </c>
      <c r="C99" s="455">
        <v>14.21</v>
      </c>
      <c r="D99" s="455">
        <v>97.72</v>
      </c>
      <c r="E99" s="462"/>
      <c r="G99" s="455" t="s">
        <v>1416</v>
      </c>
      <c r="H99" s="455" t="s">
        <v>1417</v>
      </c>
      <c r="I99" s="455" t="s">
        <v>1418</v>
      </c>
    </row>
    <row r="100" spans="2:24" ht="15" customHeight="1">
      <c r="B100" s="455" t="s">
        <v>1419</v>
      </c>
      <c r="C100" s="455">
        <v>24.8</v>
      </c>
      <c r="D100" s="455">
        <v>113.67</v>
      </c>
      <c r="E100" s="462"/>
      <c r="G100" s="455" t="s">
        <v>1420</v>
      </c>
      <c r="H100" s="455" t="s">
        <v>1417</v>
      </c>
      <c r="I100" s="455" t="s">
        <v>1418</v>
      </c>
    </row>
    <row r="101" spans="2:24" ht="14">
      <c r="B101" s="455" t="s">
        <v>1421</v>
      </c>
      <c r="C101" s="455">
        <v>21.39</v>
      </c>
      <c r="D101" s="455">
        <v>94.27</v>
      </c>
      <c r="E101" s="462"/>
      <c r="G101" s="455" t="s">
        <v>1422</v>
      </c>
      <c r="H101" s="455" t="s">
        <v>1423</v>
      </c>
      <c r="I101" s="455" t="s">
        <v>1408</v>
      </c>
    </row>
    <row r="102" spans="2:24" ht="14">
      <c r="B102" s="455" t="s">
        <v>1424</v>
      </c>
      <c r="C102" s="455">
        <v>26.28</v>
      </c>
      <c r="D102" s="455">
        <v>93.9</v>
      </c>
      <c r="E102" s="462"/>
      <c r="G102" s="455" t="s">
        <v>1425</v>
      </c>
      <c r="H102" s="455" t="s">
        <v>1426</v>
      </c>
      <c r="I102" s="455" t="s">
        <v>1408</v>
      </c>
    </row>
    <row r="103" spans="2:24" ht="14">
      <c r="B103" s="455" t="s">
        <v>1427</v>
      </c>
      <c r="C103" s="455">
        <v>22.35</v>
      </c>
      <c r="D103" s="455">
        <v>94.67</v>
      </c>
      <c r="E103" s="462"/>
      <c r="G103" s="455" t="s">
        <v>1428</v>
      </c>
      <c r="H103" s="455" t="s">
        <v>1417</v>
      </c>
      <c r="I103" s="455" t="s">
        <v>1418</v>
      </c>
    </row>
    <row r="104" spans="2:24" ht="14">
      <c r="B104" s="455" t="s">
        <v>1429</v>
      </c>
      <c r="C104" s="455">
        <v>19.73</v>
      </c>
      <c r="D104" s="455">
        <v>95.52</v>
      </c>
      <c r="E104" s="462"/>
      <c r="G104" s="455" t="s">
        <v>1430</v>
      </c>
      <c r="H104" s="455" t="s">
        <v>1431</v>
      </c>
      <c r="I104" s="455" t="s">
        <v>1432</v>
      </c>
    </row>
    <row r="105" spans="2:24" ht="14">
      <c r="B105" s="461" t="s">
        <v>1250</v>
      </c>
      <c r="C105" s="461" t="s">
        <v>1433</v>
      </c>
      <c r="D105" s="461" t="s">
        <v>1401</v>
      </c>
      <c r="E105" s="462"/>
      <c r="G105" s="455" t="s">
        <v>1434</v>
      </c>
      <c r="H105" s="455" t="s">
        <v>1435</v>
      </c>
      <c r="I105" s="455" t="s">
        <v>1436</v>
      </c>
    </row>
    <row r="106" spans="2:24" ht="14">
      <c r="B106" s="455" t="s">
        <v>1437</v>
      </c>
      <c r="C106" s="455" t="s">
        <v>1438</v>
      </c>
      <c r="D106" s="455">
        <v>53.06</v>
      </c>
      <c r="E106" s="462"/>
      <c r="G106" s="455" t="s">
        <v>1439</v>
      </c>
      <c r="H106" s="455" t="s">
        <v>1440</v>
      </c>
      <c r="I106" s="455" t="s">
        <v>1441</v>
      </c>
    </row>
    <row r="107" spans="2:24" ht="16" customHeight="1">
      <c r="B107" s="461" t="s">
        <v>1442</v>
      </c>
      <c r="C107" s="461" t="s">
        <v>1443</v>
      </c>
      <c r="D107" s="461" t="s">
        <v>1401</v>
      </c>
      <c r="E107" s="462"/>
      <c r="G107" s="871" t="s">
        <v>3954</v>
      </c>
      <c r="H107" s="872"/>
      <c r="I107" s="872"/>
      <c r="J107" s="872"/>
      <c r="K107" s="872"/>
      <c r="L107" s="873"/>
    </row>
    <row r="108" spans="2:24" ht="15" customHeight="1">
      <c r="B108" s="455" t="s">
        <v>1444</v>
      </c>
      <c r="C108" s="455">
        <v>0.13900000000000001</v>
      </c>
      <c r="D108" s="455">
        <v>73.25</v>
      </c>
      <c r="E108" s="462"/>
      <c r="G108" s="874"/>
      <c r="H108" s="875"/>
      <c r="I108" s="875"/>
      <c r="J108" s="875"/>
      <c r="K108" s="875"/>
      <c r="L108" s="876"/>
    </row>
    <row r="109" spans="2:24" ht="14.15" customHeight="1">
      <c r="B109" s="455" t="s">
        <v>1445</v>
      </c>
      <c r="C109" s="455">
        <v>0.13800000000000001</v>
      </c>
      <c r="D109" s="455">
        <v>73.959999999999994</v>
      </c>
      <c r="E109" s="462"/>
      <c r="G109" s="877"/>
      <c r="H109" s="878"/>
      <c r="I109" s="878"/>
      <c r="J109" s="878"/>
      <c r="K109" s="878"/>
      <c r="L109" s="879"/>
    </row>
    <row r="110" spans="2:24" ht="14">
      <c r="B110" s="455" t="s">
        <v>1446</v>
      </c>
      <c r="C110" s="455">
        <v>0.14599999999999999</v>
      </c>
      <c r="D110" s="455">
        <v>75.040000000000006</v>
      </c>
      <c r="E110" s="462"/>
      <c r="H110" s="655" t="s">
        <v>3952</v>
      </c>
    </row>
    <row r="111" spans="2:24" ht="14">
      <c r="B111" s="455" t="s">
        <v>1447</v>
      </c>
      <c r="C111" s="455">
        <v>0.14000000000000001</v>
      </c>
      <c r="D111" s="455">
        <v>72.930000000000007</v>
      </c>
      <c r="E111" s="462"/>
      <c r="H111" s="463" t="s">
        <v>1508</v>
      </c>
      <c r="I111" s="124"/>
      <c r="J111" s="124"/>
      <c r="K111" s="124"/>
      <c r="L111" s="124"/>
    </row>
    <row r="112" spans="2:24" ht="14">
      <c r="B112" s="455" t="s">
        <v>1448</v>
      </c>
      <c r="C112" s="455">
        <v>0.15</v>
      </c>
      <c r="D112" s="455">
        <v>75.099999999999994</v>
      </c>
      <c r="E112" s="462"/>
      <c r="H112" s="464" t="s">
        <v>2048</v>
      </c>
      <c r="I112" s="465" t="s">
        <v>1537</v>
      </c>
      <c r="J112" s="124"/>
      <c r="K112" s="124"/>
      <c r="L112" s="124"/>
      <c r="X112" s="117"/>
    </row>
    <row r="113" spans="2:12" ht="41">
      <c r="B113" s="455" t="s">
        <v>1449</v>
      </c>
      <c r="C113" s="455">
        <v>0.13800000000000001</v>
      </c>
      <c r="D113" s="455">
        <v>74</v>
      </c>
      <c r="E113" s="462"/>
      <c r="H113" s="629" t="s">
        <v>3951</v>
      </c>
      <c r="I113" s="124"/>
      <c r="J113" s="124"/>
      <c r="K113" s="124"/>
      <c r="L113" s="124"/>
    </row>
    <row r="114" spans="2:12" ht="15" customHeight="1">
      <c r="B114" s="455" t="s">
        <v>1450</v>
      </c>
      <c r="C114" s="455">
        <v>0.13500000000000001</v>
      </c>
      <c r="D114" s="455">
        <v>75.2</v>
      </c>
      <c r="E114" s="462"/>
      <c r="H114" s="860" t="s">
        <v>2049</v>
      </c>
      <c r="I114" s="860"/>
      <c r="J114" s="860"/>
      <c r="K114" s="860"/>
      <c r="L114" s="860"/>
    </row>
    <row r="115" spans="2:12" ht="39">
      <c r="B115" s="455" t="s">
        <v>1451</v>
      </c>
      <c r="C115" s="455">
        <v>9.1999999999999998E-2</v>
      </c>
      <c r="D115" s="455">
        <v>61.71</v>
      </c>
      <c r="E115" s="462"/>
      <c r="H115" s="466" t="s">
        <v>2050</v>
      </c>
      <c r="I115" s="466" t="s">
        <v>2051</v>
      </c>
      <c r="J115" s="467" t="s">
        <v>2052</v>
      </c>
      <c r="K115" s="468" t="s">
        <v>2053</v>
      </c>
      <c r="L115" s="469" t="s">
        <v>2054</v>
      </c>
    </row>
    <row r="116" spans="2:12" ht="14">
      <c r="B116" s="455" t="s">
        <v>1452</v>
      </c>
      <c r="C116" s="455">
        <v>9.0999999999999998E-2</v>
      </c>
      <c r="D116" s="455">
        <v>62.87</v>
      </c>
      <c r="E116" s="462"/>
      <c r="H116" s="143" t="s">
        <v>2055</v>
      </c>
      <c r="I116" s="470" t="s">
        <v>43</v>
      </c>
      <c r="J116" s="471">
        <v>93.24</v>
      </c>
      <c r="K116" s="472">
        <f t="shared" ref="K116:K127" si="14">J116*2.20462</f>
        <v>205.55876879999997</v>
      </c>
      <c r="L116" s="143" t="s">
        <v>1156</v>
      </c>
    </row>
    <row r="117" spans="2:12" ht="14">
      <c r="B117" s="455" t="s">
        <v>1453</v>
      </c>
      <c r="C117" s="455">
        <v>9.0999999999999998E-2</v>
      </c>
      <c r="D117" s="455">
        <v>67.77</v>
      </c>
      <c r="E117" s="462"/>
      <c r="H117" s="143" t="s">
        <v>2056</v>
      </c>
      <c r="I117" s="470" t="s">
        <v>46</v>
      </c>
      <c r="J117" s="471">
        <v>74.14</v>
      </c>
      <c r="K117" s="472">
        <f t="shared" si="14"/>
        <v>163.45052679999998</v>
      </c>
      <c r="L117" s="143" t="s">
        <v>1156</v>
      </c>
    </row>
    <row r="118" spans="2:12" s="28" customFormat="1">
      <c r="B118" s="455" t="s">
        <v>1454</v>
      </c>
      <c r="C118" s="455">
        <v>6.8000000000000005E-2</v>
      </c>
      <c r="D118" s="455">
        <v>59.6</v>
      </c>
      <c r="E118" s="473"/>
      <c r="H118" s="143" t="s">
        <v>2057</v>
      </c>
      <c r="I118" s="470" t="s">
        <v>2058</v>
      </c>
      <c r="J118" s="471">
        <v>11.81</v>
      </c>
      <c r="K118" s="472">
        <f t="shared" si="14"/>
        <v>26.036562199999999</v>
      </c>
      <c r="L118" s="143" t="s">
        <v>1156</v>
      </c>
    </row>
    <row r="119" spans="2:12" ht="14">
      <c r="B119" s="455" t="s">
        <v>1455</v>
      </c>
      <c r="C119" s="455">
        <v>8.4000000000000005E-2</v>
      </c>
      <c r="D119" s="455">
        <v>68.44</v>
      </c>
      <c r="E119" s="462"/>
      <c r="H119" s="143" t="s">
        <v>2059</v>
      </c>
      <c r="I119" s="470" t="s">
        <v>66</v>
      </c>
      <c r="J119" s="471">
        <v>72.233329999999995</v>
      </c>
      <c r="K119" s="472">
        <f t="shared" si="14"/>
        <v>159.24704398459997</v>
      </c>
      <c r="L119" s="143" t="s">
        <v>1156</v>
      </c>
    </row>
    <row r="120" spans="2:12" ht="15" customHeight="1">
      <c r="B120" s="455" t="s">
        <v>1456</v>
      </c>
      <c r="C120" s="455">
        <v>5.8000000000000003E-2</v>
      </c>
      <c r="D120" s="455">
        <v>65.959999999999994</v>
      </c>
      <c r="E120" s="462"/>
      <c r="H120" s="143" t="s">
        <v>1450</v>
      </c>
      <c r="I120" s="470" t="s">
        <v>76</v>
      </c>
      <c r="J120" s="471">
        <v>73.186660000000003</v>
      </c>
      <c r="K120" s="472">
        <f t="shared" si="14"/>
        <v>161.34877436919999</v>
      </c>
      <c r="L120" s="143" t="s">
        <v>1156</v>
      </c>
    </row>
    <row r="121" spans="2:12" ht="14">
      <c r="B121" s="455" t="s">
        <v>1457</v>
      </c>
      <c r="C121" s="455">
        <v>9.9000000000000005E-2</v>
      </c>
      <c r="D121" s="455">
        <v>64.94</v>
      </c>
      <c r="E121" s="462"/>
      <c r="H121" s="143" t="s">
        <v>2060</v>
      </c>
      <c r="I121" s="470" t="s">
        <v>2061</v>
      </c>
      <c r="J121" s="471">
        <v>98.27</v>
      </c>
      <c r="K121" s="472">
        <f t="shared" si="14"/>
        <v>216.64800739999998</v>
      </c>
      <c r="L121" s="143" t="s">
        <v>1156</v>
      </c>
    </row>
    <row r="122" spans="2:12" ht="15" customHeight="1">
      <c r="B122" s="455" t="s">
        <v>1458</v>
      </c>
      <c r="C122" s="455">
        <v>0.10299999999999999</v>
      </c>
      <c r="D122" s="455">
        <v>68.86</v>
      </c>
      <c r="E122" s="462"/>
      <c r="H122" s="143" t="s">
        <v>1416</v>
      </c>
      <c r="I122" s="470" t="s">
        <v>2062</v>
      </c>
      <c r="J122" s="471">
        <v>49.884999999999998</v>
      </c>
      <c r="K122" s="472">
        <f t="shared" si="14"/>
        <v>109.97746869999999</v>
      </c>
      <c r="L122" s="143" t="s">
        <v>1156</v>
      </c>
    </row>
    <row r="123" spans="2:12" ht="14">
      <c r="B123" s="455" t="s">
        <v>1459</v>
      </c>
      <c r="C123" s="455">
        <v>0.10299999999999999</v>
      </c>
      <c r="D123" s="455">
        <v>64.77</v>
      </c>
      <c r="E123" s="462"/>
      <c r="H123" s="143" t="s">
        <v>1406</v>
      </c>
      <c r="I123" s="470" t="s">
        <v>39</v>
      </c>
      <c r="J123" s="471">
        <v>52.91</v>
      </c>
      <c r="K123" s="472">
        <f t="shared" si="14"/>
        <v>116.64644419999998</v>
      </c>
      <c r="L123" s="143" t="s">
        <v>1156</v>
      </c>
    </row>
    <row r="124" spans="2:12" ht="14">
      <c r="B124" s="455" t="s">
        <v>1460</v>
      </c>
      <c r="C124" s="455">
        <v>0.105</v>
      </c>
      <c r="D124" s="455">
        <v>68.72</v>
      </c>
      <c r="E124" s="462"/>
      <c r="H124" s="143" t="s">
        <v>1466</v>
      </c>
      <c r="I124" s="470" t="s">
        <v>65</v>
      </c>
      <c r="J124" s="471">
        <v>102.11666</v>
      </c>
      <c r="K124" s="472">
        <f t="shared" si="14"/>
        <v>225.12843096919997</v>
      </c>
      <c r="L124" s="143" t="s">
        <v>1156</v>
      </c>
    </row>
    <row r="125" spans="2:12" ht="14">
      <c r="B125" s="455" t="s">
        <v>1461</v>
      </c>
      <c r="C125" s="455">
        <v>0.125</v>
      </c>
      <c r="D125" s="455">
        <v>68.02</v>
      </c>
      <c r="E125" s="462"/>
      <c r="H125" s="143" t="s">
        <v>1481</v>
      </c>
      <c r="I125" s="470" t="s">
        <v>420</v>
      </c>
      <c r="J125" s="471">
        <v>62.883330000000001</v>
      </c>
      <c r="K125" s="472">
        <f t="shared" si="14"/>
        <v>138.63384698459998</v>
      </c>
      <c r="L125" s="143" t="s">
        <v>1156</v>
      </c>
    </row>
    <row r="126" spans="2:12" ht="50.5">
      <c r="B126" s="455" t="s">
        <v>1462</v>
      </c>
      <c r="C126" s="455">
        <v>0.11</v>
      </c>
      <c r="D126" s="455">
        <v>66.88</v>
      </c>
      <c r="E126" s="462"/>
      <c r="H126" s="143" t="s">
        <v>2063</v>
      </c>
      <c r="I126" s="470" t="s">
        <v>2064</v>
      </c>
      <c r="J126" s="471">
        <v>93.24</v>
      </c>
      <c r="K126" s="472">
        <f t="shared" si="14"/>
        <v>205.55876879999997</v>
      </c>
      <c r="L126" s="143" t="s">
        <v>393</v>
      </c>
    </row>
    <row r="127" spans="2:12" ht="14">
      <c r="B127" s="455" t="s">
        <v>1463</v>
      </c>
      <c r="C127" s="455">
        <v>0.13900000000000001</v>
      </c>
      <c r="D127" s="455">
        <v>76.22</v>
      </c>
      <c r="E127" s="462"/>
      <c r="H127" s="143" t="s">
        <v>2065</v>
      </c>
      <c r="I127" s="470" t="s">
        <v>61</v>
      </c>
      <c r="J127" s="471">
        <v>75.093329999999995</v>
      </c>
      <c r="K127" s="472">
        <f t="shared" si="14"/>
        <v>165.55225718459997</v>
      </c>
      <c r="L127" s="143" t="s">
        <v>1156</v>
      </c>
    </row>
    <row r="128" spans="2:12" ht="63">
      <c r="B128" s="455" t="s">
        <v>1464</v>
      </c>
      <c r="C128" s="455">
        <v>0.11</v>
      </c>
      <c r="D128" s="455">
        <v>70.02</v>
      </c>
      <c r="E128" s="462"/>
      <c r="H128" s="143" t="s">
        <v>2066</v>
      </c>
      <c r="I128" s="470" t="s">
        <v>2067</v>
      </c>
      <c r="J128" s="471" t="s">
        <v>2068</v>
      </c>
      <c r="K128" s="472"/>
      <c r="L128" s="143" t="s">
        <v>2069</v>
      </c>
    </row>
    <row r="129" spans="2:12" ht="63">
      <c r="B129" s="455" t="s">
        <v>1465</v>
      </c>
      <c r="C129" s="455">
        <v>0.125</v>
      </c>
      <c r="D129" s="455">
        <v>71.02</v>
      </c>
      <c r="E129" s="462"/>
      <c r="H129" s="143" t="s">
        <v>2070</v>
      </c>
      <c r="I129" s="470" t="s">
        <v>2071</v>
      </c>
      <c r="J129" s="471" t="s">
        <v>2068</v>
      </c>
      <c r="K129" s="472"/>
      <c r="L129" s="143" t="s">
        <v>2069</v>
      </c>
    </row>
    <row r="130" spans="2:12" ht="14">
      <c r="B130" s="455" t="s">
        <v>1466</v>
      </c>
      <c r="C130" s="455">
        <v>0.14299999999999999</v>
      </c>
      <c r="D130" s="455">
        <v>102.41</v>
      </c>
      <c r="E130" s="462"/>
      <c r="H130" s="143" t="s">
        <v>2072</v>
      </c>
      <c r="I130" s="470" t="s">
        <v>48</v>
      </c>
      <c r="J130" s="471">
        <v>97.13</v>
      </c>
      <c r="K130" s="472">
        <f>J130*2.20462</f>
        <v>214.13474059999996</v>
      </c>
      <c r="L130" s="143" t="s">
        <v>1156</v>
      </c>
    </row>
    <row r="131" spans="2:12" ht="14">
      <c r="B131" s="455" t="s">
        <v>1467</v>
      </c>
      <c r="C131" s="455">
        <v>0.125</v>
      </c>
      <c r="D131" s="455">
        <v>72.34</v>
      </c>
      <c r="E131" s="462"/>
      <c r="H131" s="143" t="s">
        <v>2073</v>
      </c>
      <c r="I131" s="470" t="s">
        <v>396</v>
      </c>
      <c r="J131" s="471">
        <v>85.97</v>
      </c>
      <c r="K131" s="472">
        <f>J131*2.20462</f>
        <v>189.53118139999998</v>
      </c>
      <c r="L131" s="143" t="s">
        <v>1156</v>
      </c>
    </row>
    <row r="132" spans="2:12" ht="50.5">
      <c r="B132" s="455" t="s">
        <v>1468</v>
      </c>
      <c r="C132" s="455">
        <v>0.13900000000000001</v>
      </c>
      <c r="D132" s="455">
        <v>74.540000000000006</v>
      </c>
      <c r="E132" s="462"/>
      <c r="H132" s="143" t="s">
        <v>2074</v>
      </c>
      <c r="I132" s="470" t="s">
        <v>2075</v>
      </c>
      <c r="J132" s="471">
        <v>93.24</v>
      </c>
      <c r="K132" s="472">
        <f>J132*2.20462</f>
        <v>205.55876879999997</v>
      </c>
      <c r="L132" s="143" t="s">
        <v>393</v>
      </c>
    </row>
    <row r="133" spans="2:12" ht="14">
      <c r="B133" s="455" t="s">
        <v>1469</v>
      </c>
      <c r="C133" s="455">
        <v>0.14799999999999999</v>
      </c>
      <c r="D133" s="455">
        <v>74.92</v>
      </c>
      <c r="E133" s="462"/>
      <c r="H133" s="143" t="s">
        <v>2076</v>
      </c>
      <c r="I133" s="470" t="s">
        <v>73</v>
      </c>
      <c r="J133" s="471">
        <v>74</v>
      </c>
      <c r="K133" s="472">
        <f>J133*2.20462</f>
        <v>163.14187999999999</v>
      </c>
      <c r="L133" s="143" t="s">
        <v>1156</v>
      </c>
    </row>
    <row r="134" spans="2:12" ht="15" customHeight="1">
      <c r="B134" s="455" t="s">
        <v>1470</v>
      </c>
      <c r="C134" s="455">
        <v>0.14399999999999999</v>
      </c>
      <c r="D134" s="455">
        <v>74.27</v>
      </c>
      <c r="E134" s="462"/>
      <c r="H134" s="861" t="s">
        <v>2077</v>
      </c>
      <c r="I134" s="861"/>
      <c r="J134" s="861"/>
      <c r="K134" s="861"/>
      <c r="L134" s="861"/>
    </row>
    <row r="135" spans="2:12" ht="14">
      <c r="B135" s="455" t="s">
        <v>1471</v>
      </c>
      <c r="C135" s="455">
        <v>0.125</v>
      </c>
      <c r="D135" s="455">
        <v>70.22</v>
      </c>
      <c r="E135" s="462"/>
      <c r="H135" s="642" t="s">
        <v>4006</v>
      </c>
      <c r="I135" s="124"/>
      <c r="J135" s="124"/>
      <c r="K135" s="124"/>
      <c r="L135" s="124"/>
    </row>
    <row r="136" spans="2:12" ht="14">
      <c r="B136" s="455" t="s">
        <v>1472</v>
      </c>
      <c r="C136" s="455">
        <v>0.12</v>
      </c>
      <c r="D136" s="455">
        <v>69.25</v>
      </c>
      <c r="E136" s="462"/>
      <c r="H136" s="474" t="s">
        <v>2078</v>
      </c>
      <c r="I136" s="475"/>
      <c r="J136" s="475"/>
      <c r="K136" s="476"/>
      <c r="L136" s="124"/>
    </row>
    <row r="137" spans="2:12" ht="14">
      <c r="B137" s="455" t="s">
        <v>1473</v>
      </c>
      <c r="C137" s="455">
        <v>0.13500000000000001</v>
      </c>
      <c r="D137" s="455">
        <v>72.22</v>
      </c>
      <c r="E137" s="462"/>
      <c r="H137" s="477"/>
      <c r="I137" s="478"/>
      <c r="J137" s="478"/>
      <c r="K137" s="479"/>
      <c r="L137" s="124"/>
    </row>
    <row r="138" spans="2:12" ht="14">
      <c r="B138" s="455" t="s">
        <v>1474</v>
      </c>
      <c r="C138" s="455">
        <v>0.158</v>
      </c>
      <c r="D138" s="455">
        <v>75.36</v>
      </c>
      <c r="E138" s="462"/>
      <c r="I138" s="480"/>
    </row>
    <row r="139" spans="2:12" ht="15.75" customHeight="1">
      <c r="B139" s="455" t="s">
        <v>1475</v>
      </c>
      <c r="C139" s="455">
        <v>0.13800000000000001</v>
      </c>
      <c r="D139" s="455">
        <v>74.540000000000006</v>
      </c>
      <c r="E139" s="462"/>
      <c r="I139" s="480"/>
      <c r="J139" s="480"/>
      <c r="K139" s="480"/>
    </row>
    <row r="140" spans="2:12" ht="14">
      <c r="B140" s="461" t="s">
        <v>1476</v>
      </c>
      <c r="C140" s="461" t="s">
        <v>1400</v>
      </c>
      <c r="D140" s="461" t="s">
        <v>1401</v>
      </c>
      <c r="E140" s="462"/>
      <c r="I140" s="480"/>
      <c r="J140" s="480"/>
      <c r="K140" s="480"/>
    </row>
    <row r="141" spans="2:12" ht="14">
      <c r="B141" s="455" t="s">
        <v>1416</v>
      </c>
      <c r="C141" s="455">
        <v>9.9529999999999994</v>
      </c>
      <c r="D141" s="455">
        <v>90.7</v>
      </c>
      <c r="E141" s="462"/>
      <c r="I141" s="480"/>
      <c r="J141" s="480"/>
      <c r="K141" s="480"/>
    </row>
    <row r="142" spans="2:12" ht="14">
      <c r="B142" s="455" t="s">
        <v>1420</v>
      </c>
      <c r="C142" s="455">
        <v>28</v>
      </c>
      <c r="D142" s="455">
        <v>85.97</v>
      </c>
      <c r="E142" s="462"/>
      <c r="I142" s="480"/>
      <c r="J142" s="480"/>
      <c r="K142" s="480"/>
    </row>
    <row r="143" spans="2:12" ht="14">
      <c r="B143" s="455" t="s">
        <v>1477</v>
      </c>
      <c r="C143" s="455">
        <v>38</v>
      </c>
      <c r="D143" s="455">
        <v>75</v>
      </c>
      <c r="E143" s="462"/>
      <c r="I143" s="480"/>
      <c r="J143" s="480"/>
      <c r="K143" s="480"/>
    </row>
    <row r="144" spans="2:12" ht="14">
      <c r="B144" s="455" t="s">
        <v>1466</v>
      </c>
      <c r="C144" s="455">
        <v>30</v>
      </c>
      <c r="D144" s="455">
        <v>102.41</v>
      </c>
      <c r="E144" s="462"/>
    </row>
    <row r="145" spans="2:11" ht="14.5" thickBot="1">
      <c r="B145" s="461" t="s">
        <v>1478</v>
      </c>
      <c r="C145" s="461" t="s">
        <v>1433</v>
      </c>
      <c r="D145" s="461" t="s">
        <v>1401</v>
      </c>
      <c r="E145" s="462"/>
      <c r="I145" s="39" t="s">
        <v>1518</v>
      </c>
    </row>
    <row r="146" spans="2:11" ht="35">
      <c r="B146" s="455" t="s">
        <v>1422</v>
      </c>
      <c r="C146" s="455" t="s">
        <v>1479</v>
      </c>
      <c r="D146" s="455">
        <v>274.32</v>
      </c>
      <c r="E146" s="462"/>
      <c r="I146" s="426" t="s">
        <v>208</v>
      </c>
      <c r="J146" s="427" t="s">
        <v>319</v>
      </c>
      <c r="K146" s="481" t="s">
        <v>320</v>
      </c>
    </row>
    <row r="147" spans="2:11" ht="14">
      <c r="B147" s="455" t="s">
        <v>1425</v>
      </c>
      <c r="C147" s="455" t="s">
        <v>1480</v>
      </c>
      <c r="D147" s="455">
        <v>46.85</v>
      </c>
      <c r="E147" s="462"/>
      <c r="I147" s="430" t="s">
        <v>212</v>
      </c>
      <c r="J147" s="28"/>
      <c r="K147" s="482"/>
    </row>
    <row r="148" spans="2:11" ht="14">
      <c r="B148" s="455" t="s">
        <v>1481</v>
      </c>
      <c r="C148" s="455" t="s">
        <v>1482</v>
      </c>
      <c r="D148" s="455">
        <v>61.46</v>
      </c>
      <c r="E148" s="462"/>
      <c r="I148" s="433" t="s">
        <v>386</v>
      </c>
      <c r="J148" s="79">
        <v>94600</v>
      </c>
      <c r="K148" s="483">
        <f>J148*$C$90*$C$89/1000000</f>
        <v>220.03959926905674</v>
      </c>
    </row>
    <row r="149" spans="2:11" ht="14">
      <c r="B149" s="455" t="s">
        <v>1483</v>
      </c>
      <c r="C149" s="455" t="s">
        <v>1484</v>
      </c>
      <c r="D149" s="455">
        <v>59</v>
      </c>
      <c r="E149" s="462"/>
      <c r="I149" s="433" t="s">
        <v>387</v>
      </c>
      <c r="J149" s="79">
        <v>96100</v>
      </c>
      <c r="K149" s="483">
        <f>J149*$C$90*$C$89/1000000</f>
        <v>223.52859925746671</v>
      </c>
    </row>
    <row r="150" spans="2:11" ht="14">
      <c r="B150" s="461" t="s">
        <v>1485</v>
      </c>
      <c r="C150" s="461" t="s">
        <v>1400</v>
      </c>
      <c r="D150" s="461" t="s">
        <v>1401</v>
      </c>
      <c r="E150" s="462"/>
      <c r="I150" s="433" t="s">
        <v>375</v>
      </c>
      <c r="J150" s="79"/>
      <c r="K150" s="483"/>
    </row>
    <row r="151" spans="2:11" ht="14">
      <c r="B151" s="455" t="s">
        <v>1486</v>
      </c>
      <c r="C151" s="455">
        <v>17.48</v>
      </c>
      <c r="D151" s="455">
        <v>93.8</v>
      </c>
      <c r="E151" s="462"/>
      <c r="I151" s="433" t="s">
        <v>374</v>
      </c>
      <c r="J151" s="79">
        <v>56100</v>
      </c>
      <c r="K151" s="483">
        <f>J151*$C$90*$C$89/1000000</f>
        <v>130.48859956653362</v>
      </c>
    </row>
    <row r="152" spans="2:11" ht="14">
      <c r="B152" s="455" t="s">
        <v>1487</v>
      </c>
      <c r="C152" s="455">
        <v>8.25</v>
      </c>
      <c r="D152" s="455">
        <v>118.17</v>
      </c>
      <c r="E152" s="462"/>
      <c r="I152" s="433" t="s">
        <v>383</v>
      </c>
      <c r="J152" s="79"/>
      <c r="K152" s="483"/>
    </row>
    <row r="153" spans="2:11" ht="14">
      <c r="B153" s="455" t="s">
        <v>1488</v>
      </c>
      <c r="C153" s="455">
        <v>8</v>
      </c>
      <c r="D153" s="455">
        <v>111.84</v>
      </c>
      <c r="E153" s="462"/>
      <c r="I153" s="433" t="s">
        <v>388</v>
      </c>
      <c r="J153" s="79">
        <v>91700</v>
      </c>
      <c r="K153" s="483">
        <f>J153*$C$90*$C$89/1000000</f>
        <v>213.29419929146405</v>
      </c>
    </row>
    <row r="154" spans="2:11" ht="14">
      <c r="B154" s="455" t="s">
        <v>1489</v>
      </c>
      <c r="C154" s="455">
        <v>10.39</v>
      </c>
      <c r="D154" s="455">
        <v>105.51</v>
      </c>
      <c r="E154" s="462"/>
      <c r="I154" s="433" t="s">
        <v>389</v>
      </c>
      <c r="J154" s="79"/>
      <c r="K154" s="483"/>
    </row>
    <row r="155" spans="2:11" ht="14">
      <c r="B155" s="461" t="s">
        <v>1490</v>
      </c>
      <c r="C155" s="461" t="s">
        <v>1433</v>
      </c>
      <c r="D155" s="461" t="s">
        <v>1401</v>
      </c>
      <c r="E155" s="462"/>
      <c r="I155" s="433" t="s">
        <v>384</v>
      </c>
      <c r="J155" s="79"/>
      <c r="K155" s="483"/>
    </row>
    <row r="156" spans="2:11" ht="14">
      <c r="B156" s="455" t="s">
        <v>1491</v>
      </c>
      <c r="C156" s="455" t="s">
        <v>1492</v>
      </c>
      <c r="D156" s="455">
        <v>52.07</v>
      </c>
      <c r="E156" s="462"/>
      <c r="I156" s="433" t="s">
        <v>377</v>
      </c>
      <c r="J156" s="79">
        <v>97500</v>
      </c>
      <c r="K156" s="483">
        <f>J156*$C$90*$C$89/1000000</f>
        <v>226.78499924664936</v>
      </c>
    </row>
    <row r="157" spans="2:11" ht="14">
      <c r="B157" s="455" t="s">
        <v>1493</v>
      </c>
      <c r="C157" s="455" t="s">
        <v>1494</v>
      </c>
      <c r="D157" s="455">
        <v>52.07</v>
      </c>
      <c r="E157" s="462"/>
      <c r="I157" s="433" t="s">
        <v>376</v>
      </c>
      <c r="J157" s="79">
        <v>77400</v>
      </c>
      <c r="K157" s="483">
        <f>J157*$C$90*$C$89/1000000</f>
        <v>180.03239940195547</v>
      </c>
    </row>
    <row r="158" spans="2:11" ht="14">
      <c r="B158" s="461" t="s">
        <v>1495</v>
      </c>
      <c r="C158" s="461" t="s">
        <v>1443</v>
      </c>
      <c r="D158" s="461" t="s">
        <v>1401</v>
      </c>
      <c r="E158" s="462"/>
      <c r="I158" s="433" t="s">
        <v>378</v>
      </c>
      <c r="J158" s="79">
        <v>71500</v>
      </c>
      <c r="K158" s="483">
        <f>J158*$C$90*$C$89/1000000</f>
        <v>166.30899944754287</v>
      </c>
    </row>
    <row r="159" spans="2:11" ht="14">
      <c r="B159" s="455" t="s">
        <v>1455</v>
      </c>
      <c r="C159" s="455">
        <v>8.4000000000000005E-2</v>
      </c>
      <c r="D159" s="455">
        <v>68.44</v>
      </c>
      <c r="E159" s="462"/>
      <c r="I159" s="433" t="s">
        <v>379</v>
      </c>
      <c r="J159" s="79">
        <v>71900</v>
      </c>
      <c r="K159" s="483">
        <f>J159*$C$90*$C$89/1000000</f>
        <v>167.23939944445218</v>
      </c>
    </row>
    <row r="160" spans="2:11" ht="14">
      <c r="B160" s="455" t="s">
        <v>1496</v>
      </c>
      <c r="C160" s="455">
        <v>0.128</v>
      </c>
      <c r="D160" s="455">
        <v>73.84</v>
      </c>
      <c r="E160" s="462"/>
      <c r="I160" s="433" t="s">
        <v>380</v>
      </c>
      <c r="J160" s="79">
        <v>73300</v>
      </c>
      <c r="K160" s="483">
        <f>J160*$C$90*$C$89/1000000</f>
        <v>170.49579943363486</v>
      </c>
    </row>
    <row r="161" spans="2:11" ht="14">
      <c r="B161" s="455" t="s">
        <v>1497</v>
      </c>
      <c r="C161" s="455">
        <v>0.125</v>
      </c>
      <c r="D161" s="455">
        <v>71.06</v>
      </c>
      <c r="E161" s="462"/>
      <c r="I161" s="433" t="s">
        <v>429</v>
      </c>
      <c r="K161" s="101"/>
    </row>
    <row r="162" spans="2:11" ht="14">
      <c r="B162" s="455" t="s">
        <v>1498</v>
      </c>
      <c r="C162" s="455">
        <v>0.12</v>
      </c>
      <c r="D162" s="455">
        <v>81.55</v>
      </c>
      <c r="E162" s="462"/>
      <c r="I162" s="433"/>
      <c r="J162" s="79"/>
      <c r="K162" s="483"/>
    </row>
    <row r="163" spans="2:11">
      <c r="I163" s="430" t="s">
        <v>218</v>
      </c>
      <c r="J163" s="79"/>
      <c r="K163" s="483"/>
    </row>
    <row r="164" spans="2:11">
      <c r="I164" s="433" t="s">
        <v>382</v>
      </c>
      <c r="J164" s="79">
        <v>54600</v>
      </c>
      <c r="K164" s="483">
        <f t="shared" ref="K164:K169" si="15">J164*$C$90*$C$89/1000000</f>
        <v>126.99959957812365</v>
      </c>
    </row>
    <row r="165" spans="2:11">
      <c r="I165" s="433" t="s">
        <v>385</v>
      </c>
      <c r="J165" s="79">
        <v>100000</v>
      </c>
      <c r="K165" s="483">
        <f t="shared" si="15"/>
        <v>232.59999922733269</v>
      </c>
    </row>
    <row r="166" spans="2:11">
      <c r="I166" s="433" t="s">
        <v>381</v>
      </c>
      <c r="J166" s="79">
        <v>95300</v>
      </c>
      <c r="K166" s="483">
        <f t="shared" si="15"/>
        <v>221.66779926364802</v>
      </c>
    </row>
    <row r="167" spans="2:11">
      <c r="I167" s="433" t="s">
        <v>390</v>
      </c>
      <c r="J167" s="79">
        <v>112000</v>
      </c>
      <c r="K167" s="483">
        <f t="shared" si="15"/>
        <v>260.51199913461261</v>
      </c>
    </row>
    <row r="168" spans="2:11">
      <c r="I168" s="433" t="s">
        <v>431</v>
      </c>
      <c r="J168" s="79">
        <v>100000</v>
      </c>
      <c r="K168" s="483">
        <f t="shared" si="15"/>
        <v>232.59999922733269</v>
      </c>
    </row>
    <row r="169" spans="2:11" ht="13" thickBot="1">
      <c r="I169" s="440" t="s">
        <v>430</v>
      </c>
      <c r="J169" s="484">
        <v>54600</v>
      </c>
      <c r="K169" s="485">
        <f t="shared" si="15"/>
        <v>126.99959957812365</v>
      </c>
    </row>
    <row r="172" spans="2:11" ht="13.5" thickBot="1">
      <c r="I172" s="39" t="s">
        <v>1519</v>
      </c>
    </row>
    <row r="173" spans="2:11" ht="34.5">
      <c r="I173" s="426" t="s">
        <v>208</v>
      </c>
      <c r="J173" s="427" t="s">
        <v>210</v>
      </c>
      <c r="K173" s="481" t="s">
        <v>331</v>
      </c>
    </row>
    <row r="174" spans="2:11">
      <c r="I174" s="430" t="s">
        <v>212</v>
      </c>
      <c r="J174" s="28"/>
      <c r="K174" s="482"/>
    </row>
    <row r="175" spans="2:11">
      <c r="I175" s="433" t="s">
        <v>386</v>
      </c>
      <c r="J175" s="28">
        <v>1</v>
      </c>
      <c r="K175" s="486">
        <f>J175*$C$90*$C$89/1000000</f>
        <v>2.3259999922733269E-3</v>
      </c>
    </row>
    <row r="176" spans="2:11">
      <c r="I176" s="433" t="s">
        <v>387</v>
      </c>
      <c r="J176" s="28">
        <v>1</v>
      </c>
      <c r="K176" s="486">
        <f>J176*$C$90*$C$89/1000000</f>
        <v>2.3259999922733269E-3</v>
      </c>
    </row>
    <row r="177" spans="9:11">
      <c r="I177" s="433" t="s">
        <v>375</v>
      </c>
      <c r="J177" s="28">
        <v>3</v>
      </c>
      <c r="K177" s="486">
        <f>J177*$C$90*$C$89/1000000</f>
        <v>6.9779999768199794E-3</v>
      </c>
    </row>
    <row r="178" spans="9:11">
      <c r="I178" s="433" t="s">
        <v>374</v>
      </c>
      <c r="J178" s="28">
        <v>1</v>
      </c>
      <c r="K178" s="486">
        <f>J178*$C$90*$C$89/1000000</f>
        <v>2.3259999922733269E-3</v>
      </c>
    </row>
    <row r="179" spans="9:11">
      <c r="I179" s="433" t="s">
        <v>383</v>
      </c>
      <c r="J179" s="28"/>
      <c r="K179" s="486"/>
    </row>
    <row r="180" spans="9:11">
      <c r="I180" s="433" t="s">
        <v>388</v>
      </c>
      <c r="J180" s="28">
        <v>30</v>
      </c>
      <c r="K180" s="486">
        <f>J180*$C$90*$C$89/1000000</f>
        <v>6.9779999768199791E-2</v>
      </c>
    </row>
    <row r="181" spans="9:11">
      <c r="I181" s="433" t="s">
        <v>389</v>
      </c>
      <c r="J181" s="28"/>
      <c r="K181" s="486"/>
    </row>
    <row r="182" spans="9:11">
      <c r="I182" s="433" t="s">
        <v>384</v>
      </c>
      <c r="J182" s="28">
        <v>30</v>
      </c>
      <c r="K182" s="486">
        <f t="shared" ref="K182:K188" si="16">J182*$C$90*$C$89/1000000</f>
        <v>6.9779999768199791E-2</v>
      </c>
    </row>
    <row r="183" spans="9:11">
      <c r="I183" s="433" t="s">
        <v>377</v>
      </c>
      <c r="J183" s="28">
        <v>3</v>
      </c>
      <c r="K183" s="486">
        <f t="shared" si="16"/>
        <v>6.9779999768199794E-3</v>
      </c>
    </row>
    <row r="184" spans="9:11">
      <c r="I184" s="433" t="s">
        <v>376</v>
      </c>
      <c r="J184" s="28">
        <v>3</v>
      </c>
      <c r="K184" s="486">
        <f t="shared" si="16"/>
        <v>6.9779999768199794E-3</v>
      </c>
    </row>
    <row r="185" spans="9:11">
      <c r="I185" s="433" t="s">
        <v>378</v>
      </c>
      <c r="J185" s="28">
        <v>3</v>
      </c>
      <c r="K185" s="486">
        <f t="shared" si="16"/>
        <v>6.9779999768199794E-3</v>
      </c>
    </row>
    <row r="186" spans="9:11">
      <c r="I186" s="433" t="s">
        <v>379</v>
      </c>
      <c r="J186" s="28">
        <v>3</v>
      </c>
      <c r="K186" s="486">
        <f t="shared" si="16"/>
        <v>6.9779999768199794E-3</v>
      </c>
    </row>
    <row r="187" spans="9:11">
      <c r="I187" s="433" t="s">
        <v>380</v>
      </c>
      <c r="J187" s="28">
        <v>30</v>
      </c>
      <c r="K187" s="486">
        <f t="shared" si="16"/>
        <v>6.9779999768199791E-2</v>
      </c>
    </row>
    <row r="188" spans="9:11">
      <c r="I188" s="433" t="s">
        <v>429</v>
      </c>
      <c r="J188" s="28">
        <v>1</v>
      </c>
      <c r="K188" s="486">
        <f t="shared" si="16"/>
        <v>2.3259999922733269E-3</v>
      </c>
    </row>
    <row r="189" spans="9:11">
      <c r="I189" s="433"/>
      <c r="J189" s="28"/>
      <c r="K189" s="486"/>
    </row>
    <row r="190" spans="9:11">
      <c r="I190" s="430" t="s">
        <v>218</v>
      </c>
      <c r="J190" s="28"/>
      <c r="K190" s="486"/>
    </row>
    <row r="191" spans="9:11">
      <c r="I191" s="433" t="s">
        <v>382</v>
      </c>
      <c r="J191" s="28">
        <v>1</v>
      </c>
      <c r="K191" s="486">
        <f t="shared" ref="K191:K196" si="17">J191*$C$90*$C$89/1000000</f>
        <v>2.3259999922733269E-3</v>
      </c>
    </row>
    <row r="192" spans="9:11">
      <c r="I192" s="433" t="s">
        <v>385</v>
      </c>
      <c r="J192" s="28">
        <v>30</v>
      </c>
      <c r="K192" s="486">
        <f t="shared" si="17"/>
        <v>6.9779999768199791E-2</v>
      </c>
    </row>
    <row r="193" spans="9:11">
      <c r="I193" s="433" t="s">
        <v>381</v>
      </c>
      <c r="J193" s="28">
        <v>3</v>
      </c>
      <c r="K193" s="486">
        <f t="shared" si="17"/>
        <v>6.9779999768199794E-3</v>
      </c>
    </row>
    <row r="194" spans="9:11">
      <c r="I194" s="433" t="s">
        <v>390</v>
      </c>
      <c r="J194" s="28">
        <v>30</v>
      </c>
      <c r="K194" s="486">
        <f t="shared" si="17"/>
        <v>6.9779999768199791E-2</v>
      </c>
    </row>
    <row r="195" spans="9:11">
      <c r="I195" s="433" t="s">
        <v>431</v>
      </c>
      <c r="J195" s="28">
        <v>30</v>
      </c>
      <c r="K195" s="486">
        <f t="shared" si="17"/>
        <v>6.9779999768199791E-2</v>
      </c>
    </row>
    <row r="196" spans="9:11" ht="13" thickBot="1">
      <c r="I196" s="440" t="s">
        <v>430</v>
      </c>
      <c r="J196" s="487">
        <v>1</v>
      </c>
      <c r="K196" s="488">
        <f t="shared" si="17"/>
        <v>2.3259999922733269E-3</v>
      </c>
    </row>
    <row r="199" spans="9:11" ht="13.5" thickBot="1">
      <c r="I199" s="39" t="s">
        <v>1520</v>
      </c>
    </row>
    <row r="200" spans="9:11" ht="34.5">
      <c r="I200" s="426" t="s">
        <v>208</v>
      </c>
      <c r="J200" s="427" t="s">
        <v>1521</v>
      </c>
      <c r="K200" s="481" t="s">
        <v>1510</v>
      </c>
    </row>
    <row r="201" spans="9:11">
      <c r="I201" s="430" t="s">
        <v>212</v>
      </c>
      <c r="J201" s="28"/>
      <c r="K201" s="482"/>
    </row>
    <row r="202" spans="9:11">
      <c r="I202" s="433" t="s">
        <v>386</v>
      </c>
      <c r="J202" s="28">
        <v>1.5</v>
      </c>
      <c r="K202" s="486">
        <f>J202*$C$90*$C$89/1000000</f>
        <v>3.4889999884099897E-3</v>
      </c>
    </row>
    <row r="203" spans="9:11">
      <c r="I203" s="433" t="s">
        <v>387</v>
      </c>
      <c r="J203" s="28">
        <v>1.5</v>
      </c>
      <c r="K203" s="486">
        <f>J203*$C$90*$C$89/1000000</f>
        <v>3.4889999884099897E-3</v>
      </c>
    </row>
    <row r="204" spans="9:11">
      <c r="I204" s="433" t="s">
        <v>375</v>
      </c>
      <c r="J204" s="28">
        <v>0.6</v>
      </c>
      <c r="K204" s="486">
        <f>J204*$C$90*$C$89/1000000</f>
        <v>1.3955999953639961E-3</v>
      </c>
    </row>
    <row r="205" spans="9:11">
      <c r="I205" s="433" t="s">
        <v>374</v>
      </c>
      <c r="J205" s="28">
        <v>0.1</v>
      </c>
      <c r="K205" s="486">
        <f>J205*$C$90*$C$89/1000000</f>
        <v>2.3259999922733269E-4</v>
      </c>
    </row>
    <row r="206" spans="9:11">
      <c r="I206" s="433" t="s">
        <v>383</v>
      </c>
      <c r="J206" s="28"/>
      <c r="K206" s="486"/>
    </row>
    <row r="207" spans="9:11">
      <c r="I207" s="433" t="s">
        <v>388</v>
      </c>
      <c r="J207" s="28">
        <v>4</v>
      </c>
      <c r="K207" s="486">
        <f>J207*$C$90*$C$89/1000000</f>
        <v>9.3039999690933076E-3</v>
      </c>
    </row>
    <row r="208" spans="9:11">
      <c r="I208" s="433" t="s">
        <v>389</v>
      </c>
      <c r="J208" s="28"/>
      <c r="K208" s="486"/>
    </row>
    <row r="209" spans="9:11">
      <c r="I209" s="433" t="s">
        <v>384</v>
      </c>
      <c r="J209" s="28">
        <v>4</v>
      </c>
      <c r="K209" s="486">
        <f t="shared" ref="K209:K215" si="18">J209*$C$90*$C$89/1000000</f>
        <v>9.3039999690933076E-3</v>
      </c>
    </row>
    <row r="210" spans="9:11">
      <c r="I210" s="433" t="s">
        <v>377</v>
      </c>
      <c r="J210" s="28">
        <v>0.6</v>
      </c>
      <c r="K210" s="486">
        <f t="shared" si="18"/>
        <v>1.3955999953639961E-3</v>
      </c>
    </row>
    <row r="211" spans="9:11">
      <c r="I211" s="433" t="s">
        <v>376</v>
      </c>
      <c r="J211" s="28">
        <v>0.6</v>
      </c>
      <c r="K211" s="486">
        <f t="shared" si="18"/>
        <v>1.3955999953639961E-3</v>
      </c>
    </row>
    <row r="212" spans="9:11">
      <c r="I212" s="433" t="s">
        <v>378</v>
      </c>
      <c r="J212" s="28">
        <v>0.6</v>
      </c>
      <c r="K212" s="486">
        <f t="shared" si="18"/>
        <v>1.3955999953639961E-3</v>
      </c>
    </row>
    <row r="213" spans="9:11">
      <c r="I213" s="433" t="s">
        <v>379</v>
      </c>
      <c r="J213" s="28">
        <v>0.6</v>
      </c>
      <c r="K213" s="486">
        <f t="shared" si="18"/>
        <v>1.3955999953639961E-3</v>
      </c>
    </row>
    <row r="214" spans="9:11">
      <c r="I214" s="433" t="s">
        <v>380</v>
      </c>
      <c r="J214" s="28">
        <v>4</v>
      </c>
      <c r="K214" s="486">
        <f t="shared" si="18"/>
        <v>9.3039999690933076E-3</v>
      </c>
    </row>
    <row r="215" spans="9:11">
      <c r="I215" s="433" t="s">
        <v>429</v>
      </c>
      <c r="J215" s="28">
        <v>0.1</v>
      </c>
      <c r="K215" s="486">
        <f t="shared" si="18"/>
        <v>2.3259999922733269E-4</v>
      </c>
    </row>
    <row r="216" spans="9:11">
      <c r="I216" s="433"/>
      <c r="J216" s="28"/>
      <c r="K216" s="486"/>
    </row>
    <row r="217" spans="9:11">
      <c r="I217" s="430" t="s">
        <v>218</v>
      </c>
      <c r="J217" s="28"/>
      <c r="K217" s="486"/>
    </row>
    <row r="218" spans="9:11">
      <c r="I218" s="433" t="s">
        <v>382</v>
      </c>
      <c r="J218" s="28">
        <v>0.1</v>
      </c>
      <c r="K218" s="486">
        <f t="shared" ref="K218:K223" si="19">J218*$C$90*$C$89/1000000</f>
        <v>2.3259999922733269E-4</v>
      </c>
    </row>
    <row r="219" spans="9:11">
      <c r="I219" s="433" t="s">
        <v>385</v>
      </c>
      <c r="J219" s="28">
        <v>4</v>
      </c>
      <c r="K219" s="486">
        <f t="shared" si="19"/>
        <v>9.3039999690933076E-3</v>
      </c>
    </row>
    <row r="220" spans="9:11">
      <c r="I220" s="433" t="s">
        <v>381</v>
      </c>
      <c r="J220" s="28">
        <v>2</v>
      </c>
      <c r="K220" s="486">
        <f t="shared" si="19"/>
        <v>4.6519999845466538E-3</v>
      </c>
    </row>
    <row r="221" spans="9:11">
      <c r="I221" s="433" t="s">
        <v>390</v>
      </c>
      <c r="J221" s="28">
        <v>4</v>
      </c>
      <c r="K221" s="486">
        <f t="shared" si="19"/>
        <v>9.3039999690933076E-3</v>
      </c>
    </row>
    <row r="222" spans="9:11">
      <c r="I222" s="433" t="s">
        <v>431</v>
      </c>
      <c r="J222" s="28">
        <v>4</v>
      </c>
      <c r="K222" s="486">
        <f t="shared" si="19"/>
        <v>9.3039999690933076E-3</v>
      </c>
    </row>
    <row r="223" spans="9:11" ht="13" thickBot="1">
      <c r="I223" s="440" t="s">
        <v>430</v>
      </c>
      <c r="J223" s="487">
        <v>0.1</v>
      </c>
      <c r="K223" s="488">
        <f t="shared" si="19"/>
        <v>2.3259999922733269E-4</v>
      </c>
    </row>
  </sheetData>
  <mergeCells count="6">
    <mergeCell ref="C4:F8"/>
    <mergeCell ref="B27:G31"/>
    <mergeCell ref="H114:L114"/>
    <mergeCell ref="H134:L134"/>
    <mergeCell ref="B38:G41"/>
    <mergeCell ref="G107:L109"/>
  </mergeCells>
  <dataValidations count="1">
    <dataValidation type="list" allowBlank="1" showInputMessage="1" showErrorMessage="1" sqref="C11" xr:uid="{00000000-0002-0000-0900-000000000000}">
      <formula1>$C$14:$C$19</formula1>
    </dataValidation>
  </dataValidations>
  <hyperlinks>
    <hyperlink ref="N92" r:id="rId1" xr:uid="{00000000-0004-0000-0900-000000000000}"/>
    <hyperlink ref="E92" r:id="rId2" xr:uid="{00000000-0004-0000-0900-000001000000}"/>
    <hyperlink ref="E91" r:id="rId3" xr:uid="{00000000-0004-0000-0900-000002000000}"/>
    <hyperlink ref="I112" r:id="rId4" xr:uid="{00000000-0004-0000-0900-000003000000}"/>
    <hyperlink ref="D36" r:id="rId5" display="https://www.epa.gov/sites/production/files/2015-07/documents/catalog_of_chp_technologies_section_6._technology_characterization_-_fuel_cells.pdf" xr:uid="{00000000-0004-0000-0900-000004000000}"/>
    <hyperlink ref="H88" r:id="rId6" location="h-216" display="https://www.federalregister.gov/documents/2024/05/14/2024-08988/greenhouse-gas-reporting-rule-revisions-and-confidentiality-determinations-for-petroleum-and-natural - h-216" xr:uid="{842169E8-ADEF-4EC8-9BC5-DB942B1C3CF2}"/>
    <hyperlink ref="E90" r:id="rId7" xr:uid="{61A7EFA1-C877-48CF-853D-D8D2309C68D0}"/>
    <hyperlink ref="N89" r:id="rId8" xr:uid="{E4805808-D98F-4E81-A199-A03D7ACFF527}"/>
  </hyperlinks>
  <pageMargins left="0.7" right="0.7" top="0.75" bottom="0.75" header="0.3" footer="0.3"/>
  <pageSetup scale="34" fitToHeight="0" orientation="landscape"/>
  <drawing r:id="rId9"/>
  <legacyDrawing r:id="rId1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115"/>
  <sheetViews>
    <sheetView zoomScaleNormal="100" workbookViewId="0"/>
  </sheetViews>
  <sheetFormatPr defaultColWidth="9.1796875" defaultRowHeight="12.5"/>
  <cols>
    <col min="1" max="1" width="29.453125" style="20" customWidth="1"/>
    <col min="2" max="2" width="38.1796875" style="20" customWidth="1"/>
    <col min="3" max="3" width="35.54296875" style="20" customWidth="1"/>
    <col min="4" max="4" width="31.453125" style="20" customWidth="1"/>
    <col min="5" max="5" width="24.1796875" style="20" customWidth="1"/>
    <col min="6" max="6" width="24.453125" style="20" customWidth="1"/>
    <col min="7" max="7" width="2.1796875" style="20" customWidth="1"/>
    <col min="8" max="8" width="21.54296875" style="20" customWidth="1"/>
    <col min="9" max="9" width="23.453125" style="20" customWidth="1"/>
    <col min="10" max="10" width="15.7265625" style="20" bestFit="1" customWidth="1"/>
    <col min="11" max="16384" width="9.1796875" style="20"/>
  </cols>
  <sheetData>
    <row r="1" spans="1:11" ht="20.25" customHeight="1">
      <c r="A1" s="103" t="s">
        <v>2706</v>
      </c>
    </row>
    <row r="2" spans="1:11" ht="13">
      <c r="A2" s="20" t="s">
        <v>2626</v>
      </c>
    </row>
    <row r="3" spans="1:11" ht="13">
      <c r="A3" s="20" t="s">
        <v>2627</v>
      </c>
      <c r="H3" s="25"/>
    </row>
    <row r="4" spans="1:11" ht="13">
      <c r="A4" s="20" t="s">
        <v>2658</v>
      </c>
    </row>
    <row r="5" spans="1:11" ht="13">
      <c r="A5" s="39" t="s">
        <v>3996</v>
      </c>
    </row>
    <row r="6" spans="1:11">
      <c r="A6" s="20" t="s">
        <v>2708</v>
      </c>
    </row>
    <row r="8" spans="1:11" ht="20.25" customHeight="1">
      <c r="A8" s="178"/>
      <c r="H8" s="208" t="s">
        <v>2628</v>
      </c>
    </row>
    <row r="9" spans="1:11" ht="65">
      <c r="A9" s="208" t="s">
        <v>2552</v>
      </c>
      <c r="B9" s="209" t="s">
        <v>2546</v>
      </c>
      <c r="C9" s="198" t="s">
        <v>2530</v>
      </c>
      <c r="D9" s="198" t="s">
        <v>2518</v>
      </c>
      <c r="E9" s="198" t="s">
        <v>2580</v>
      </c>
      <c r="F9" s="199" t="s">
        <v>2545</v>
      </c>
      <c r="G9" s="193"/>
      <c r="H9" s="239" t="s">
        <v>2629</v>
      </c>
      <c r="I9" s="241" t="s">
        <v>2656</v>
      </c>
    </row>
    <row r="10" spans="1:11" ht="45" customHeight="1">
      <c r="B10" s="209" t="s">
        <v>2520</v>
      </c>
      <c r="C10" s="200" t="s">
        <v>2539</v>
      </c>
      <c r="D10" s="182" t="s">
        <v>2540</v>
      </c>
      <c r="E10" s="182" t="s">
        <v>2630</v>
      </c>
      <c r="F10" s="186" t="s">
        <v>2630</v>
      </c>
      <c r="H10" s="240" t="s">
        <v>2538</v>
      </c>
      <c r="I10" s="250" t="s">
        <v>2657</v>
      </c>
    </row>
    <row r="11" spans="1:11" ht="55.5" customHeight="1">
      <c r="B11" s="210" t="s">
        <v>2703</v>
      </c>
      <c r="C11" s="748" t="s">
        <v>3997</v>
      </c>
      <c r="D11" s="183" t="s">
        <v>2710</v>
      </c>
      <c r="E11" s="183" t="s">
        <v>2542</v>
      </c>
      <c r="F11" s="184" t="s">
        <v>2541</v>
      </c>
      <c r="G11" s="187"/>
      <c r="H11" s="240" t="s">
        <v>2543</v>
      </c>
      <c r="I11" s="242" t="s">
        <v>2578</v>
      </c>
    </row>
    <row r="12" spans="1:11" ht="30.75" customHeight="1">
      <c r="B12" s="211" t="s">
        <v>2521</v>
      </c>
      <c r="C12" s="683" t="s">
        <v>3943</v>
      </c>
      <c r="D12" s="187" t="s">
        <v>2565</v>
      </c>
      <c r="E12" s="187" t="s">
        <v>2564</v>
      </c>
      <c r="F12" s="188" t="s">
        <v>2564</v>
      </c>
      <c r="G12" s="187"/>
      <c r="H12" s="235" t="s">
        <v>2530</v>
      </c>
      <c r="I12" s="411" t="s">
        <v>2528</v>
      </c>
      <c r="J12" s="117"/>
      <c r="K12" s="117"/>
    </row>
    <row r="13" spans="1:11" ht="38">
      <c r="B13" s="211" t="s">
        <v>2544</v>
      </c>
      <c r="C13" s="187" t="s">
        <v>2562</v>
      </c>
      <c r="D13" s="187" t="s">
        <v>2563</v>
      </c>
      <c r="E13" s="187" t="s">
        <v>2566</v>
      </c>
      <c r="F13" s="188" t="s">
        <v>2670</v>
      </c>
      <c r="G13" s="187"/>
      <c r="H13" s="240" t="s">
        <v>2531</v>
      </c>
      <c r="I13" s="242" t="s">
        <v>2547</v>
      </c>
    </row>
    <row r="14" spans="1:11" ht="21.75" customHeight="1">
      <c r="B14" s="210" t="s">
        <v>2524</v>
      </c>
      <c r="C14" s="237" t="s">
        <v>2533</v>
      </c>
      <c r="D14" s="243" t="s">
        <v>2534</v>
      </c>
      <c r="E14" s="243" t="s">
        <v>2534</v>
      </c>
      <c r="F14" s="244" t="s">
        <v>2534</v>
      </c>
      <c r="G14" s="187"/>
      <c r="H14" s="236" t="s">
        <v>2532</v>
      </c>
      <c r="I14" s="412" t="s">
        <v>2532</v>
      </c>
    </row>
    <row r="15" spans="1:11">
      <c r="I15" s="196"/>
    </row>
    <row r="16" spans="1:11" ht="13">
      <c r="A16" s="413"/>
      <c r="B16" s="179"/>
      <c r="C16" s="169"/>
      <c r="D16" s="169"/>
      <c r="E16" s="169"/>
      <c r="F16" s="169"/>
      <c r="G16" s="178"/>
      <c r="H16" s="169"/>
      <c r="I16" s="169"/>
    </row>
    <row r="17" spans="1:13" ht="13">
      <c r="A17" s="39" t="s">
        <v>223</v>
      </c>
      <c r="B17" s="178" t="s">
        <v>211</v>
      </c>
      <c r="C17" s="189">
        <f>'Generation CO2e'!B39</f>
        <v>22397935779.161583</v>
      </c>
      <c r="D17" s="189">
        <f>'GIS CO2e'!B35</f>
        <v>75237209.823610678</v>
      </c>
      <c r="E17" s="189">
        <f>'GIS CO2e'!B291</f>
        <v>2169182182.2232561</v>
      </c>
      <c r="F17" s="189">
        <f>'GIS CO2e'!B175</f>
        <v>1150501.1683563523</v>
      </c>
      <c r="G17" s="195"/>
      <c r="H17" s="206">
        <f>C17/C54</f>
        <v>533.36037955806978</v>
      </c>
      <c r="I17" s="204">
        <f>IF(E17+F17&gt;C17,0,(C17-E17-F17)/(C54-E55-F56))</f>
        <v>760.27997764707334</v>
      </c>
    </row>
    <row r="18" spans="1:13" ht="13">
      <c r="A18" s="178"/>
      <c r="B18" s="39" t="s">
        <v>217</v>
      </c>
      <c r="C18" s="189">
        <f>'Generation CO2e'!B54</f>
        <v>1879436822.9491992</v>
      </c>
      <c r="D18" s="189">
        <f>'GIS CO2e'!B42</f>
        <v>4444921477.9814262</v>
      </c>
      <c r="E18" s="189">
        <f>'GIS CO2e'!B298</f>
        <v>1870779864.8147016</v>
      </c>
      <c r="F18" s="189">
        <f>'GIS CO2e'!B182</f>
        <v>25486405.663319081</v>
      </c>
      <c r="G18" s="195"/>
      <c r="H18" s="206">
        <f>C18/C54</f>
        <v>44.754889340124762</v>
      </c>
      <c r="I18" s="204">
        <f>IF(E18+F18&gt;C18,0,(C18-E18-F18)/(C54-E55-F56))</f>
        <v>0</v>
      </c>
      <c r="M18" s="177"/>
    </row>
    <row r="19" spans="1:13" ht="13">
      <c r="A19" s="172"/>
      <c r="B19" s="413"/>
      <c r="C19" s="190"/>
      <c r="D19" s="190"/>
      <c r="E19" s="190"/>
      <c r="F19" s="190"/>
      <c r="G19" s="195"/>
      <c r="H19" s="207"/>
      <c r="I19" s="205"/>
      <c r="M19" s="117"/>
    </row>
    <row r="20" spans="1:13" ht="13">
      <c r="A20" s="178" t="s">
        <v>203</v>
      </c>
      <c r="B20" s="178" t="s">
        <v>211</v>
      </c>
      <c r="C20" s="189">
        <f>'Generation CO2e'!B9</f>
        <v>17579025305.022121</v>
      </c>
      <c r="D20" s="189">
        <f>'GIS CO2e'!B17</f>
        <v>-135979589.44127262</v>
      </c>
      <c r="E20" s="189">
        <f>'GIS CO2e'!B315</f>
        <v>3394660776.111073</v>
      </c>
      <c r="F20" s="189">
        <f>'GIS CO2e'!B193</f>
        <v>154113187.10316309</v>
      </c>
      <c r="G20" s="195"/>
      <c r="H20" s="206">
        <f>C20/C59</f>
        <v>772.80631753735088</v>
      </c>
      <c r="I20" s="204">
        <f>IF(E20+F20&gt;C20,0,(C20-E20-F20)/(C59-E60-F61))</f>
        <v>741.15666660897512</v>
      </c>
      <c r="M20" s="117"/>
    </row>
    <row r="21" spans="1:13" ht="13">
      <c r="A21" s="39"/>
      <c r="B21" s="39" t="s">
        <v>217</v>
      </c>
      <c r="C21" s="189">
        <f>'Generation CO2e'!B24</f>
        <v>3138119574.3445921</v>
      </c>
      <c r="D21" s="189">
        <f>'GIS CO2e'!B24</f>
        <v>78435007.221190855</v>
      </c>
      <c r="E21" s="189">
        <f>'GIS CO2e'!B322</f>
        <v>2804479165.7365947</v>
      </c>
      <c r="F21" s="189">
        <f>'GIS CO2e'!B200</f>
        <v>384122525.73638827</v>
      </c>
      <c r="G21" s="195"/>
      <c r="H21" s="206">
        <f>C21/C59</f>
        <v>137.95751414888082</v>
      </c>
      <c r="I21" s="204">
        <f>IF(E21+F21&gt;C21,0,(C21-E21-F21)/(C59-E60-F61))</f>
        <v>0</v>
      </c>
      <c r="M21" s="117"/>
    </row>
    <row r="22" spans="1:13" ht="13">
      <c r="A22" s="169"/>
      <c r="B22" s="413"/>
      <c r="C22" s="190"/>
      <c r="D22" s="190"/>
      <c r="E22" s="190"/>
      <c r="F22" s="190"/>
      <c r="G22" s="195"/>
      <c r="H22" s="207"/>
      <c r="I22" s="205"/>
      <c r="M22" s="117"/>
    </row>
    <row r="23" spans="1:13" ht="13">
      <c r="A23" s="39" t="s">
        <v>219</v>
      </c>
      <c r="B23" s="178" t="s">
        <v>211</v>
      </c>
      <c r="C23" s="189">
        <f>'Generation CO2e'!B69</f>
        <v>3735800482.0877094</v>
      </c>
      <c r="D23" s="189">
        <f>'GIS CO2e'!B53</f>
        <v>306199107.17035633</v>
      </c>
      <c r="E23" s="189">
        <f>'GIS CO2e'!B339</f>
        <v>282511828.55542707</v>
      </c>
      <c r="F23" s="189">
        <f>'GIS CO2e'!B211</f>
        <v>38847592.821810365</v>
      </c>
      <c r="G23" s="195"/>
      <c r="H23" s="206">
        <f>C23/C64</f>
        <v>338.72522278426959</v>
      </c>
      <c r="I23" s="204">
        <f>IF(E23+F23&gt;C23,0,(C23-E23-F23)/(C64-E65-F66))</f>
        <v>668.95495084393656</v>
      </c>
      <c r="M23" s="117"/>
    </row>
    <row r="24" spans="1:13" ht="13">
      <c r="A24" s="178"/>
      <c r="B24" s="39" t="s">
        <v>217</v>
      </c>
      <c r="C24" s="189">
        <f>'Generation CO2e'!B84</f>
        <v>2386330305.556684</v>
      </c>
      <c r="D24" s="189">
        <f>'GIS CO2e'!B61</f>
        <v>-1446311299.438683</v>
      </c>
      <c r="E24" s="189">
        <f>'GIS CO2e'!B347</f>
        <v>288178873.64839685</v>
      </c>
      <c r="F24" s="189">
        <f>'GIS CO2e'!B219</f>
        <v>1764494189.2145092</v>
      </c>
      <c r="G24" s="195"/>
      <c r="H24" s="206">
        <f>C24/C64</f>
        <v>216.36869213497906</v>
      </c>
      <c r="I24" s="204">
        <f>IF(E24+F24&gt;C24,0,(C24-E24-F24)/(C64-E65-F66))</f>
        <v>65.369898152084673</v>
      </c>
    </row>
    <row r="25" spans="1:13" ht="13">
      <c r="A25" s="172"/>
      <c r="B25" s="413"/>
      <c r="C25" s="190"/>
      <c r="D25" s="190"/>
      <c r="E25" s="190"/>
      <c r="F25" s="190"/>
      <c r="G25" s="195"/>
      <c r="H25" s="207"/>
      <c r="I25" s="205"/>
    </row>
    <row r="26" spans="1:13" ht="13">
      <c r="A26" s="178" t="s">
        <v>220</v>
      </c>
      <c r="B26" s="178" t="s">
        <v>211</v>
      </c>
      <c r="C26" s="189">
        <f>'Generation CO2e'!B99</f>
        <v>5457956417.0250301</v>
      </c>
      <c r="D26" s="189">
        <f>'GIS CO2e'!B73</f>
        <v>-201111135.03666008</v>
      </c>
      <c r="E26" s="189">
        <f>'GIS CO2e'!B363</f>
        <v>19318855.15273533</v>
      </c>
      <c r="F26" s="189">
        <f>'GIS CO2e'!B229</f>
        <v>202628709.55702949</v>
      </c>
      <c r="G26" s="195"/>
      <c r="H26" s="206">
        <f>C26/C69</f>
        <v>285.65219118778617</v>
      </c>
      <c r="I26" s="204">
        <f>IF(E26+F26&gt;C26,0,(C26-E26-F26)/(C69-E70-F71))</f>
        <v>849.11703205156198</v>
      </c>
    </row>
    <row r="27" spans="1:13" ht="13">
      <c r="A27" s="39"/>
      <c r="B27" s="39" t="s">
        <v>217</v>
      </c>
      <c r="C27" s="189">
        <f>'Generation CO2e'!B114</f>
        <v>2359475479.4383144</v>
      </c>
      <c r="D27" s="189">
        <f>'GIS CO2e'!B80</f>
        <v>-816849402.91558886</v>
      </c>
      <c r="E27" s="189">
        <f>'GIS CO2e'!B370</f>
        <v>1446945090.6644185</v>
      </c>
      <c r="F27" s="189">
        <f>'GIS CO2e'!B236</f>
        <v>888057990.7935586</v>
      </c>
      <c r="G27" s="195"/>
      <c r="H27" s="206">
        <f>C27/C69</f>
        <v>123.48749041912987</v>
      </c>
      <c r="I27" s="204">
        <f>IF(E27+F27&gt;C27,0,(C27-E27-F27)/(C69-E70-F71))</f>
        <v>3.9686582903808922</v>
      </c>
    </row>
    <row r="28" spans="1:13" ht="13">
      <c r="A28" s="169"/>
      <c r="B28" s="413"/>
      <c r="C28" s="190"/>
      <c r="D28" s="190"/>
      <c r="E28" s="190"/>
      <c r="F28" s="190"/>
      <c r="G28" s="195"/>
      <c r="H28" s="207"/>
      <c r="I28" s="205"/>
    </row>
    <row r="29" spans="1:13" ht="13">
      <c r="A29" s="39" t="s">
        <v>222</v>
      </c>
      <c r="B29" s="178" t="s">
        <v>211</v>
      </c>
      <c r="C29" s="189">
        <f>'Generation CO2e'!B159</f>
        <v>6146120939.7004986</v>
      </c>
      <c r="D29" s="189">
        <f>'GIS CO2e'!B110</f>
        <v>4695581.3869127519</v>
      </c>
      <c r="E29" s="189">
        <f>'GIS CO2e'!B387</f>
        <v>1157494.8357242735</v>
      </c>
      <c r="F29" s="189">
        <f>'GIS CO2e'!B247</f>
        <v>106156.8055069258</v>
      </c>
      <c r="G29" s="195"/>
      <c r="H29" s="206">
        <f>C29/C74</f>
        <v>795.09973346707613</v>
      </c>
      <c r="I29" s="204">
        <f>IF(E29+F29&gt;C29,0,(C29-E29-F29)/(C74-E75-F76))</f>
        <v>875.8764188863679</v>
      </c>
    </row>
    <row r="30" spans="1:13" ht="13">
      <c r="A30" s="178"/>
      <c r="B30" s="39" t="s">
        <v>217</v>
      </c>
      <c r="C30" s="189">
        <f>'Generation CO2e'!B174</f>
        <v>246592790.58464199</v>
      </c>
      <c r="D30" s="189">
        <f>'GIS CO2e'!B117</f>
        <v>343749684.09173429</v>
      </c>
      <c r="E30" s="189">
        <f>'GIS CO2e'!B394</f>
        <v>225109270.54666063</v>
      </c>
      <c r="F30" s="189">
        <f>'GIS CO2e'!B254</f>
        <v>20645345.718778018</v>
      </c>
      <c r="G30" s="195"/>
      <c r="H30" s="206">
        <f>C30/C74</f>
        <v>31.900749105387064</v>
      </c>
      <c r="I30" s="204">
        <f>IF(E30+F30&gt;C30,0,(C30-E30-F30)/(C74-E75-F76))</f>
        <v>0.11947179351633185</v>
      </c>
    </row>
    <row r="31" spans="1:13" ht="13">
      <c r="A31" s="172"/>
      <c r="B31" s="413"/>
      <c r="C31" s="190"/>
      <c r="D31" s="190"/>
      <c r="E31" s="190"/>
      <c r="F31" s="190"/>
      <c r="G31" s="195"/>
      <c r="H31" s="207"/>
      <c r="I31" s="205"/>
    </row>
    <row r="32" spans="1:13" ht="13">
      <c r="A32" s="178" t="s">
        <v>221</v>
      </c>
      <c r="B32" s="178" t="s">
        <v>211</v>
      </c>
      <c r="C32" s="189">
        <f>'Generation CO2e'!B189</f>
        <v>33983902.347015947</v>
      </c>
      <c r="D32" s="189">
        <f>'GIS CO2e'!B128</f>
        <v>5957364.2806052119</v>
      </c>
      <c r="E32" s="189">
        <f>'GIS CO2e'!B411</f>
        <v>42735.537922072501</v>
      </c>
      <c r="F32" s="189">
        <f>'GIS CO2e'!B265</f>
        <v>15327497.618203437</v>
      </c>
      <c r="G32" s="195"/>
      <c r="H32" s="206">
        <f>C32/C79</f>
        <v>15.57981572986743</v>
      </c>
      <c r="I32" s="204">
        <f>IF(E32+F32&gt;C32,0,(C32-E32-F32)/(C79-E80-F81))</f>
        <v>59.997730627508787</v>
      </c>
    </row>
    <row r="33" spans="1:9" ht="13">
      <c r="A33" s="178"/>
      <c r="B33" s="39" t="s">
        <v>217</v>
      </c>
      <c r="C33" s="189">
        <f>'Generation CO2e'!B204</f>
        <v>1186485573.8615854</v>
      </c>
      <c r="D33" s="189">
        <f>'GIS CO2e'!B135</f>
        <v>-1155475083.9008582</v>
      </c>
      <c r="E33" s="189">
        <f>'GIS CO2e'!B418</f>
        <v>8311195.4119754806</v>
      </c>
      <c r="F33" s="189">
        <f>'GIS CO2e'!B272</f>
        <v>1188092492.0023644</v>
      </c>
      <c r="G33" s="195"/>
      <c r="H33" s="206">
        <f>C33/C79</f>
        <v>543.94066985461018</v>
      </c>
      <c r="I33" s="204">
        <f>IF(E33+F33&gt;C33,0,(C33-E33-F33)/(C79-E80-F81))</f>
        <v>0</v>
      </c>
    </row>
    <row r="34" spans="1:9" ht="13">
      <c r="A34" s="172"/>
      <c r="B34" s="413"/>
      <c r="C34" s="414"/>
      <c r="D34" s="414"/>
      <c r="E34" s="414"/>
      <c r="F34" s="414"/>
      <c r="G34" s="116"/>
      <c r="H34" s="415"/>
      <c r="I34" s="415"/>
    </row>
    <row r="35" spans="1:9" ht="13">
      <c r="A35" s="178" t="s">
        <v>224</v>
      </c>
      <c r="B35" s="178" t="s">
        <v>211</v>
      </c>
      <c r="C35" s="189">
        <f>'Generation CO2e'!B129</f>
        <v>62176629769.065964</v>
      </c>
      <c r="D35" s="189">
        <f>'GIS CO2e'!B91</f>
        <v>-18202237.481890295</v>
      </c>
      <c r="E35" s="189"/>
      <c r="F35" s="189"/>
      <c r="G35" s="195"/>
      <c r="H35" s="204">
        <f>C35/C84</f>
        <v>509.29445137058087</v>
      </c>
      <c r="I35" s="202"/>
    </row>
    <row r="36" spans="1:9" ht="13">
      <c r="A36" s="178"/>
      <c r="B36" s="39" t="s">
        <v>217</v>
      </c>
      <c r="C36" s="189">
        <f>'Generation CO2e'!B144</f>
        <v>2331316441.5976491</v>
      </c>
      <c r="D36" s="189">
        <f>'GIS CO2e'!B98</f>
        <v>-671709024.3627789</v>
      </c>
      <c r="E36" s="189"/>
      <c r="F36" s="189"/>
      <c r="G36" s="195"/>
      <c r="H36" s="204">
        <f>C36/C84</f>
        <v>19.096025830036332</v>
      </c>
      <c r="I36" s="202"/>
    </row>
    <row r="37" spans="1:9" ht="13">
      <c r="A37" s="413"/>
      <c r="B37" s="413"/>
      <c r="C37" s="190"/>
      <c r="D37" s="190"/>
      <c r="E37" s="190"/>
      <c r="F37" s="190"/>
      <c r="G37" s="195"/>
      <c r="H37" s="205"/>
      <c r="I37" s="203"/>
    </row>
    <row r="38" spans="1:9" ht="13">
      <c r="A38" s="178" t="s">
        <v>226</v>
      </c>
      <c r="B38" s="178" t="s">
        <v>211</v>
      </c>
      <c r="C38" s="189">
        <f>'Generation CO2e'!B229</f>
        <v>8796444253.8000011</v>
      </c>
      <c r="D38" s="189">
        <f>'GIS CO2e'!B160</f>
        <v>0</v>
      </c>
      <c r="E38" s="189"/>
      <c r="F38" s="189"/>
      <c r="G38" s="195"/>
      <c r="H38" s="204">
        <f>C38/C89</f>
        <v>738.84030388690508</v>
      </c>
      <c r="I38" s="202"/>
    </row>
    <row r="39" spans="1:9" ht="13">
      <c r="A39" s="178"/>
      <c r="B39" s="39" t="s">
        <v>217</v>
      </c>
      <c r="C39" s="189">
        <f>'Generation CO2e'!B230</f>
        <v>0</v>
      </c>
      <c r="D39" s="189">
        <f>'GIS CO2e'!B161</f>
        <v>0</v>
      </c>
      <c r="E39" s="189"/>
      <c r="F39" s="189"/>
      <c r="G39" s="195"/>
      <c r="H39" s="204">
        <f>C39/C89</f>
        <v>0</v>
      </c>
      <c r="I39" s="202"/>
    </row>
    <row r="40" spans="1:9" ht="13">
      <c r="A40" s="413"/>
      <c r="B40" s="413"/>
      <c r="C40" s="190"/>
      <c r="D40" s="190"/>
      <c r="E40" s="190"/>
      <c r="F40" s="190"/>
      <c r="G40" s="195"/>
      <c r="H40" s="205"/>
      <c r="I40" s="203"/>
    </row>
    <row r="41" spans="1:9" ht="13">
      <c r="A41" s="178" t="s">
        <v>225</v>
      </c>
      <c r="B41" s="178" t="s">
        <v>211</v>
      </c>
      <c r="C41" s="189">
        <f>'Generation CO2e'!B219</f>
        <v>507063202.60000002</v>
      </c>
      <c r="D41" s="189">
        <f>'GIS CO2e'!B148</f>
        <v>-11919475.703179957</v>
      </c>
      <c r="E41" s="189"/>
      <c r="F41" s="189"/>
      <c r="G41" s="195"/>
      <c r="H41" s="204">
        <f>C41/C94</f>
        <v>2.5790402227484042</v>
      </c>
      <c r="I41" s="202"/>
    </row>
    <row r="42" spans="1:9" ht="13">
      <c r="A42" s="178"/>
      <c r="B42" s="39" t="s">
        <v>217</v>
      </c>
      <c r="C42" s="189">
        <f>'Generation CO2e'!B220</f>
        <v>2488447404.0873065</v>
      </c>
      <c r="D42" s="189">
        <f>'GIS CO2e'!B151</f>
        <v>-487220579.49410975</v>
      </c>
      <c r="E42" s="189"/>
      <c r="F42" s="189"/>
      <c r="G42" s="195"/>
      <c r="H42" s="204">
        <f>C42/C94</f>
        <v>12.656816575186864</v>
      </c>
      <c r="I42" s="202"/>
    </row>
    <row r="43" spans="1:9">
      <c r="A43" s="413"/>
      <c r="B43" s="413"/>
      <c r="C43" s="416"/>
      <c r="D43" s="416"/>
      <c r="E43" s="416"/>
      <c r="F43" s="416"/>
      <c r="G43" s="116"/>
      <c r="H43" s="416"/>
      <c r="I43" s="416"/>
    </row>
    <row r="44" spans="1:9">
      <c r="C44" s="116"/>
      <c r="D44" s="116"/>
      <c r="E44" s="116"/>
      <c r="F44" s="116"/>
      <c r="G44" s="116"/>
      <c r="H44" s="116"/>
      <c r="I44" s="116"/>
    </row>
    <row r="45" spans="1:9" ht="14.25" customHeight="1"/>
    <row r="46" spans="1:9" ht="26">
      <c r="A46" s="246" t="s">
        <v>2537</v>
      </c>
      <c r="B46" s="212" t="s">
        <v>2583</v>
      </c>
      <c r="C46" s="185" t="s">
        <v>2519</v>
      </c>
      <c r="D46" s="185" t="s">
        <v>2574</v>
      </c>
      <c r="E46" s="185" t="s">
        <v>2580</v>
      </c>
      <c r="F46" s="589" t="s">
        <v>2545</v>
      </c>
      <c r="G46" s="193"/>
    </row>
    <row r="47" spans="1:9" ht="27.75" customHeight="1">
      <c r="B47" s="209" t="s">
        <v>2520</v>
      </c>
      <c r="C47" s="200" t="s">
        <v>2573</v>
      </c>
      <c r="D47" s="182" t="s">
        <v>2572</v>
      </c>
      <c r="E47" s="182" t="s">
        <v>2630</v>
      </c>
      <c r="F47" s="186" t="s">
        <v>2630</v>
      </c>
      <c r="G47" s="25"/>
    </row>
    <row r="48" spans="1:9" ht="43.5" customHeight="1">
      <c r="B48" s="210" t="s">
        <v>2577</v>
      </c>
      <c r="C48" s="201" t="s">
        <v>2711</v>
      </c>
      <c r="D48" s="183" t="s">
        <v>2575</v>
      </c>
      <c r="E48" s="183" t="s">
        <v>2576</v>
      </c>
      <c r="F48" s="184" t="s">
        <v>2576</v>
      </c>
      <c r="G48" s="187"/>
    </row>
    <row r="49" spans="1:11" ht="18.75" customHeight="1">
      <c r="B49" s="211" t="s">
        <v>2521</v>
      </c>
      <c r="C49" s="182" t="s">
        <v>2561</v>
      </c>
      <c r="D49" s="182" t="s">
        <v>2582</v>
      </c>
      <c r="E49" s="182" t="s">
        <v>2581</v>
      </c>
      <c r="F49" s="186" t="s">
        <v>2582</v>
      </c>
      <c r="G49" s="187"/>
    </row>
    <row r="50" spans="1:11" ht="56.25" customHeight="1">
      <c r="B50" s="211" t="s">
        <v>2544</v>
      </c>
      <c r="C50" s="187" t="s">
        <v>2560</v>
      </c>
      <c r="D50" s="187" t="s">
        <v>2655</v>
      </c>
      <c r="E50" s="187" t="s">
        <v>2675</v>
      </c>
      <c r="F50" s="188" t="s">
        <v>2676</v>
      </c>
      <c r="G50" s="187"/>
      <c r="H50" s="187"/>
      <c r="I50" s="117"/>
    </row>
    <row r="51" spans="1:11" ht="18.75" customHeight="1">
      <c r="B51" s="210" t="s">
        <v>2524</v>
      </c>
      <c r="C51" s="238" t="s">
        <v>2587</v>
      </c>
      <c r="D51" s="243" t="s">
        <v>2523</v>
      </c>
      <c r="E51" s="243" t="s">
        <v>2579</v>
      </c>
      <c r="F51" s="244" t="s">
        <v>2523</v>
      </c>
      <c r="G51" s="187"/>
    </row>
    <row r="52" spans="1:11">
      <c r="F52" s="192"/>
      <c r="G52" s="196"/>
    </row>
    <row r="53" spans="1:11" ht="13">
      <c r="A53" s="172"/>
      <c r="B53" s="413"/>
      <c r="C53" s="181"/>
      <c r="D53" s="181"/>
      <c r="E53" s="181"/>
      <c r="F53" s="181"/>
      <c r="G53" s="197"/>
      <c r="I53" s="44"/>
    </row>
    <row r="54" spans="1:11" ht="13">
      <c r="A54" s="178" t="s">
        <v>223</v>
      </c>
      <c r="B54" s="178" t="s">
        <v>2522</v>
      </c>
      <c r="C54" s="191">
        <f>'Generation Load Imports'!F$7*1000</f>
        <v>41994000</v>
      </c>
      <c r="D54" s="249">
        <f>GIS!S$298</f>
        <v>1296643</v>
      </c>
      <c r="E54" s="180"/>
      <c r="F54" s="180"/>
      <c r="G54" s="197"/>
      <c r="I54" s="44"/>
      <c r="J54" s="417"/>
    </row>
    <row r="55" spans="1:11" ht="13">
      <c r="A55" s="178"/>
      <c r="B55" s="39" t="s">
        <v>2525</v>
      </c>
      <c r="C55" s="180"/>
      <c r="D55" s="180">
        <f>GIS!S$296</f>
        <v>5979898</v>
      </c>
      <c r="E55" s="180">
        <f>GIS!Q88</f>
        <v>13471498</v>
      </c>
      <c r="F55" s="180"/>
      <c r="G55" s="197"/>
      <c r="I55" s="44"/>
      <c r="J55" s="418"/>
      <c r="K55" s="39"/>
    </row>
    <row r="56" spans="1:11" ht="13">
      <c r="A56" s="178"/>
      <c r="B56" s="39" t="s">
        <v>2526</v>
      </c>
      <c r="C56" s="180"/>
      <c r="D56" s="180">
        <f>GIS!S$297</f>
        <v>1936765</v>
      </c>
      <c r="E56" s="180"/>
      <c r="F56" s="180">
        <f>GIS!S$300</f>
        <v>1917036</v>
      </c>
      <c r="G56" s="419"/>
    </row>
    <row r="57" spans="1:11" ht="13">
      <c r="A57" s="178"/>
      <c r="B57" s="39" t="s">
        <v>2527</v>
      </c>
      <c r="C57" s="180"/>
      <c r="D57" s="191">
        <f>D54+D55-D56</f>
        <v>5339776</v>
      </c>
      <c r="E57" s="180"/>
      <c r="F57" s="180"/>
      <c r="G57" s="197"/>
    </row>
    <row r="58" spans="1:11" ht="13">
      <c r="A58" s="413"/>
      <c r="B58" s="179"/>
      <c r="C58" s="169"/>
      <c r="D58" s="169"/>
      <c r="E58" s="169"/>
      <c r="F58" s="169"/>
      <c r="G58" s="178"/>
      <c r="I58" s="44"/>
    </row>
    <row r="59" spans="1:11" ht="13">
      <c r="A59" s="178" t="s">
        <v>203</v>
      </c>
      <c r="B59" s="178" t="s">
        <v>2522</v>
      </c>
      <c r="C59" s="191">
        <f>'Generation Load Imports'!H$7*1000</f>
        <v>22747000</v>
      </c>
      <c r="D59" s="249">
        <f>GIS!V$298</f>
        <v>3381333.3333333335</v>
      </c>
      <c r="E59" s="180"/>
      <c r="F59" s="180"/>
      <c r="G59" s="197"/>
      <c r="I59" s="44"/>
    </row>
    <row r="60" spans="1:11" ht="13">
      <c r="A60" s="178"/>
      <c r="B60" s="39" t="s">
        <v>2525</v>
      </c>
      <c r="C60" s="180"/>
      <c r="D60" s="180">
        <f>GIS!V$296</f>
        <v>17569355</v>
      </c>
      <c r="E60" s="180">
        <f>GIS!T113</f>
        <v>3152439</v>
      </c>
      <c r="F60" s="180"/>
      <c r="G60" s="197"/>
      <c r="I60" s="44"/>
      <c r="J60" s="417"/>
    </row>
    <row r="61" spans="1:11" ht="13">
      <c r="A61" s="178"/>
      <c r="B61" s="39" t="s">
        <v>2526</v>
      </c>
      <c r="C61" s="180"/>
      <c r="D61" s="180">
        <f>GIS!V$297</f>
        <v>722188</v>
      </c>
      <c r="E61" s="180"/>
      <c r="F61" s="180">
        <f>GIS!V$300</f>
        <v>664351</v>
      </c>
      <c r="G61" s="419"/>
      <c r="I61" s="418"/>
      <c r="J61" s="418"/>
      <c r="K61" s="39"/>
    </row>
    <row r="62" spans="1:11" ht="13">
      <c r="A62" s="178"/>
      <c r="B62" s="39" t="s">
        <v>2527</v>
      </c>
      <c r="C62" s="180"/>
      <c r="D62" s="191">
        <f>D59+D60-D61</f>
        <v>20228500.333333332</v>
      </c>
      <c r="E62" s="180"/>
      <c r="F62" s="180"/>
      <c r="G62" s="197"/>
    </row>
    <row r="63" spans="1:11" ht="13">
      <c r="A63" s="169"/>
      <c r="B63" s="413"/>
      <c r="C63" s="181"/>
      <c r="D63" s="181"/>
      <c r="E63" s="181"/>
      <c r="F63" s="181"/>
      <c r="G63" s="197"/>
      <c r="I63" s="44"/>
    </row>
    <row r="64" spans="1:11" ht="13">
      <c r="A64" s="39" t="s">
        <v>219</v>
      </c>
      <c r="B64" s="178" t="s">
        <v>2522</v>
      </c>
      <c r="C64" s="191">
        <f>'Generation Load Imports'!C$7*1000</f>
        <v>11029000</v>
      </c>
      <c r="D64" s="249">
        <f>GIS!Y$298</f>
        <v>1203330</v>
      </c>
      <c r="E64" s="180"/>
      <c r="F64" s="180"/>
      <c r="G64" s="197"/>
      <c r="I64" s="44"/>
    </row>
    <row r="65" spans="1:11" ht="13">
      <c r="A65" s="178"/>
      <c r="B65" s="39" t="s">
        <v>2525</v>
      </c>
      <c r="C65" s="180"/>
      <c r="D65" s="180">
        <f>GIS!Y$296</f>
        <v>1625635</v>
      </c>
      <c r="E65" s="180">
        <f>GIS!Y138</f>
        <v>1734145</v>
      </c>
      <c r="F65" s="180"/>
      <c r="G65" s="197"/>
      <c r="I65" s="44"/>
    </row>
    <row r="66" spans="1:11" ht="13">
      <c r="A66" s="178"/>
      <c r="B66" s="39" t="s">
        <v>2526</v>
      </c>
      <c r="C66" s="180"/>
      <c r="D66" s="180">
        <f>GIS!Y$297</f>
        <v>4500444</v>
      </c>
      <c r="E66" s="180"/>
      <c r="F66" s="180">
        <f>GIS!Y$300</f>
        <v>4190713</v>
      </c>
      <c r="G66" s="197"/>
      <c r="I66" s="417"/>
      <c r="J66" s="417"/>
    </row>
    <row r="67" spans="1:11" ht="13">
      <c r="A67" s="178"/>
      <c r="B67" s="39" t="s">
        <v>2527</v>
      </c>
      <c r="C67" s="180"/>
      <c r="D67" s="191">
        <f>D64+D65-D66</f>
        <v>-1671479</v>
      </c>
      <c r="E67" s="180"/>
      <c r="F67" s="180"/>
      <c r="G67" s="197"/>
      <c r="I67" s="418"/>
      <c r="J67" s="418"/>
      <c r="K67" s="39"/>
    </row>
    <row r="68" spans="1:11" ht="13">
      <c r="A68" s="172"/>
      <c r="B68" s="413"/>
      <c r="C68" s="181"/>
      <c r="D68" s="181"/>
      <c r="E68" s="181"/>
      <c r="F68" s="181"/>
      <c r="G68" s="197"/>
      <c r="I68" s="44"/>
      <c r="J68" s="420"/>
      <c r="K68" s="102"/>
    </row>
    <row r="69" spans="1:11" ht="13">
      <c r="A69" s="178" t="s">
        <v>220</v>
      </c>
      <c r="B69" s="178" t="s">
        <v>2522</v>
      </c>
      <c r="C69" s="191">
        <f>'Generation Load Imports'!D$7*1000</f>
        <v>19107000</v>
      </c>
      <c r="D69" s="249">
        <f>GIS!AB$298</f>
        <v>330110</v>
      </c>
      <c r="E69" s="180"/>
      <c r="F69" s="180"/>
      <c r="G69" s="197"/>
      <c r="I69" s="44"/>
    </row>
    <row r="70" spans="1:11" ht="13">
      <c r="A70" s="178"/>
      <c r="B70" s="39" t="s">
        <v>2525</v>
      </c>
      <c r="C70" s="180"/>
      <c r="D70" s="180">
        <f>GIS!AB$296</f>
        <v>530459</v>
      </c>
      <c r="E70" s="180">
        <f>GIS!Z163</f>
        <v>4945295</v>
      </c>
      <c r="F70" s="180"/>
      <c r="G70" s="197"/>
      <c r="H70" s="44"/>
      <c r="I70" s="44"/>
    </row>
    <row r="71" spans="1:11" ht="13">
      <c r="A71" s="178"/>
      <c r="B71" s="39" t="s">
        <v>2526</v>
      </c>
      <c r="C71" s="180"/>
      <c r="D71" s="180">
        <f>GIS!AB$297</f>
        <v>8286418</v>
      </c>
      <c r="E71" s="180"/>
      <c r="F71" s="180">
        <f>GIS!AB$300</f>
        <v>7995289</v>
      </c>
      <c r="G71" s="197"/>
      <c r="H71" s="44"/>
    </row>
    <row r="72" spans="1:11" ht="13">
      <c r="A72" s="39"/>
      <c r="B72" s="39" t="s">
        <v>2527</v>
      </c>
      <c r="C72" s="180"/>
      <c r="D72" s="191">
        <f>D69+D70-D71</f>
        <v>-7425849</v>
      </c>
      <c r="E72" s="180"/>
      <c r="F72" s="180"/>
      <c r="G72" s="197"/>
    </row>
    <row r="73" spans="1:11" ht="13">
      <c r="A73" s="169"/>
      <c r="B73" s="413"/>
      <c r="C73" s="181"/>
      <c r="D73" s="181"/>
      <c r="E73" s="181"/>
      <c r="F73" s="181"/>
      <c r="G73" s="197"/>
      <c r="I73" s="44"/>
    </row>
    <row r="74" spans="1:11" ht="13">
      <c r="A74" s="39" t="s">
        <v>222</v>
      </c>
      <c r="B74" s="178" t="s">
        <v>2522</v>
      </c>
      <c r="C74" s="191">
        <f>'Generation Load Imports'!G$7*1000</f>
        <v>7730000</v>
      </c>
      <c r="D74" s="249">
        <f>GIS!AE$298</f>
        <v>252963</v>
      </c>
      <c r="E74" s="180"/>
      <c r="F74" s="180"/>
      <c r="G74" s="197"/>
      <c r="I74" s="44"/>
    </row>
    <row r="75" spans="1:11" ht="13">
      <c r="A75" s="39"/>
      <c r="B75" s="39" t="s">
        <v>2525</v>
      </c>
      <c r="C75" s="180"/>
      <c r="D75" s="180">
        <f>GIS!AE$296</f>
        <v>500967</v>
      </c>
      <c r="E75" s="180">
        <f>GIS!AC188</f>
        <v>525149</v>
      </c>
      <c r="F75" s="180"/>
      <c r="G75" s="197"/>
      <c r="I75" s="44"/>
    </row>
    <row r="76" spans="1:11" ht="13">
      <c r="A76" s="39"/>
      <c r="B76" s="39" t="s">
        <v>2526</v>
      </c>
      <c r="C76" s="180"/>
      <c r="D76" s="180">
        <f>GIS!AE$297</f>
        <v>362278</v>
      </c>
      <c r="E76" s="180"/>
      <c r="F76" s="180">
        <f>GIS!AE$300</f>
        <v>189184</v>
      </c>
      <c r="G76" s="197"/>
    </row>
    <row r="77" spans="1:11" ht="13">
      <c r="A77" s="178"/>
      <c r="B77" s="39" t="s">
        <v>2527</v>
      </c>
      <c r="C77" s="180"/>
      <c r="D77" s="191">
        <f>D74+D75-D76</f>
        <v>391652</v>
      </c>
      <c r="E77" s="180"/>
      <c r="F77" s="180"/>
      <c r="G77" s="197"/>
    </row>
    <row r="78" spans="1:11" ht="13">
      <c r="A78" s="172"/>
      <c r="B78" s="413"/>
      <c r="C78" s="181"/>
      <c r="D78" s="181"/>
      <c r="E78" s="181"/>
      <c r="F78" s="181"/>
      <c r="G78" s="197"/>
      <c r="I78" s="44"/>
    </row>
    <row r="79" spans="1:11" ht="13">
      <c r="A79" s="178" t="s">
        <v>221</v>
      </c>
      <c r="B79" s="178" t="s">
        <v>2522</v>
      </c>
      <c r="C79" s="580">
        <f>'Generation Load Imports'!B27</f>
        <v>2181277.5539999995</v>
      </c>
      <c r="D79" s="249">
        <f>GIS!AH$298</f>
        <v>661247</v>
      </c>
      <c r="E79" s="180"/>
      <c r="F79" s="180"/>
      <c r="G79" s="197"/>
      <c r="I79" s="44"/>
    </row>
    <row r="80" spans="1:11" ht="13">
      <c r="A80" s="178"/>
      <c r="B80" s="39" t="s">
        <v>2525</v>
      </c>
      <c r="C80" s="180"/>
      <c r="D80" s="180">
        <f>GIS!AH$296</f>
        <v>4088238</v>
      </c>
      <c r="E80" s="180">
        <f>GIS!AF213</f>
        <v>262970</v>
      </c>
      <c r="F80" s="180"/>
      <c r="G80" s="197"/>
      <c r="I80" s="44"/>
    </row>
    <row r="81" spans="1:7" ht="13">
      <c r="A81" s="178"/>
      <c r="B81" s="39" t="s">
        <v>2526</v>
      </c>
      <c r="C81" s="180"/>
      <c r="D81" s="180">
        <f>GIS!AH$297</f>
        <v>1991048</v>
      </c>
      <c r="E81" s="180"/>
      <c r="F81" s="180">
        <f>GIS!AH$300</f>
        <v>1608068</v>
      </c>
      <c r="G81" s="197"/>
    </row>
    <row r="82" spans="1:7" ht="13">
      <c r="A82" s="178"/>
      <c r="B82" s="39" t="s">
        <v>2527</v>
      </c>
      <c r="C82" s="180"/>
      <c r="D82" s="191">
        <f>D79+D80-D81</f>
        <v>2758437</v>
      </c>
      <c r="E82" s="180"/>
      <c r="F82" s="180"/>
      <c r="G82" s="197"/>
    </row>
    <row r="83" spans="1:7" ht="13">
      <c r="A83" s="172"/>
      <c r="B83" s="413"/>
      <c r="C83" s="413"/>
      <c r="D83" s="413"/>
      <c r="E83" s="413"/>
      <c r="F83" s="413"/>
    </row>
    <row r="84" spans="1:7" ht="13">
      <c r="A84" s="178" t="s">
        <v>224</v>
      </c>
      <c r="B84" s="178" t="s">
        <v>2522</v>
      </c>
      <c r="C84" s="191">
        <f>'Generation Load Imports'!B24</f>
        <v>122083854.63800001</v>
      </c>
      <c r="D84" s="245"/>
      <c r="E84" s="180"/>
      <c r="F84" s="180"/>
      <c r="G84" s="197"/>
    </row>
    <row r="85" spans="1:7" ht="13">
      <c r="A85" s="178"/>
      <c r="B85" s="178" t="s">
        <v>2702</v>
      </c>
      <c r="C85" s="191">
        <f>'Generation Load Imports'!D11*1000</f>
        <v>1177000</v>
      </c>
      <c r="D85" s="245"/>
      <c r="E85" s="180"/>
      <c r="F85" s="180"/>
      <c r="G85" s="197"/>
    </row>
    <row r="86" spans="1:7" ht="13">
      <c r="A86" s="178"/>
      <c r="B86" s="39" t="s">
        <v>2526</v>
      </c>
      <c r="C86" s="180"/>
      <c r="D86" s="245">
        <f>GIS!AK$297</f>
        <v>3957448</v>
      </c>
      <c r="E86" s="180"/>
      <c r="F86" s="180"/>
      <c r="G86" s="197"/>
    </row>
    <row r="87" spans="1:7" ht="13">
      <c r="A87" s="178"/>
      <c r="B87" s="39" t="s">
        <v>2527</v>
      </c>
      <c r="C87" s="180"/>
      <c r="D87" s="194">
        <f>D84+D85-D86</f>
        <v>-3957448</v>
      </c>
      <c r="E87" s="180"/>
      <c r="F87" s="180"/>
      <c r="G87" s="197"/>
    </row>
    <row r="88" spans="1:7" ht="13">
      <c r="A88" s="172"/>
      <c r="B88" s="413"/>
      <c r="C88" s="413"/>
      <c r="D88" s="413"/>
      <c r="E88" s="413"/>
      <c r="F88" s="413"/>
    </row>
    <row r="89" spans="1:7" ht="14.25" customHeight="1">
      <c r="A89" s="178" t="s">
        <v>226</v>
      </c>
      <c r="B89" s="178" t="s">
        <v>2522</v>
      </c>
      <c r="C89" s="191">
        <f>'Generation Load Imports'!B33</f>
        <v>11905745</v>
      </c>
      <c r="D89" s="245"/>
      <c r="E89" s="180"/>
      <c r="F89" s="180"/>
      <c r="G89" s="197"/>
    </row>
    <row r="90" spans="1:7" ht="13">
      <c r="A90" s="178"/>
      <c r="B90" s="178" t="s">
        <v>2702</v>
      </c>
      <c r="C90" s="191">
        <f>'Generation Load Imports'!C11*1000</f>
        <v>1998000</v>
      </c>
      <c r="D90" s="245"/>
      <c r="E90" s="180"/>
      <c r="F90" s="180"/>
      <c r="G90" s="197"/>
    </row>
    <row r="91" spans="1:7" ht="13">
      <c r="A91" s="178"/>
      <c r="B91" s="39" t="s">
        <v>2570</v>
      </c>
      <c r="C91" s="180"/>
      <c r="D91" s="245">
        <f>GIS!AN$297</f>
        <v>463904</v>
      </c>
      <c r="E91" s="180"/>
      <c r="F91" s="180"/>
      <c r="G91" s="197"/>
    </row>
    <row r="92" spans="1:7" ht="13">
      <c r="A92" s="178"/>
      <c r="B92" s="39" t="s">
        <v>2527</v>
      </c>
      <c r="C92" s="180"/>
      <c r="D92" s="194">
        <f>D89+D90-D91</f>
        <v>-463904</v>
      </c>
      <c r="E92" s="180"/>
      <c r="F92" s="180"/>
      <c r="G92" s="197"/>
    </row>
    <row r="93" spans="1:7" ht="13">
      <c r="A93" s="172"/>
      <c r="B93" s="413"/>
      <c r="C93" s="413"/>
      <c r="D93" s="413"/>
      <c r="E93" s="413"/>
      <c r="F93" s="413"/>
    </row>
    <row r="94" spans="1:7" ht="13">
      <c r="A94" s="178" t="s">
        <v>225</v>
      </c>
      <c r="B94" s="178" t="s">
        <v>2522</v>
      </c>
      <c r="C94" s="191">
        <f>'Generation Load Imports'!B36</f>
        <v>196609265</v>
      </c>
      <c r="D94" s="245"/>
      <c r="E94" s="180"/>
      <c r="F94" s="180"/>
      <c r="G94" s="197"/>
    </row>
    <row r="95" spans="1:7" ht="13">
      <c r="A95" s="178"/>
      <c r="B95" s="178" t="s">
        <v>2702</v>
      </c>
      <c r="C95" s="191">
        <f>'Generation Load Imports'!E11*1000</f>
        <v>13602000</v>
      </c>
      <c r="D95" s="245"/>
      <c r="E95" s="180"/>
      <c r="F95" s="180"/>
      <c r="G95" s="197"/>
    </row>
    <row r="96" spans="1:7" ht="13">
      <c r="A96" s="178"/>
      <c r="B96" s="39" t="s">
        <v>2570</v>
      </c>
      <c r="C96" s="180"/>
      <c r="D96" s="245">
        <f>GIS!AQ$297</f>
        <v>8074059</v>
      </c>
      <c r="E96" s="180"/>
      <c r="F96" s="180"/>
      <c r="G96" s="197"/>
    </row>
    <row r="97" spans="1:7" ht="13">
      <c r="A97" s="178"/>
      <c r="B97" s="39" t="s">
        <v>2527</v>
      </c>
      <c r="C97" s="180"/>
      <c r="D97" s="194">
        <f>D94+D95-D96</f>
        <v>-8074059</v>
      </c>
      <c r="E97" s="180"/>
      <c r="F97" s="180"/>
      <c r="G97" s="197"/>
    </row>
    <row r="98" spans="1:7" ht="13">
      <c r="A98" s="172"/>
      <c r="B98" s="413"/>
      <c r="C98" s="413"/>
      <c r="D98" s="413"/>
      <c r="E98" s="413"/>
      <c r="F98" s="413"/>
    </row>
    <row r="99" spans="1:7" ht="13">
      <c r="A99" s="421" t="s">
        <v>351</v>
      </c>
      <c r="B99" s="178" t="s">
        <v>2522</v>
      </c>
      <c r="C99" s="191">
        <f>C54+C59+C64+C69+C74+C79</f>
        <v>104788277.55400001</v>
      </c>
      <c r="D99" s="249">
        <f>D54+D59+D64+D69+D74+D79</f>
        <v>7125626.333333334</v>
      </c>
      <c r="E99" s="180"/>
      <c r="F99" s="180"/>
    </row>
    <row r="100" spans="1:7" ht="13">
      <c r="B100" s="39" t="s">
        <v>2535</v>
      </c>
      <c r="C100" s="191"/>
      <c r="D100" s="245">
        <f>D55+D60+D65+D70+D75+D80</f>
        <v>30294552</v>
      </c>
      <c r="E100" s="180"/>
      <c r="F100" s="180"/>
    </row>
    <row r="101" spans="1:7" ht="13">
      <c r="B101" s="39" t="s">
        <v>2536</v>
      </c>
      <c r="C101" s="180"/>
      <c r="D101" s="245">
        <f>D56+D61+D66+D71+D76+D81</f>
        <v>17799141</v>
      </c>
      <c r="E101" s="180"/>
      <c r="F101" s="180"/>
    </row>
    <row r="102" spans="1:7" ht="13">
      <c r="B102" s="39" t="s">
        <v>2527</v>
      </c>
      <c r="C102" s="180"/>
      <c r="D102" s="194">
        <f>D99+D100-D101</f>
        <v>19621037.333333336</v>
      </c>
      <c r="E102" s="422"/>
      <c r="F102" s="422"/>
    </row>
    <row r="103" spans="1:7">
      <c r="A103" s="413"/>
      <c r="B103" s="413"/>
      <c r="C103" s="413"/>
      <c r="D103" s="413"/>
      <c r="E103" s="413"/>
      <c r="F103" s="413"/>
    </row>
    <row r="104" spans="1:7" ht="13">
      <c r="A104" s="421" t="s">
        <v>2484</v>
      </c>
      <c r="B104" s="178" t="s">
        <v>2522</v>
      </c>
      <c r="C104" s="191">
        <f>C84+C89+C94</f>
        <v>330598864.63800001</v>
      </c>
      <c r="D104" s="245"/>
      <c r="E104" s="180"/>
      <c r="F104" s="180"/>
    </row>
    <row r="105" spans="1:7" ht="13">
      <c r="B105" s="178" t="s">
        <v>2702</v>
      </c>
      <c r="C105" s="191">
        <f>C85+C90+C95</f>
        <v>16777000</v>
      </c>
      <c r="D105" s="245"/>
      <c r="E105" s="180"/>
      <c r="F105" s="180"/>
    </row>
    <row r="106" spans="1:7" ht="13">
      <c r="B106" s="39" t="s">
        <v>2571</v>
      </c>
      <c r="C106" s="180"/>
      <c r="D106" s="245">
        <f>D86+D91+D96</f>
        <v>12495411</v>
      </c>
      <c r="E106" s="180"/>
      <c r="F106" s="180"/>
    </row>
    <row r="107" spans="1:7" ht="13">
      <c r="B107" s="39" t="s">
        <v>2527</v>
      </c>
      <c r="C107" s="180"/>
      <c r="D107" s="194">
        <f>D104+D105-D106</f>
        <v>-12495411</v>
      </c>
      <c r="E107" s="180"/>
      <c r="F107" s="180"/>
    </row>
    <row r="108" spans="1:7">
      <c r="A108" s="413"/>
      <c r="B108" s="413"/>
      <c r="C108" s="413"/>
      <c r="D108" s="413"/>
      <c r="E108" s="413"/>
      <c r="F108" s="413"/>
    </row>
    <row r="109" spans="1:7" ht="13">
      <c r="A109" s="421" t="s">
        <v>2485</v>
      </c>
      <c r="B109" s="178" t="s">
        <v>2522</v>
      </c>
      <c r="C109" s="191">
        <f>C99+C104</f>
        <v>435387142.19200003</v>
      </c>
      <c r="D109" s="249">
        <f>D99+D104</f>
        <v>7125626.333333334</v>
      </c>
      <c r="E109" s="180"/>
      <c r="F109" s="180"/>
    </row>
    <row r="110" spans="1:7" ht="13">
      <c r="B110" s="178" t="s">
        <v>2529</v>
      </c>
      <c r="C110" s="191">
        <f>C100+C105</f>
        <v>16777000</v>
      </c>
      <c r="D110" s="245">
        <f>D100+D105</f>
        <v>30294552</v>
      </c>
      <c r="E110" s="180"/>
      <c r="F110" s="180"/>
    </row>
    <row r="111" spans="1:7" ht="13">
      <c r="B111" s="39" t="s">
        <v>2571</v>
      </c>
      <c r="C111" s="180"/>
      <c r="D111" s="245">
        <f>D101+D106</f>
        <v>30294552</v>
      </c>
      <c r="E111" s="422"/>
      <c r="F111" s="422"/>
    </row>
    <row r="112" spans="1:7" ht="13">
      <c r="B112" s="39" t="s">
        <v>2527</v>
      </c>
      <c r="C112" s="180"/>
      <c r="D112" s="194">
        <f>D109+D110-D111</f>
        <v>7125626.3333333358</v>
      </c>
      <c r="E112" s="180"/>
      <c r="F112" s="180"/>
    </row>
    <row r="113" spans="1:6">
      <c r="A113" s="413"/>
      <c r="B113" s="413"/>
      <c r="C113" s="413"/>
      <c r="D113" s="413"/>
      <c r="E113" s="413"/>
      <c r="F113" s="413"/>
    </row>
    <row r="115" spans="1:6">
      <c r="C115" s="44"/>
      <c r="D115" s="44"/>
    </row>
  </sheetData>
  <pageMargins left="0.7" right="0.7" top="0.75" bottom="0.75" header="0.3" footer="0.3"/>
  <pageSetup scale="36" fitToHeight="0"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pageSetUpPr fitToPage="1"/>
  </sheetPr>
  <dimension ref="A1:O37"/>
  <sheetViews>
    <sheetView zoomScaleNormal="100" workbookViewId="0">
      <selection activeCell="K26" sqref="K26"/>
    </sheetView>
  </sheetViews>
  <sheetFormatPr defaultColWidth="9.1796875" defaultRowHeight="14"/>
  <cols>
    <col min="1" max="1" width="15.1796875" style="370" customWidth="1"/>
    <col min="2" max="2" width="13.81640625" style="370" customWidth="1"/>
    <col min="3" max="3" width="12.1796875" style="370" customWidth="1"/>
    <col min="4" max="4" width="11.453125" style="370" customWidth="1"/>
    <col min="5" max="5" width="10.453125" style="370" bestFit="1" customWidth="1"/>
    <col min="6" max="6" width="15.54296875" style="370" customWidth="1"/>
    <col min="7" max="7" width="10.453125" style="370" bestFit="1" customWidth="1"/>
    <col min="8" max="8" width="10.54296875" style="370" bestFit="1" customWidth="1"/>
    <col min="9" max="9" width="9" style="370" customWidth="1"/>
    <col min="10" max="10" width="10.453125" style="370" customWidth="1"/>
    <col min="11" max="11" width="11.54296875" style="370" customWidth="1"/>
    <col min="12" max="12" width="17.54296875" style="370" customWidth="1"/>
    <col min="13" max="13" width="12.81640625" style="370" bestFit="1" customWidth="1"/>
    <col min="14" max="16384" width="9.1796875" style="370"/>
  </cols>
  <sheetData>
    <row r="1" spans="1:15" ht="15.5">
      <c r="A1" s="247" t="s">
        <v>2558</v>
      </c>
    </row>
    <row r="2" spans="1:15" ht="14.5" thickBot="1"/>
    <row r="3" spans="1:15">
      <c r="A3" s="372" t="s">
        <v>2567</v>
      </c>
      <c r="B3" s="373"/>
      <c r="C3" s="373"/>
      <c r="D3" s="373"/>
      <c r="E3" s="374"/>
      <c r="F3" s="373"/>
      <c r="G3" s="373"/>
      <c r="H3" s="373"/>
      <c r="I3" s="373"/>
      <c r="J3" s="373"/>
      <c r="K3" s="375"/>
      <c r="L3" s="375"/>
      <c r="M3" s="375"/>
      <c r="N3" s="376"/>
    </row>
    <row r="4" spans="1:15" ht="14.5">
      <c r="A4" s="377"/>
      <c r="B4" s="378"/>
      <c r="C4" s="659"/>
      <c r="D4" s="659"/>
      <c r="E4" s="659"/>
      <c r="F4" s="659"/>
      <c r="G4" s="659"/>
      <c r="H4" s="659"/>
      <c r="I4" s="381"/>
      <c r="J4" s="381"/>
      <c r="K4" s="382"/>
      <c r="L4" s="380"/>
      <c r="M4" s="383"/>
      <c r="N4" s="384"/>
    </row>
    <row r="5" spans="1:15" ht="14.5" thickBot="1">
      <c r="A5" s="385"/>
      <c r="B5" s="788" t="s">
        <v>182</v>
      </c>
      <c r="C5" s="788"/>
      <c r="D5" s="788"/>
      <c r="E5" s="788"/>
      <c r="F5" s="788"/>
      <c r="G5" s="788"/>
      <c r="H5" s="788"/>
      <c r="I5" s="386"/>
      <c r="J5" s="628"/>
      <c r="K5" s="387"/>
      <c r="L5" s="379"/>
      <c r="M5" s="379"/>
      <c r="N5" s="384"/>
    </row>
    <row r="6" spans="1:15">
      <c r="A6" s="388"/>
      <c r="B6" s="389" t="s">
        <v>183</v>
      </c>
      <c r="C6" s="389" t="s">
        <v>90</v>
      </c>
      <c r="D6" s="389" t="s">
        <v>96</v>
      </c>
      <c r="E6" s="389" t="s">
        <v>89</v>
      </c>
      <c r="F6" s="389" t="s">
        <v>41</v>
      </c>
      <c r="G6" s="389" t="s">
        <v>130</v>
      </c>
      <c r="H6" s="389" t="s">
        <v>81</v>
      </c>
      <c r="I6" s="389"/>
      <c r="J6" s="387" t="s">
        <v>3938</v>
      </c>
      <c r="K6" s="379"/>
      <c r="L6" s="379"/>
      <c r="M6" s="379"/>
      <c r="N6" s="653"/>
      <c r="O6" s="654"/>
    </row>
    <row r="7" spans="1:15">
      <c r="A7" s="688">
        <v>2022</v>
      </c>
      <c r="B7" s="646">
        <f>C7+D7+(B27/1000)+F7+G7+H7</f>
        <v>104788.277554</v>
      </c>
      <c r="C7" s="391">
        <v>11029</v>
      </c>
      <c r="D7" s="391">
        <v>19107</v>
      </c>
      <c r="E7" s="644">
        <v>1281</v>
      </c>
      <c r="F7" s="391">
        <v>41994</v>
      </c>
      <c r="G7" s="391">
        <v>7730</v>
      </c>
      <c r="H7" s="391">
        <v>22747</v>
      </c>
      <c r="I7" s="389"/>
      <c r="J7" s="371" t="s">
        <v>2719</v>
      </c>
      <c r="K7" s="379"/>
      <c r="L7" s="379"/>
      <c r="M7" s="379"/>
      <c r="N7" s="384"/>
    </row>
    <row r="8" spans="1:15">
      <c r="A8" s="388"/>
      <c r="B8" s="392"/>
      <c r="C8" s="597"/>
      <c r="D8" s="393"/>
      <c r="E8" s="393"/>
      <c r="F8" s="393"/>
      <c r="G8" s="633"/>
      <c r="H8" s="632"/>
      <c r="I8" s="389"/>
      <c r="J8" s="453" t="s">
        <v>3267</v>
      </c>
      <c r="K8" s="379"/>
      <c r="L8" s="379"/>
      <c r="M8" s="379"/>
      <c r="N8" s="384"/>
    </row>
    <row r="9" spans="1:15" ht="30.75" customHeight="1" thickBot="1">
      <c r="A9" s="388"/>
      <c r="B9" s="788" t="s">
        <v>184</v>
      </c>
      <c r="C9" s="788"/>
      <c r="D9" s="788"/>
      <c r="E9" s="788"/>
      <c r="F9" s="788"/>
      <c r="G9" s="379"/>
      <c r="H9" s="634"/>
      <c r="I9" s="389"/>
      <c r="J9" s="371"/>
      <c r="K9" s="379"/>
      <c r="L9" s="379"/>
      <c r="M9" s="379"/>
      <c r="N9" s="384"/>
    </row>
    <row r="10" spans="1:15" ht="26">
      <c r="A10" s="390"/>
      <c r="B10" s="396" t="s">
        <v>185</v>
      </c>
      <c r="C10" s="396" t="s">
        <v>350</v>
      </c>
      <c r="D10" s="396" t="s">
        <v>57</v>
      </c>
      <c r="E10" s="396" t="s">
        <v>1257</v>
      </c>
      <c r="F10" s="394" t="s">
        <v>2994</v>
      </c>
      <c r="G10" s="379"/>
      <c r="H10" s="379"/>
      <c r="I10" s="379"/>
      <c r="J10" s="652" t="s">
        <v>2718</v>
      </c>
      <c r="K10" s="379"/>
      <c r="L10" s="379"/>
      <c r="M10" s="379"/>
      <c r="N10" s="384"/>
    </row>
    <row r="11" spans="1:15">
      <c r="A11" s="390">
        <v>2022</v>
      </c>
      <c r="B11" s="391">
        <f>C11+D11+E11</f>
        <v>16777</v>
      </c>
      <c r="C11" s="391">
        <v>1998</v>
      </c>
      <c r="D11" s="391">
        <v>1177</v>
      </c>
      <c r="E11" s="391">
        <v>13602</v>
      </c>
      <c r="F11" s="661">
        <v>1777</v>
      </c>
      <c r="G11" s="379"/>
      <c r="H11" s="606"/>
      <c r="I11" s="379"/>
      <c r="J11" s="397" t="s">
        <v>3593</v>
      </c>
      <c r="K11" s="379"/>
      <c r="L11" s="379"/>
      <c r="M11" s="379"/>
      <c r="N11" s="384"/>
      <c r="O11" s="654"/>
    </row>
    <row r="12" spans="1:15">
      <c r="A12" s="390"/>
      <c r="B12" s="391"/>
      <c r="C12" s="391"/>
      <c r="D12" s="391"/>
      <c r="E12" s="391"/>
      <c r="F12" s="599"/>
      <c r="G12" s="379"/>
      <c r="H12" s="606"/>
      <c r="I12" s="379"/>
      <c r="J12" s="453" t="s">
        <v>3592</v>
      </c>
      <c r="K12" s="379"/>
      <c r="L12" s="379"/>
      <c r="M12" s="379"/>
      <c r="N12" s="384"/>
    </row>
    <row r="13" spans="1:15" ht="20.5" customHeight="1" thickBot="1">
      <c r="B13" s="408" t="s">
        <v>3536</v>
      </c>
      <c r="C13" s="408"/>
      <c r="D13" s="647"/>
      <c r="E13" s="647"/>
      <c r="F13" s="648" t="s">
        <v>3537</v>
      </c>
      <c r="G13" s="648"/>
      <c r="H13" s="649"/>
      <c r="I13" s="379"/>
      <c r="J13" s="650"/>
      <c r="K13" s="379"/>
      <c r="L13" s="379"/>
      <c r="M13" s="379"/>
      <c r="N13" s="384"/>
    </row>
    <row r="14" spans="1:15">
      <c r="A14" s="689">
        <v>2022</v>
      </c>
      <c r="B14" s="643">
        <f>B18-B7</f>
        <v>14095.722446</v>
      </c>
      <c r="C14" s="379"/>
      <c r="D14" s="379"/>
      <c r="E14" s="379"/>
      <c r="F14" s="643">
        <f>B11-B14</f>
        <v>2681.2775540000002</v>
      </c>
      <c r="G14" s="379"/>
      <c r="H14" s="379"/>
      <c r="I14" s="379"/>
      <c r="J14" s="379"/>
      <c r="K14" s="379"/>
      <c r="L14" s="379"/>
      <c r="M14" s="379"/>
      <c r="N14" s="384"/>
    </row>
    <row r="15" spans="1:15">
      <c r="A15" s="388"/>
      <c r="B15" s="643"/>
      <c r="C15" s="643"/>
      <c r="D15" s="643"/>
      <c r="E15" s="643"/>
      <c r="F15" s="643"/>
      <c r="G15" s="643"/>
      <c r="H15" s="643"/>
      <c r="I15" s="379"/>
      <c r="J15" s="379"/>
      <c r="K15" s="379"/>
      <c r="L15" s="379"/>
      <c r="M15" s="379"/>
      <c r="N15" s="384"/>
    </row>
    <row r="16" spans="1:15" ht="14.5" thickBot="1">
      <c r="A16" s="388"/>
      <c r="B16" s="788" t="s">
        <v>186</v>
      </c>
      <c r="C16" s="788"/>
      <c r="D16" s="788"/>
      <c r="E16" s="788"/>
      <c r="F16" s="788"/>
      <c r="G16" s="788"/>
      <c r="H16" s="788"/>
      <c r="I16" s="379"/>
      <c r="J16" s="398"/>
      <c r="K16" s="379"/>
      <c r="L16" s="379"/>
      <c r="M16" s="379"/>
      <c r="N16" s="384"/>
      <c r="O16" s="654"/>
    </row>
    <row r="17" spans="1:15">
      <c r="A17" s="388"/>
      <c r="B17" s="386" t="s">
        <v>187</v>
      </c>
      <c r="C17" s="399" t="s">
        <v>90</v>
      </c>
      <c r="D17" s="386" t="s">
        <v>96</v>
      </c>
      <c r="E17" s="399" t="s">
        <v>89</v>
      </c>
      <c r="F17" s="386" t="s">
        <v>41</v>
      </c>
      <c r="G17" s="399" t="s">
        <v>130</v>
      </c>
      <c r="H17" s="399" t="s">
        <v>81</v>
      </c>
      <c r="I17" s="379"/>
      <c r="J17" s="387" t="s">
        <v>3938</v>
      </c>
      <c r="K17" s="379"/>
      <c r="L17" s="379"/>
      <c r="M17" s="379"/>
      <c r="N17" s="384"/>
      <c r="O17" s="654"/>
    </row>
    <row r="18" spans="1:15">
      <c r="A18" s="688">
        <v>2022</v>
      </c>
      <c r="B18" s="391">
        <v>118884</v>
      </c>
      <c r="C18" s="400">
        <v>11804</v>
      </c>
      <c r="D18" s="391">
        <v>11584</v>
      </c>
      <c r="E18" s="400">
        <v>5099</v>
      </c>
      <c r="F18" s="391">
        <v>28423</v>
      </c>
      <c r="G18" s="400">
        <v>7915</v>
      </c>
      <c r="H18" s="400">
        <v>54059</v>
      </c>
      <c r="I18" s="379"/>
      <c r="J18" s="453" t="s">
        <v>3267</v>
      </c>
      <c r="K18" s="379"/>
      <c r="L18" s="379"/>
      <c r="M18" s="379"/>
      <c r="N18" s="384"/>
    </row>
    <row r="19" spans="1:15">
      <c r="A19" s="401"/>
      <c r="B19" s="644">
        <f>B18+F14</f>
        <v>121565.277554</v>
      </c>
      <c r="C19" s="645">
        <f>C18+C18*$F14/$B18</f>
        <v>12070.224220647151</v>
      </c>
      <c r="D19" s="644">
        <f t="shared" ref="D19:H19" si="0">D18+D18*$F14/$B18</f>
        <v>11845.26240020134</v>
      </c>
      <c r="E19" s="645">
        <f t="shared" si="0"/>
        <v>5214.0014656963594</v>
      </c>
      <c r="F19" s="644">
        <f t="shared" si="0"/>
        <v>29064.044647869705</v>
      </c>
      <c r="G19" s="645">
        <f t="shared" si="0"/>
        <v>8093.5127674027626</v>
      </c>
      <c r="H19" s="645">
        <f t="shared" si="0"/>
        <v>55278.232052182684</v>
      </c>
      <c r="I19" s="379"/>
      <c r="J19" s="402"/>
      <c r="K19" s="379"/>
      <c r="L19" s="379"/>
      <c r="M19" s="379"/>
      <c r="N19" s="384"/>
    </row>
    <row r="20" spans="1:15">
      <c r="A20" s="401"/>
      <c r="B20" s="391"/>
      <c r="C20" s="403" t="s">
        <v>1652</v>
      </c>
      <c r="D20" s="403"/>
      <c r="E20" s="403"/>
      <c r="F20" s="403"/>
      <c r="G20" s="404"/>
      <c r="H20" s="403"/>
      <c r="I20" s="379"/>
      <c r="J20" s="402"/>
      <c r="K20" s="379"/>
      <c r="L20" s="379"/>
      <c r="M20" s="379"/>
      <c r="N20" s="384"/>
    </row>
    <row r="21" spans="1:15" ht="14.5" thickBot="1">
      <c r="A21" s="405"/>
      <c r="B21" s="660"/>
      <c r="C21" s="379"/>
      <c r="D21" s="379"/>
      <c r="E21" s="379"/>
      <c r="F21" s="379"/>
      <c r="G21" s="379"/>
      <c r="H21" s="379"/>
      <c r="I21" s="406"/>
      <c r="J21" s="406"/>
      <c r="K21" s="406"/>
      <c r="L21" s="406"/>
      <c r="M21" s="406"/>
      <c r="N21" s="407"/>
    </row>
    <row r="22" spans="1:15">
      <c r="A22" s="372" t="s">
        <v>2559</v>
      </c>
      <c r="B22" s="375"/>
      <c r="C22" s="375"/>
      <c r="D22" s="375"/>
      <c r="E22" s="375"/>
      <c r="F22" s="375"/>
      <c r="G22" s="375"/>
      <c r="H22" s="375"/>
      <c r="I22" s="375"/>
      <c r="J22" s="375"/>
      <c r="K22" s="375"/>
      <c r="L22" s="375"/>
      <c r="M22" s="375"/>
      <c r="N22" s="376"/>
    </row>
    <row r="23" spans="1:15" ht="14.5" thickBot="1">
      <c r="A23" s="388"/>
      <c r="B23" s="408" t="s">
        <v>2700</v>
      </c>
      <c r="C23" s="379"/>
      <c r="D23" s="379"/>
      <c r="E23" s="379"/>
      <c r="F23" s="379"/>
      <c r="G23" s="379"/>
      <c r="H23" s="379"/>
      <c r="I23" s="379"/>
      <c r="J23" s="379"/>
      <c r="K23" s="379"/>
      <c r="L23" s="379"/>
      <c r="M23" s="379"/>
      <c r="N23" s="384"/>
    </row>
    <row r="24" spans="1:15" ht="14.5" thickBot="1">
      <c r="A24" s="388">
        <v>2022</v>
      </c>
      <c r="B24" s="409">
        <v>122083854.63800001</v>
      </c>
      <c r="C24" s="379" t="s">
        <v>3574</v>
      </c>
      <c r="D24" s="379"/>
      <c r="F24" s="379"/>
      <c r="G24" s="379"/>
      <c r="H24" s="379"/>
      <c r="I24" s="379"/>
      <c r="J24" s="379"/>
      <c r="K24" s="379"/>
      <c r="L24" s="379"/>
      <c r="M24" s="379"/>
      <c r="N24" s="384"/>
    </row>
    <row r="25" spans="1:15">
      <c r="A25" s="388"/>
      <c r="B25" s="662"/>
      <c r="D25" s="379"/>
      <c r="E25" s="379"/>
      <c r="F25" s="379"/>
      <c r="G25" s="453"/>
      <c r="H25" s="379"/>
      <c r="I25" s="379"/>
      <c r="J25" s="379"/>
      <c r="K25" s="379"/>
      <c r="L25" s="379"/>
      <c r="M25" s="379"/>
      <c r="N25" s="384"/>
    </row>
    <row r="26" spans="1:15" ht="14.5" thickBot="1">
      <c r="A26" s="388"/>
      <c r="B26" s="408" t="s">
        <v>2701</v>
      </c>
      <c r="C26" s="379"/>
      <c r="D26" s="379"/>
      <c r="E26" s="379"/>
      <c r="F26" s="379"/>
      <c r="G26" s="379"/>
      <c r="H26" s="379"/>
      <c r="I26" s="379"/>
      <c r="J26" s="379"/>
      <c r="K26" s="379"/>
      <c r="L26" s="379"/>
      <c r="M26" s="379"/>
      <c r="N26" s="384"/>
    </row>
    <row r="27" spans="1:15" ht="14.5" thickBot="1">
      <c r="A27" s="689">
        <v>2022</v>
      </c>
      <c r="B27" s="588">
        <v>2181277.5539999995</v>
      </c>
      <c r="C27" s="379" t="s">
        <v>3574</v>
      </c>
      <c r="D27" s="379"/>
      <c r="E27" s="371"/>
      <c r="F27" s="379"/>
      <c r="G27" s="379"/>
      <c r="H27" s="379"/>
      <c r="I27" s="627"/>
      <c r="J27" s="379"/>
      <c r="K27" s="379"/>
      <c r="L27" s="379"/>
      <c r="M27" s="379"/>
      <c r="N27" s="384"/>
    </row>
    <row r="28" spans="1:15">
      <c r="A28" s="686"/>
      <c r="B28" s="662"/>
      <c r="C28" s="379"/>
      <c r="D28" s="379"/>
      <c r="E28" s="379"/>
      <c r="F28" s="379"/>
      <c r="G28" s="379"/>
      <c r="H28" s="379"/>
      <c r="I28" s="379"/>
      <c r="J28" s="379"/>
      <c r="K28" s="379"/>
      <c r="L28" s="379"/>
      <c r="M28" s="379"/>
      <c r="N28" s="384"/>
    </row>
    <row r="29" spans="1:15" ht="14.5" thickBot="1">
      <c r="A29" s="686"/>
      <c r="B29" s="410" t="s">
        <v>2553</v>
      </c>
      <c r="C29" s="379"/>
      <c r="D29" s="379"/>
      <c r="E29" s="379"/>
      <c r="F29" s="379"/>
      <c r="G29" s="379"/>
      <c r="H29" s="379"/>
      <c r="I29" s="379"/>
      <c r="J29" s="379"/>
      <c r="K29" s="379"/>
      <c r="L29" s="379"/>
      <c r="M29" s="379"/>
      <c r="N29" s="384"/>
    </row>
    <row r="30" spans="1:15" ht="14.5" thickBot="1">
      <c r="A30" s="689">
        <v>2022</v>
      </c>
      <c r="B30" s="667">
        <v>287127</v>
      </c>
      <c r="C30" s="379" t="s">
        <v>3933</v>
      </c>
      <c r="D30" s="379"/>
      <c r="E30" s="379"/>
      <c r="F30" s="379"/>
      <c r="G30" s="379"/>
      <c r="H30" s="379"/>
      <c r="I30" s="379"/>
      <c r="J30" s="379"/>
      <c r="K30" s="379"/>
      <c r="L30" s="379"/>
      <c r="M30" s="379"/>
      <c r="N30" s="384"/>
    </row>
    <row r="31" spans="1:15">
      <c r="A31" s="654"/>
      <c r="C31" s="395"/>
      <c r="D31" s="379"/>
      <c r="E31" s="379"/>
      <c r="F31" s="627"/>
      <c r="G31" s="379"/>
      <c r="H31" s="379"/>
      <c r="I31" s="379"/>
      <c r="J31" s="379"/>
      <c r="K31" s="379"/>
      <c r="L31" s="379"/>
      <c r="M31" s="379"/>
      <c r="N31" s="384"/>
    </row>
    <row r="32" spans="1:15" ht="14.5" thickBot="1">
      <c r="A32" s="686"/>
      <c r="B32" s="386" t="s">
        <v>2554</v>
      </c>
      <c r="C32" s="379"/>
      <c r="D32" s="379"/>
      <c r="E32" s="371" t="s">
        <v>2557</v>
      </c>
      <c r="F32" s="379"/>
      <c r="G32" s="379"/>
      <c r="H32" s="379"/>
      <c r="I32" s="379"/>
      <c r="J32" s="379"/>
      <c r="K32" s="379"/>
      <c r="L32" s="379"/>
      <c r="M32" s="379"/>
      <c r="N32" s="384"/>
    </row>
    <row r="33" spans="1:14" ht="14.5" thickBot="1">
      <c r="A33" s="689">
        <v>2022</v>
      </c>
      <c r="B33" s="409">
        <v>11905745</v>
      </c>
      <c r="C33" s="117" t="s">
        <v>2568</v>
      </c>
      <c r="D33" s="397"/>
      <c r="E33" s="402">
        <v>45369</v>
      </c>
      <c r="F33" s="627"/>
      <c r="G33" s="379"/>
      <c r="H33" s="379"/>
      <c r="I33" s="379"/>
      <c r="J33" s="379"/>
      <c r="K33" s="379"/>
      <c r="L33" s="379"/>
      <c r="M33" s="379"/>
      <c r="N33" s="384"/>
    </row>
    <row r="34" spans="1:14">
      <c r="A34" s="686"/>
      <c r="B34" s="643"/>
      <c r="C34" s="117" t="s">
        <v>2569</v>
      </c>
      <c r="D34" s="379"/>
      <c r="E34" s="379"/>
      <c r="F34" s="379"/>
      <c r="G34" s="379"/>
      <c r="H34" s="379"/>
      <c r="I34" s="379"/>
      <c r="J34" s="379"/>
      <c r="K34" s="379"/>
      <c r="L34" s="379"/>
      <c r="M34" s="379"/>
      <c r="N34" s="384"/>
    </row>
    <row r="35" spans="1:14" ht="14.5" thickBot="1">
      <c r="A35" s="686"/>
      <c r="B35" s="386" t="s">
        <v>2555</v>
      </c>
      <c r="C35" s="379"/>
      <c r="D35" s="379"/>
      <c r="E35" s="379"/>
      <c r="F35" s="379"/>
      <c r="G35" s="379"/>
      <c r="H35" s="379"/>
      <c r="I35" s="379"/>
      <c r="J35" s="379"/>
      <c r="K35" s="379"/>
      <c r="L35" s="379"/>
      <c r="M35" s="379"/>
      <c r="N35" s="384"/>
    </row>
    <row r="36" spans="1:14" ht="14.5" thickBot="1">
      <c r="A36" s="689">
        <v>2022</v>
      </c>
      <c r="B36" s="409">
        <v>196609265</v>
      </c>
      <c r="C36" s="117" t="s">
        <v>2556</v>
      </c>
      <c r="D36" s="397"/>
      <c r="E36" s="402">
        <v>45369</v>
      </c>
      <c r="F36" s="627"/>
      <c r="G36" s="379"/>
      <c r="H36" s="379"/>
      <c r="I36" s="379"/>
      <c r="J36" s="379"/>
      <c r="K36" s="379"/>
      <c r="L36" s="379"/>
      <c r="M36" s="379"/>
      <c r="N36" s="384"/>
    </row>
    <row r="37" spans="1:14" ht="14.5" thickBot="1">
      <c r="A37" s="405"/>
      <c r="B37" s="663"/>
      <c r="C37" s="406" t="s">
        <v>2569</v>
      </c>
      <c r="D37" s="406"/>
      <c r="E37" s="406"/>
      <c r="F37" s="406"/>
      <c r="G37" s="406"/>
      <c r="H37" s="406"/>
      <c r="I37" s="406"/>
      <c r="J37" s="406"/>
      <c r="K37" s="406"/>
      <c r="L37" s="406"/>
      <c r="M37" s="406"/>
      <c r="N37" s="407"/>
    </row>
  </sheetData>
  <mergeCells count="3">
    <mergeCell ref="B16:H16"/>
    <mergeCell ref="B5:H5"/>
    <mergeCell ref="B9:F9"/>
  </mergeCells>
  <phoneticPr fontId="8" type="noConversion"/>
  <hyperlinks>
    <hyperlink ref="E32" r:id="rId1" xr:uid="{00000000-0004-0000-0200-000000000000}"/>
    <hyperlink ref="J7" r:id="rId2" xr:uid="{00000000-0004-0000-0200-000002000000}"/>
    <hyperlink ref="J8" r:id="rId3" display="https://www.iso-ne.com/isoexpress/web/reports/load-and-demand/-/tree/net-ener-peak-load" xr:uid="{00000000-0004-0000-0200-000003000000}"/>
    <hyperlink ref="J10" r:id="rId4" xr:uid="{F5795E41-7D01-4A6C-B230-53DE5050673C}"/>
    <hyperlink ref="J12" r:id="rId5" display="https://view.officeapps.live.com/op/view.aspx?src=https%3A%2F%2Fwww.iso-ne.com%2Fstatic-assets%2Fdocuments%2F2022%2F02%2F2022_energy_peak_by_source.xlsx&amp;wdOrigin=BROWSELINK" xr:uid="{3EA165D8-AB69-430F-817E-92E66A9EC36D}"/>
    <hyperlink ref="J18" r:id="rId6" display="https://www.iso-ne.com/isoexpress/web/reports/load-and-demand/-/tree/net-ener-peak-load" xr:uid="{BCD4343C-FAB8-4157-8326-1D290551FE0C}"/>
  </hyperlinks>
  <pageMargins left="0.7" right="0.7" top="0.75" bottom="0.75" header="0.3" footer="0.3"/>
  <pageSetup scale="68" orientation="landscape" r:id="rId7"/>
  <headerFooter>
    <oddFooter>&amp;R&amp;A Page &amp;P of &amp;N</oddFooter>
  </headerFooter>
  <legacyDrawing r:id="rId8"/>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theme="7" tint="0.79998168889431442"/>
    <pageSetUpPr fitToPage="1"/>
  </sheetPr>
  <dimension ref="A1:O235"/>
  <sheetViews>
    <sheetView zoomScaleNormal="100" workbookViewId="0"/>
  </sheetViews>
  <sheetFormatPr defaultColWidth="8.81640625" defaultRowHeight="12.5"/>
  <cols>
    <col min="1" max="1" width="54.1796875" customWidth="1"/>
    <col min="2" max="2" width="16.453125" customWidth="1"/>
    <col min="3" max="3" width="3.453125" customWidth="1"/>
    <col min="4" max="4" width="43.453125" style="28" customWidth="1"/>
    <col min="5" max="5" width="14.54296875" style="28" customWidth="1"/>
    <col min="6" max="7" width="25.453125" style="28" customWidth="1"/>
    <col min="8" max="8" width="3.453125" style="28" customWidth="1"/>
    <col min="9" max="9" width="19" style="28" customWidth="1"/>
    <col min="10" max="10" width="3.453125" style="28" customWidth="1"/>
    <col min="11" max="11" width="14.453125" style="28" customWidth="1"/>
    <col min="12" max="12" width="17.54296875" style="28" customWidth="1"/>
    <col min="13" max="13" width="3.453125" style="28" customWidth="1"/>
    <col min="14" max="14" width="12" style="28" customWidth="1"/>
    <col min="15" max="15" width="14.1796875" style="28" customWidth="1"/>
  </cols>
  <sheetData>
    <row r="1" spans="1:15" ht="21.75" customHeight="1">
      <c r="A1" s="103" t="s">
        <v>3998</v>
      </c>
    </row>
    <row r="2" spans="1:15" ht="14.25" customHeight="1">
      <c r="A2" s="655" t="s">
        <v>3588</v>
      </c>
    </row>
    <row r="3" spans="1:15" ht="15" customHeight="1">
      <c r="A3" s="20" t="s">
        <v>2704</v>
      </c>
    </row>
    <row r="4" spans="1:15" ht="15" customHeight="1">
      <c r="A4" s="20" t="s">
        <v>2584</v>
      </c>
    </row>
    <row r="6" spans="1:15" ht="13">
      <c r="A6" s="789" t="s">
        <v>1528</v>
      </c>
      <c r="B6" s="789"/>
      <c r="D6" s="790" t="s">
        <v>203</v>
      </c>
      <c r="E6" s="790"/>
      <c r="F6" s="790"/>
      <c r="G6" s="76"/>
      <c r="I6" s="76" t="s">
        <v>203</v>
      </c>
      <c r="K6" s="790" t="s">
        <v>203</v>
      </c>
      <c r="L6" s="790"/>
      <c r="N6" s="790" t="s">
        <v>203</v>
      </c>
      <c r="O6" s="790"/>
    </row>
    <row r="7" spans="1:15" ht="13">
      <c r="A7" s="789">
        <v>2022</v>
      </c>
      <c r="B7" s="789"/>
      <c r="D7" s="790" t="s">
        <v>204</v>
      </c>
      <c r="E7" s="790"/>
      <c r="F7" s="790"/>
      <c r="G7" s="76"/>
      <c r="H7" s="77"/>
      <c r="I7" s="76" t="s">
        <v>205</v>
      </c>
      <c r="K7" s="790" t="s">
        <v>206</v>
      </c>
      <c r="L7" s="790"/>
      <c r="N7" s="790" t="s">
        <v>207</v>
      </c>
      <c r="O7" s="790"/>
    </row>
    <row r="8" spans="1:15" s="12" customFormat="1" ht="35.5">
      <c r="A8" s="66"/>
      <c r="B8" s="67" t="s">
        <v>327</v>
      </c>
      <c r="D8" s="78" t="s">
        <v>208</v>
      </c>
      <c r="E8" s="78" t="s">
        <v>209</v>
      </c>
      <c r="F8" s="78" t="s">
        <v>2463</v>
      </c>
      <c r="G8" s="78" t="s">
        <v>2464</v>
      </c>
      <c r="H8" s="28"/>
      <c r="I8" s="65" t="s">
        <v>325</v>
      </c>
      <c r="J8" s="77"/>
      <c r="K8" s="65" t="s">
        <v>326</v>
      </c>
      <c r="L8" s="65" t="s">
        <v>327</v>
      </c>
      <c r="M8" s="77"/>
      <c r="N8" s="65" t="s">
        <v>328</v>
      </c>
      <c r="O8" s="65" t="s">
        <v>327</v>
      </c>
    </row>
    <row r="9" spans="1:15" s="12" customFormat="1" ht="27" customHeight="1">
      <c r="A9" s="68" t="s">
        <v>211</v>
      </c>
      <c r="B9" s="69">
        <f>SUM(B10:B15)</f>
        <v>17579025305.022121</v>
      </c>
      <c r="D9" s="65" t="s">
        <v>212</v>
      </c>
      <c r="E9" s="77"/>
      <c r="F9" s="78" t="s">
        <v>2465</v>
      </c>
      <c r="G9" s="78" t="s">
        <v>2466</v>
      </c>
      <c r="H9" s="79"/>
      <c r="I9" s="77"/>
      <c r="J9" s="77"/>
      <c r="K9" s="77"/>
      <c r="L9" s="77"/>
      <c r="M9" s="77"/>
      <c r="N9" s="77"/>
      <c r="O9" s="77"/>
    </row>
    <row r="10" spans="1:15">
      <c r="A10" s="70" t="s">
        <v>2467</v>
      </c>
      <c r="B10" s="71">
        <f>I23</f>
        <v>4556475687.1618586</v>
      </c>
      <c r="D10" s="80" t="s">
        <v>386</v>
      </c>
      <c r="E10" s="81" t="s">
        <v>43</v>
      </c>
      <c r="F10" s="79">
        <f>'EIA Form 923'!T2670-'EIA Form 923'!W2670</f>
        <v>0</v>
      </c>
      <c r="G10" s="79">
        <f>'EIA Form 923'!T2670</f>
        <v>0</v>
      </c>
      <c r="H10" s="79"/>
      <c r="I10" s="79">
        <f>F10*'GWPs &amp; Fuel EFs'!$N5</f>
        <v>0</v>
      </c>
      <c r="K10" s="79">
        <f>G10*'GWPs &amp; Fuel EFs'!$M33</f>
        <v>0</v>
      </c>
      <c r="L10" s="79">
        <f>K10*'GWPs &amp; Fuel EFs'!$D$11</f>
        <v>0</v>
      </c>
      <c r="N10" s="79">
        <f>G10*'GWPs &amp; Fuel EFs'!$M61</f>
        <v>0</v>
      </c>
      <c r="O10" s="79">
        <f>N10*'GWPs &amp; Fuel EFs'!$E$11</f>
        <v>0</v>
      </c>
    </row>
    <row r="11" spans="1:15">
      <c r="A11" s="70" t="s">
        <v>2468</v>
      </c>
      <c r="B11" s="72">
        <f>'EPA Part 75'!I407*2000</f>
        <v>12876707389.999998</v>
      </c>
      <c r="D11" s="80" t="s">
        <v>387</v>
      </c>
      <c r="E11" s="81" t="s">
        <v>48</v>
      </c>
      <c r="F11" s="79">
        <f>'EIA Form 923'!T2671-'EIA Form 923'!W2671</f>
        <v>0</v>
      </c>
      <c r="G11" s="79">
        <f>'EIA Form 923'!T2671</f>
        <v>0</v>
      </c>
      <c r="I11" s="79">
        <f>F11*'GWPs &amp; Fuel EFs'!$N6</f>
        <v>0</v>
      </c>
      <c r="K11" s="79">
        <f>G11*'GWPs &amp; Fuel EFs'!$M34</f>
        <v>0</v>
      </c>
      <c r="L11" s="79">
        <f>K11*'GWPs &amp; Fuel EFs'!$D$11</f>
        <v>0</v>
      </c>
      <c r="N11" s="79">
        <f>G11*'GWPs &amp; Fuel EFs'!$M62</f>
        <v>0</v>
      </c>
      <c r="O11" s="79">
        <f>N11*'GWPs &amp; Fuel EFs'!$E$11</f>
        <v>0</v>
      </c>
    </row>
    <row r="12" spans="1:15">
      <c r="A12" s="70" t="s">
        <v>213</v>
      </c>
      <c r="B12" s="71">
        <f>L23</f>
        <v>34611426.480625972</v>
      </c>
      <c r="D12" s="80" t="s">
        <v>375</v>
      </c>
      <c r="E12" s="81" t="s">
        <v>46</v>
      </c>
      <c r="F12" s="79">
        <f>'EIA Form 923'!T2672-'EIA Form 923'!W2672</f>
        <v>274607</v>
      </c>
      <c r="G12" s="79">
        <f>'EIA Form 923'!T2672</f>
        <v>3841398</v>
      </c>
      <c r="I12" s="79">
        <f>F12*'GWPs &amp; Fuel EFs'!$N7</f>
        <v>44884658.812967591</v>
      </c>
      <c r="K12" s="79">
        <f>G12*'GWPs &amp; Fuel EFs'!$M35</f>
        <v>25406.49876966828</v>
      </c>
      <c r="L12" s="79">
        <f>K12*'GWPs &amp; Fuel EFs'!$D$11</f>
        <v>635162.469241707</v>
      </c>
      <c r="N12" s="79">
        <f>G12*'GWPs &amp; Fuel EFs'!$M63</f>
        <v>5081.2997539336557</v>
      </c>
      <c r="O12" s="79">
        <f>N12*'GWPs &amp; Fuel EFs'!$E$11</f>
        <v>1514227.3266722295</v>
      </c>
    </row>
    <row r="13" spans="1:15">
      <c r="A13" s="70" t="s">
        <v>214</v>
      </c>
      <c r="B13" s="71">
        <f>O23</f>
        <v>53446484.389578968</v>
      </c>
      <c r="D13" s="80" t="s">
        <v>374</v>
      </c>
      <c r="E13" s="81" t="s">
        <v>39</v>
      </c>
      <c r="F13" s="79">
        <f>'EIA Form 923'!T2673-'EIA Form 923'!W2673</f>
        <v>9836250</v>
      </c>
      <c r="G13" s="79">
        <f>'EIA Form 923'!T2673</f>
        <v>113255432</v>
      </c>
      <c r="I13" s="79">
        <f>F13*'GWPs &amp; Fuel EFs'!$N8</f>
        <v>1147363586.7622497</v>
      </c>
      <c r="K13" s="79">
        <f>G13*'GWPs &amp; Fuel EFs'!$M36</f>
        <v>249685.48722507185</v>
      </c>
      <c r="L13" s="79">
        <f>K13*'GWPs &amp; Fuel EFs'!$D$11</f>
        <v>6242137.1806267966</v>
      </c>
      <c r="N13" s="79">
        <f>G13*'GWPs &amp; Fuel EFs'!$M64</f>
        <v>24968.548722507185</v>
      </c>
      <c r="O13" s="79">
        <f>N13*'GWPs &amp; Fuel EFs'!$E$11</f>
        <v>7440627.5193071412</v>
      </c>
    </row>
    <row r="14" spans="1:15">
      <c r="A14" s="70" t="s">
        <v>215</v>
      </c>
      <c r="B14" s="71">
        <f>L33</f>
        <v>21663878.4736166</v>
      </c>
      <c r="D14" s="80" t="s">
        <v>388</v>
      </c>
      <c r="E14" s="81" t="s">
        <v>17</v>
      </c>
      <c r="F14" s="79">
        <f>'EIA Form 923'!T2674-'EIA Form 923'!W2674</f>
        <v>16421289</v>
      </c>
      <c r="G14" s="79">
        <f>'EIA Form 923'!T2674</f>
        <v>16421289</v>
      </c>
      <c r="I14" s="79">
        <f>F14*'GWPs &amp; Fuel EFs'!$N9</f>
        <v>3327437404.1592903</v>
      </c>
      <c r="K14" s="79">
        <f>G14*'GWPs &amp; Fuel EFs'!$M37</f>
        <v>1088583.6654828645</v>
      </c>
      <c r="L14" s="79">
        <f>K14*'GWPs &amp; Fuel EFs'!$D$11</f>
        <v>27214591.637071613</v>
      </c>
      <c r="N14" s="79">
        <f>G14*'GWPs &amp; Fuel EFs'!$M65</f>
        <v>145144.48873104865</v>
      </c>
      <c r="O14" s="79">
        <f>N14*'GWPs &amp; Fuel EFs'!$E$11</f>
        <v>43253057.641852498</v>
      </c>
    </row>
    <row r="15" spans="1:15">
      <c r="A15" s="70" t="s">
        <v>216</v>
      </c>
      <c r="B15" s="71">
        <f>O33</f>
        <v>36120438.516441032</v>
      </c>
      <c r="D15" s="80" t="s">
        <v>389</v>
      </c>
      <c r="E15" s="81" t="s">
        <v>82</v>
      </c>
      <c r="F15" s="79">
        <f>'EIA Form 923'!T2675-'EIA Form 923'!W2675</f>
        <v>0</v>
      </c>
      <c r="G15" s="79">
        <f>'EIA Form 923'!T2675</f>
        <v>0</v>
      </c>
      <c r="I15" s="79">
        <f>F15*'GWPs &amp; Fuel EFs'!$N10</f>
        <v>0</v>
      </c>
      <c r="K15" s="79">
        <f>G15*'GWPs &amp; Fuel EFs'!$M38</f>
        <v>0</v>
      </c>
      <c r="L15" s="79">
        <f>K15*'GWPs &amp; Fuel EFs'!$D$11</f>
        <v>0</v>
      </c>
      <c r="N15" s="79">
        <f>G15*'GWPs &amp; Fuel EFs'!$M66</f>
        <v>0</v>
      </c>
      <c r="O15" s="79">
        <f>N15*'GWPs &amp; Fuel EFs'!$E$11</f>
        <v>0</v>
      </c>
    </row>
    <row r="16" spans="1:15">
      <c r="A16" s="70"/>
      <c r="B16" s="70"/>
      <c r="D16" s="80" t="s">
        <v>384</v>
      </c>
      <c r="E16" s="81" t="s">
        <v>396</v>
      </c>
      <c r="F16" s="79">
        <f>'EIA Form 923'!T2676-'EIA Form 923'!W2676</f>
        <v>0</v>
      </c>
      <c r="G16" s="79">
        <f>'EIA Form 923'!T2676</f>
        <v>0</v>
      </c>
      <c r="I16" s="79">
        <f>F16*'GWPs &amp; Fuel EFs'!$N11</f>
        <v>0</v>
      </c>
      <c r="K16" s="79">
        <f>G16*'GWPs &amp; Fuel EFs'!$M39</f>
        <v>0</v>
      </c>
      <c r="L16" s="79">
        <f>K16*'GWPs &amp; Fuel EFs'!$D$11</f>
        <v>0</v>
      </c>
      <c r="N16" s="79">
        <f>G16*'GWPs &amp; Fuel EFs'!$M67</f>
        <v>0</v>
      </c>
      <c r="O16" s="79">
        <f>N16*'GWPs &amp; Fuel EFs'!$E$11</f>
        <v>0</v>
      </c>
    </row>
    <row r="17" spans="1:15">
      <c r="A17" s="70"/>
      <c r="B17" s="631"/>
      <c r="D17" s="80" t="s">
        <v>377</v>
      </c>
      <c r="E17" s="81" t="s">
        <v>65</v>
      </c>
      <c r="F17" s="79">
        <f>'EIA Form 923'!T2677-'EIA Form 923'!W2677</f>
        <v>0</v>
      </c>
      <c r="G17" s="79">
        <f>'EIA Form 923'!T2677</f>
        <v>0</v>
      </c>
      <c r="I17" s="79">
        <f>F17*'GWPs &amp; Fuel EFs'!$N12</f>
        <v>0</v>
      </c>
      <c r="K17" s="79">
        <f>G17*'GWPs &amp; Fuel EFs'!$M40</f>
        <v>0</v>
      </c>
      <c r="L17" s="79">
        <f>K17*'GWPs &amp; Fuel EFs'!$D$11</f>
        <v>0</v>
      </c>
      <c r="N17" s="79">
        <f>G17*'GWPs &amp; Fuel EFs'!$M68</f>
        <v>0</v>
      </c>
      <c r="O17" s="79">
        <f>N17*'GWPs &amp; Fuel EFs'!$E$11</f>
        <v>0</v>
      </c>
    </row>
    <row r="18" spans="1:15">
      <c r="A18" s="70"/>
      <c r="B18" s="70"/>
      <c r="D18" s="80" t="s">
        <v>376</v>
      </c>
      <c r="E18" s="81" t="s">
        <v>61</v>
      </c>
      <c r="F18" s="79">
        <f>'EIA Form 923'!T2678-'EIA Form 923'!W2678</f>
        <v>0</v>
      </c>
      <c r="G18" s="79">
        <f>'EIA Form 923'!T2678</f>
        <v>2969676</v>
      </c>
      <c r="I18" s="79">
        <f>F18*'GWPs &amp; Fuel EFs'!$N13</f>
        <v>0</v>
      </c>
      <c r="K18" s="79">
        <f>G18*'GWPs &amp; Fuel EFs'!$M41</f>
        <v>19641.044651013359</v>
      </c>
      <c r="L18" s="79">
        <f>K18*'GWPs &amp; Fuel EFs'!$D$11</f>
        <v>491026.11627533397</v>
      </c>
      <c r="N18" s="79">
        <f>G18*'GWPs &amp; Fuel EFs'!$M69</f>
        <v>3928.2089302026716</v>
      </c>
      <c r="O18" s="79">
        <f>N18*'GWPs &amp; Fuel EFs'!$E$11</f>
        <v>1170606.2612003961</v>
      </c>
    </row>
    <row r="19" spans="1:15">
      <c r="A19" s="70"/>
      <c r="B19" s="70"/>
      <c r="D19" s="80" t="s">
        <v>378</v>
      </c>
      <c r="E19" s="81" t="s">
        <v>66</v>
      </c>
      <c r="F19" s="79">
        <f>'EIA Form 923'!T2679-'EIA Form 923'!W2679</f>
        <v>0</v>
      </c>
      <c r="G19" s="79">
        <f>'EIA Form 923'!T2679</f>
        <v>0</v>
      </c>
      <c r="I19" s="79">
        <f>F19*'GWPs &amp; Fuel EFs'!$N14</f>
        <v>0</v>
      </c>
      <c r="K19" s="79">
        <f>G19*'GWPs &amp; Fuel EFs'!$M42</f>
        <v>0</v>
      </c>
      <c r="L19" s="79">
        <f>K19*'GWPs &amp; Fuel EFs'!$D$11</f>
        <v>0</v>
      </c>
      <c r="N19" s="79">
        <f>G19*'GWPs &amp; Fuel EFs'!$M70</f>
        <v>0</v>
      </c>
      <c r="O19" s="79">
        <f>N19*'GWPs &amp; Fuel EFs'!$E$11</f>
        <v>0</v>
      </c>
    </row>
    <row r="20" spans="1:15">
      <c r="A20" s="70"/>
      <c r="B20" s="70"/>
      <c r="D20" s="80" t="s">
        <v>379</v>
      </c>
      <c r="E20" s="81" t="s">
        <v>76</v>
      </c>
      <c r="F20" s="79">
        <f>'EIA Form 923'!T2680-'EIA Form 923'!W2680</f>
        <v>712</v>
      </c>
      <c r="G20" s="79">
        <f>'EIA Form 923'!T2680</f>
        <v>172420</v>
      </c>
      <c r="I20" s="79">
        <f>F20*'GWPs &amp; Fuel EFs'!$N15</f>
        <v>114880.32735087039</v>
      </c>
      <c r="K20" s="79">
        <f>G20*'GWPs &amp; Fuel EFs'!$M43</f>
        <v>1140.3630964212</v>
      </c>
      <c r="L20" s="79">
        <f>K20*'GWPs &amp; Fuel EFs'!$D$11</f>
        <v>28509.077410530001</v>
      </c>
      <c r="N20" s="79">
        <f>G20*'GWPs &amp; Fuel EFs'!$M71</f>
        <v>228.07261928423998</v>
      </c>
      <c r="O20" s="79">
        <f>N20*'GWPs &amp; Fuel EFs'!$E$11</f>
        <v>67965.640546703507</v>
      </c>
    </row>
    <row r="21" spans="1:15">
      <c r="A21" s="70"/>
      <c r="B21" s="70"/>
      <c r="D21" s="80" t="s">
        <v>380</v>
      </c>
      <c r="E21" s="81" t="s">
        <v>73</v>
      </c>
      <c r="F21" s="79">
        <f>'EIA Form 923'!T2681-'EIA Form 923'!W2681</f>
        <v>0</v>
      </c>
      <c r="G21" s="79">
        <f>'EIA Form 923'!T2681</f>
        <v>0</v>
      </c>
      <c r="I21" s="79">
        <f>F21*'GWPs &amp; Fuel EFs'!$N16</f>
        <v>0</v>
      </c>
      <c r="K21" s="79">
        <f>G21*'GWPs &amp; Fuel EFs'!$M44</f>
        <v>0</v>
      </c>
      <c r="L21" s="79">
        <f>K21*'GWPs &amp; Fuel EFs'!$D$11</f>
        <v>0</v>
      </c>
      <c r="N21" s="79">
        <f>G21*'GWPs &amp; Fuel EFs'!$M72</f>
        <v>0</v>
      </c>
      <c r="O21" s="79">
        <f>N21*'GWPs &amp; Fuel EFs'!$E$11</f>
        <v>0</v>
      </c>
    </row>
    <row r="22" spans="1:15">
      <c r="A22" s="70"/>
      <c r="B22" s="70"/>
      <c r="D22" s="80" t="s">
        <v>429</v>
      </c>
      <c r="E22" s="81" t="s">
        <v>420</v>
      </c>
      <c r="F22" s="79">
        <f>'EIA Form 923'!T2682-'EIA Form 923'!W2682</f>
        <v>0</v>
      </c>
      <c r="G22" s="79">
        <f>'EIA Form 923'!T2682</f>
        <v>0</v>
      </c>
      <c r="I22" s="79">
        <f>F22*'GWPs &amp; Fuel EFs'!$N17</f>
        <v>0</v>
      </c>
      <c r="K22" s="79">
        <f>G22*'GWPs &amp; Fuel EFs'!$M45</f>
        <v>0</v>
      </c>
      <c r="L22" s="79">
        <f>K22*'GWPs &amp; Fuel EFs'!$D$11</f>
        <v>0</v>
      </c>
      <c r="N22" s="79">
        <f>G22*'GWPs &amp; Fuel EFs'!$M73</f>
        <v>0</v>
      </c>
      <c r="O22" s="79">
        <f>N22*'GWPs &amp; Fuel EFs'!$E$11</f>
        <v>0</v>
      </c>
    </row>
    <row r="23" spans="1:15">
      <c r="A23" s="70"/>
      <c r="B23" s="70"/>
      <c r="D23" s="134" t="s">
        <v>3001</v>
      </c>
      <c r="E23" s="135" t="s">
        <v>2998</v>
      </c>
      <c r="F23" s="142">
        <f>'EIA Form 923'!U2846*'GWPs &amp; Fuel EFs'!$E$34</f>
        <v>36675157.100000001</v>
      </c>
      <c r="G23" s="142" t="s">
        <v>3004</v>
      </c>
      <c r="I23" s="82">
        <f>SUM(I10:I22)+F23</f>
        <v>4556475687.1618586</v>
      </c>
      <c r="K23" s="79"/>
      <c r="L23" s="82">
        <f>SUM(L10:L22)</f>
        <v>34611426.480625972</v>
      </c>
      <c r="N23" s="79"/>
      <c r="O23" s="82">
        <f>SUM(O10:O22)</f>
        <v>53446484.389578968</v>
      </c>
    </row>
    <row r="24" spans="1:15" ht="13">
      <c r="A24" s="73" t="s">
        <v>217</v>
      </c>
      <c r="B24" s="69">
        <f>I33</f>
        <v>3138119574.3445921</v>
      </c>
      <c r="D24" s="65" t="s">
        <v>218</v>
      </c>
      <c r="F24" s="79"/>
      <c r="G24" s="79"/>
      <c r="I24" s="82"/>
      <c r="K24" s="79"/>
      <c r="L24" s="82"/>
      <c r="N24" s="79"/>
      <c r="O24" s="82"/>
    </row>
    <row r="25" spans="1:15">
      <c r="A25" s="70"/>
      <c r="B25" s="70"/>
      <c r="D25" s="80" t="s">
        <v>382</v>
      </c>
      <c r="E25" s="81" t="s">
        <v>63</v>
      </c>
      <c r="F25" s="79">
        <f>'EIA Form 923'!T2684-'EIA Form 923'!W2684</f>
        <v>1255520</v>
      </c>
      <c r="G25" s="79">
        <f>'EIA Form 923'!T2684</f>
        <v>1255520</v>
      </c>
      <c r="I25" s="79">
        <f>F25*'GWPs &amp; Fuel EFs'!$N20</f>
        <v>144127041.52227515</v>
      </c>
      <c r="K25" s="79">
        <f>G25*'GWPs &amp; Fuel EFs'!$M48</f>
        <v>8857.4329339596807</v>
      </c>
      <c r="L25" s="79">
        <f>K25*'GWPs &amp; Fuel EFs'!$D$11</f>
        <v>221435.82334899201</v>
      </c>
      <c r="N25" s="79">
        <f>G25*'GWPs &amp; Fuel EFs'!$M76</f>
        <v>1743.8071088733118</v>
      </c>
      <c r="O25" s="79">
        <f>N25*'GWPs &amp; Fuel EFs'!$E$11</f>
        <v>519654.5184442469</v>
      </c>
    </row>
    <row r="26" spans="1:15">
      <c r="A26" s="70"/>
      <c r="B26" s="72"/>
      <c r="D26" s="80" t="s">
        <v>385</v>
      </c>
      <c r="E26" s="81" t="s">
        <v>16</v>
      </c>
      <c r="F26" s="79">
        <f>'EIA Form 923'!T2685-'EIA Form 923'!W2685</f>
        <v>13435435</v>
      </c>
      <c r="G26" s="79">
        <f>'EIA Form 923'!T2685</f>
        <v>13435435</v>
      </c>
      <c r="I26" s="79">
        <f>F26*'GWPs &amp; Fuel EFs'!$N21</f>
        <v>2812573953.5569906</v>
      </c>
      <c r="K26" s="79">
        <f>G26*'GWPs &amp; Fuel EFs'!$M49</f>
        <v>843772.18606709712</v>
      </c>
      <c r="L26" s="79">
        <f>K26*'GWPs &amp; Fuel EFs'!$D$11</f>
        <v>21094304.65167743</v>
      </c>
      <c r="N26" s="79">
        <f>G26*'GWPs &amp; Fuel EFs'!$M77</f>
        <v>112502.95814227962</v>
      </c>
      <c r="O26" s="79">
        <f>N26*'GWPs &amp; Fuel EFs'!$E$11</f>
        <v>33525881.526399326</v>
      </c>
    </row>
    <row r="27" spans="1:15">
      <c r="A27" s="70"/>
      <c r="B27" s="70"/>
      <c r="D27" s="80" t="s">
        <v>381</v>
      </c>
      <c r="E27" s="81" t="s">
        <v>151</v>
      </c>
      <c r="F27" s="79">
        <f>'EIA Form 923'!T2686-'EIA Form 923'!W2686</f>
        <v>0</v>
      </c>
      <c r="G27" s="79">
        <f>'EIA Form 923'!T2686</f>
        <v>0</v>
      </c>
      <c r="I27" s="79">
        <f>F27*'GWPs &amp; Fuel EFs'!$N22</f>
        <v>0</v>
      </c>
      <c r="K27" s="79">
        <f>G27*'GWPs &amp; Fuel EFs'!$M50</f>
        <v>0</v>
      </c>
      <c r="L27" s="79">
        <f>K27*'GWPs &amp; Fuel EFs'!$D$11</f>
        <v>0</v>
      </c>
      <c r="N27" s="79">
        <f>G27*'GWPs &amp; Fuel EFs'!$M78</f>
        <v>0</v>
      </c>
      <c r="O27" s="79">
        <f>N27*'GWPs &amp; Fuel EFs'!$E$11</f>
        <v>0</v>
      </c>
    </row>
    <row r="28" spans="1:15">
      <c r="A28" s="70"/>
      <c r="B28" s="70"/>
      <c r="D28" s="80" t="s">
        <v>390</v>
      </c>
      <c r="E28" s="81" t="s">
        <v>69</v>
      </c>
      <c r="F28" s="79">
        <f>'EIA Form 923'!T2687-'EIA Form 923'!W2687</f>
        <v>877293</v>
      </c>
      <c r="G28" s="79">
        <f>'EIA Form 923'!T2687</f>
        <v>877293</v>
      </c>
      <c r="I28" s="79">
        <f>F28*'GWPs &amp; Fuel EFs'!$N23</f>
        <v>181418579.2653265</v>
      </c>
      <c r="K28" s="79">
        <f>G28*'GWPs &amp; Fuel EFs'!$M51</f>
        <v>13925.519943607151</v>
      </c>
      <c r="L28" s="79">
        <f>K28*'GWPs &amp; Fuel EFs'!$D$11</f>
        <v>348137.99859017879</v>
      </c>
      <c r="N28" s="79">
        <f>G28*'GWPs &amp; Fuel EFs'!$M79</f>
        <v>6962.7599718035754</v>
      </c>
      <c r="O28" s="79">
        <f>N28*'GWPs &amp; Fuel EFs'!$E$11</f>
        <v>2074902.4715974655</v>
      </c>
    </row>
    <row r="29" spans="1:15">
      <c r="A29" s="70"/>
      <c r="B29" s="70"/>
      <c r="D29" s="80" t="s">
        <v>383</v>
      </c>
      <c r="E29" s="81" t="s">
        <v>152</v>
      </c>
      <c r="F29" s="79">
        <f>'EIA Form 923'!T2688-'EIA Form 923'!W2688</f>
        <v>0</v>
      </c>
      <c r="G29" s="79">
        <f>'EIA Form 923'!T2688</f>
        <v>0</v>
      </c>
      <c r="I29" s="79">
        <f>F29*'GWPs &amp; Fuel EFs'!$N24</f>
        <v>0</v>
      </c>
      <c r="K29" s="79">
        <f>G29*'GWPs &amp; Fuel EFs'!$M52</f>
        <v>0</v>
      </c>
      <c r="L29" s="79">
        <f>K29*'GWPs &amp; Fuel EFs'!$D$11</f>
        <v>0</v>
      </c>
      <c r="N29" s="79">
        <f>G29*'GWPs &amp; Fuel EFs'!$M80</f>
        <v>0</v>
      </c>
      <c r="O29" s="79">
        <f>N29*'GWPs &amp; Fuel EFs'!$E$11</f>
        <v>0</v>
      </c>
    </row>
    <row r="30" spans="1:15">
      <c r="A30" s="70"/>
      <c r="B30" s="70"/>
      <c r="D30" s="80" t="s">
        <v>431</v>
      </c>
      <c r="E30" s="81" t="s">
        <v>413</v>
      </c>
      <c r="F30" s="79">
        <f>'EIA Form 923'!T2689-'EIA Form 923'!W2689</f>
        <v>0</v>
      </c>
      <c r="G30" s="79">
        <f>'EIA Form 923'!T2689</f>
        <v>0</v>
      </c>
      <c r="I30" s="79">
        <f>F30*'GWPs &amp; Fuel EFs'!$N25</f>
        <v>0</v>
      </c>
      <c r="K30" s="79">
        <f>G30*'GWPs &amp; Fuel EFs'!$M53</f>
        <v>0</v>
      </c>
      <c r="L30" s="79">
        <f>K30*'GWPs &amp; Fuel EFs'!$D$11</f>
        <v>0</v>
      </c>
      <c r="N30" s="79">
        <f>G30*'GWPs &amp; Fuel EFs'!$M81</f>
        <v>0</v>
      </c>
      <c r="O30" s="79">
        <f>N30*'GWPs &amp; Fuel EFs'!$E$11</f>
        <v>0</v>
      </c>
    </row>
    <row r="31" spans="1:15">
      <c r="A31" s="70"/>
      <c r="B31" s="70"/>
      <c r="D31" s="80" t="s">
        <v>2456</v>
      </c>
      <c r="E31" s="81" t="s">
        <v>418</v>
      </c>
      <c r="F31" s="79">
        <f>'EIA Form 923'!T2690-'EIA Form 923'!W2690</f>
        <v>0</v>
      </c>
      <c r="G31" s="79">
        <f>'EIA Form 923'!T2690</f>
        <v>0</v>
      </c>
      <c r="I31" s="79">
        <f>F31*'GWPs &amp; Fuel EFs'!$N26</f>
        <v>0</v>
      </c>
      <c r="K31" s="79">
        <f>G31*'GWPs &amp; Fuel EFs'!$M54</f>
        <v>0</v>
      </c>
      <c r="L31" s="79">
        <f>K31*'GWPs &amp; Fuel EFs'!$D$11</f>
        <v>0</v>
      </c>
      <c r="N31" s="79">
        <f>G31*'GWPs &amp; Fuel EFs'!$M82</f>
        <v>0</v>
      </c>
      <c r="O31" s="79">
        <f>N31*'GWPs &amp; Fuel EFs'!$E$11</f>
        <v>0</v>
      </c>
    </row>
    <row r="32" spans="1:15">
      <c r="A32" s="70"/>
      <c r="B32" s="70"/>
      <c r="D32" s="80" t="s">
        <v>430</v>
      </c>
      <c r="E32" s="81" t="s">
        <v>68</v>
      </c>
      <c r="F32" s="79">
        <f>'EIA Form 923'!T2691-'EIA Form 923'!W2691</f>
        <v>0</v>
      </c>
      <c r="G32" s="79">
        <f>'EIA Form 923'!T2691</f>
        <v>0</v>
      </c>
      <c r="I32" s="79">
        <f>F32*'GWPs &amp; Fuel EFs'!$N27</f>
        <v>0</v>
      </c>
      <c r="K32" s="79">
        <f>G32*'GWPs &amp; Fuel EFs'!$M55</f>
        <v>0</v>
      </c>
      <c r="L32" s="79">
        <f>K32*'GWPs &amp; Fuel EFs'!$D$11</f>
        <v>0</v>
      </c>
      <c r="N32" s="79">
        <f>G32*'GWPs &amp; Fuel EFs'!$M83</f>
        <v>0</v>
      </c>
      <c r="O32" s="79">
        <f>N32*'GWPs &amp; Fuel EFs'!$E$11</f>
        <v>0</v>
      </c>
    </row>
    <row r="33" spans="1:15">
      <c r="A33" s="74"/>
      <c r="B33" s="75"/>
      <c r="I33" s="82">
        <f>SUM(I25:I32)</f>
        <v>3138119574.3445921</v>
      </c>
      <c r="L33" s="82">
        <f>SUM(L25:L32)</f>
        <v>21663878.4736166</v>
      </c>
      <c r="O33" s="82">
        <f>SUM(O25:O32)</f>
        <v>36120438.516441032</v>
      </c>
    </row>
    <row r="34" spans="1:15">
      <c r="A34" s="74"/>
      <c r="B34" s="75"/>
    </row>
    <row r="35" spans="1:15">
      <c r="A35" s="13"/>
      <c r="B35" s="13"/>
      <c r="D35" s="83"/>
      <c r="E35" s="83"/>
      <c r="F35" s="83"/>
      <c r="G35" s="83"/>
      <c r="I35" s="83"/>
      <c r="K35" s="83"/>
      <c r="L35" s="83"/>
      <c r="N35" s="83"/>
      <c r="O35" s="83"/>
    </row>
    <row r="36" spans="1:15" ht="13">
      <c r="A36" s="789" t="s">
        <v>1529</v>
      </c>
      <c r="B36" s="789"/>
      <c r="D36" s="86" t="s">
        <v>223</v>
      </c>
      <c r="E36" s="86"/>
      <c r="F36" s="86"/>
      <c r="G36" s="86"/>
      <c r="I36" s="76" t="s">
        <v>223</v>
      </c>
      <c r="K36" s="790" t="s">
        <v>223</v>
      </c>
      <c r="L36" s="790"/>
      <c r="N36" s="790" t="s">
        <v>223</v>
      </c>
      <c r="O36" s="790"/>
    </row>
    <row r="37" spans="1:15" ht="13">
      <c r="A37" s="789">
        <f>A7</f>
        <v>2022</v>
      </c>
      <c r="B37" s="789"/>
      <c r="D37" s="86" t="s">
        <v>204</v>
      </c>
      <c r="E37" s="86"/>
      <c r="F37" s="86"/>
      <c r="G37" s="86"/>
      <c r="I37" s="76" t="s">
        <v>205</v>
      </c>
      <c r="K37" s="790" t="s">
        <v>206</v>
      </c>
      <c r="L37" s="790"/>
      <c r="N37" s="790" t="s">
        <v>207</v>
      </c>
      <c r="O37" s="790"/>
    </row>
    <row r="38" spans="1:15" s="12" customFormat="1" ht="35.5">
      <c r="A38" s="66"/>
      <c r="B38" s="67" t="s">
        <v>327</v>
      </c>
      <c r="D38" s="78" t="s">
        <v>208</v>
      </c>
      <c r="E38" s="78" t="s">
        <v>209</v>
      </c>
      <c r="F38" s="78" t="s">
        <v>2463</v>
      </c>
      <c r="G38" s="78" t="s">
        <v>2464</v>
      </c>
      <c r="H38" s="28"/>
      <c r="I38" s="65" t="s">
        <v>325</v>
      </c>
      <c r="J38" s="77"/>
      <c r="K38" s="65" t="s">
        <v>326</v>
      </c>
      <c r="L38" s="65" t="s">
        <v>327</v>
      </c>
      <c r="M38" s="77"/>
      <c r="N38" s="65" t="s">
        <v>328</v>
      </c>
      <c r="O38" s="65" t="s">
        <v>327</v>
      </c>
    </row>
    <row r="39" spans="1:15" ht="26.25" customHeight="1">
      <c r="A39" s="68" t="s">
        <v>211</v>
      </c>
      <c r="B39" s="69">
        <f>SUM(B40:B45)</f>
        <v>22397935779.161583</v>
      </c>
      <c r="D39" s="65" t="s">
        <v>212</v>
      </c>
      <c r="E39" s="65"/>
      <c r="F39" s="78" t="s">
        <v>2465</v>
      </c>
      <c r="G39" s="78" t="s">
        <v>2466</v>
      </c>
      <c r="K39" s="77"/>
      <c r="L39" s="77"/>
      <c r="N39" s="77"/>
      <c r="O39" s="77"/>
    </row>
    <row r="40" spans="1:15">
      <c r="A40" s="70" t="s">
        <v>2467</v>
      </c>
      <c r="B40" s="71">
        <f>I53</f>
        <v>2605173675.0840745</v>
      </c>
      <c r="D40" s="80" t="s">
        <v>386</v>
      </c>
      <c r="E40" s="81" t="s">
        <v>43</v>
      </c>
      <c r="F40" s="79">
        <f>'EIA Form 923'!T2695-'EIA Form 923'!W2695</f>
        <v>0</v>
      </c>
      <c r="G40" s="79">
        <f>'EIA Form 923'!T2695</f>
        <v>0</v>
      </c>
      <c r="I40" s="79">
        <f>F40*'GWPs &amp; Fuel EFs'!$N5</f>
        <v>0</v>
      </c>
      <c r="K40" s="79">
        <f>G40*'GWPs &amp; Fuel EFs'!$M33</f>
        <v>0</v>
      </c>
      <c r="L40" s="79">
        <f>K40*'GWPs &amp; Fuel EFs'!$D$11</f>
        <v>0</v>
      </c>
      <c r="N40" s="79">
        <f>G40*'GWPs &amp; Fuel EFs'!$M61</f>
        <v>0</v>
      </c>
      <c r="O40" s="79">
        <f>N40*'GWPs &amp; Fuel EFs'!$E$11</f>
        <v>0</v>
      </c>
    </row>
    <row r="41" spans="1:15">
      <c r="A41" s="70" t="s">
        <v>2468</v>
      </c>
      <c r="B41" s="72">
        <f>'EPA Part 75'!I406*2000</f>
        <v>19696127306</v>
      </c>
      <c r="D41" s="80" t="s">
        <v>387</v>
      </c>
      <c r="E41" s="81" t="s">
        <v>48</v>
      </c>
      <c r="F41" s="79">
        <f>'EIA Form 923'!T2696-'EIA Form 923'!W2696</f>
        <v>0</v>
      </c>
      <c r="G41" s="79">
        <f>'EIA Form 923'!T2696</f>
        <v>0</v>
      </c>
      <c r="I41" s="79">
        <f>F41*'GWPs &amp; Fuel EFs'!$N6</f>
        <v>0</v>
      </c>
      <c r="K41" s="79">
        <f>G41*'GWPs &amp; Fuel EFs'!$M34</f>
        <v>0</v>
      </c>
      <c r="L41" s="79">
        <f>K41*'GWPs &amp; Fuel EFs'!$D$11</f>
        <v>0</v>
      </c>
      <c r="N41" s="79">
        <f>G41*'GWPs &amp; Fuel EFs'!$M62</f>
        <v>0</v>
      </c>
      <c r="O41" s="79">
        <f>N41*'GWPs &amp; Fuel EFs'!$E$11</f>
        <v>0</v>
      </c>
    </row>
    <row r="42" spans="1:15">
      <c r="A42" s="70" t="s">
        <v>213</v>
      </c>
      <c r="B42" s="71">
        <f>L53</f>
        <v>25132239.632111859</v>
      </c>
      <c r="D42" s="80" t="s">
        <v>375</v>
      </c>
      <c r="E42" s="81" t="s">
        <v>46</v>
      </c>
      <c r="F42" s="79">
        <f>'EIA Form 923'!T2697-'EIA Form 923'!W2697</f>
        <v>238746</v>
      </c>
      <c r="G42" s="79">
        <f>'EIA Form 923'!T2697</f>
        <v>448473</v>
      </c>
      <c r="I42" s="79">
        <f>F42*'GWPs &amp; Fuel EFs'!$N7</f>
        <v>39023159.471392795</v>
      </c>
      <c r="K42" s="79">
        <f>G42*'GWPs &amp; Fuel EFs'!$M35</f>
        <v>2966.14116077778</v>
      </c>
      <c r="L42" s="79">
        <f>K42*'GWPs &amp; Fuel EFs'!$D$11</f>
        <v>74153.529019444497</v>
      </c>
      <c r="N42" s="79">
        <f>G42*'GWPs &amp; Fuel EFs'!$M63</f>
        <v>593.22823215555593</v>
      </c>
      <c r="O42" s="79">
        <f>N42*'GWPs &amp; Fuel EFs'!$E$11</f>
        <v>176782.01318235567</v>
      </c>
    </row>
    <row r="43" spans="1:15">
      <c r="A43" s="70" t="s">
        <v>214</v>
      </c>
      <c r="B43" s="71">
        <f>O53</f>
        <v>36829289.59952417</v>
      </c>
      <c r="D43" s="80" t="s">
        <v>374</v>
      </c>
      <c r="E43" s="81" t="s">
        <v>39</v>
      </c>
      <c r="F43" s="79">
        <f>'EIA Form 923'!T2698-'EIA Form 923'!W2698</f>
        <v>2688060</v>
      </c>
      <c r="G43" s="79">
        <f>'EIA Form 923'!T2698</f>
        <v>165148480</v>
      </c>
      <c r="I43" s="79">
        <f>F43*'GWPs &amp; Fuel EFs'!$N8</f>
        <v>313552640.79625195</v>
      </c>
      <c r="K43" s="79">
        <f>G43*'GWPs &amp; Fuel EFs'!$M36</f>
        <v>364090.07466661761</v>
      </c>
      <c r="L43" s="79">
        <f>K43*'GWPs &amp; Fuel EFs'!$D$11</f>
        <v>9102251.8666654397</v>
      </c>
      <c r="N43" s="79">
        <f>G43*'GWPs &amp; Fuel EFs'!$M64</f>
        <v>36409.007466661758</v>
      </c>
      <c r="O43" s="79">
        <f>N43*'GWPs &amp; Fuel EFs'!$E$11</f>
        <v>10849884.225065203</v>
      </c>
    </row>
    <row r="44" spans="1:15">
      <c r="A44" s="70" t="s">
        <v>215</v>
      </c>
      <c r="B44" s="71">
        <f>L63</f>
        <v>12482814.996006638</v>
      </c>
      <c r="D44" s="80" t="s">
        <v>388</v>
      </c>
      <c r="E44" s="81" t="s">
        <v>17</v>
      </c>
      <c r="F44" s="79">
        <f>'EIA Form 923'!T2699-'EIA Form 923'!W2699</f>
        <v>9291010</v>
      </c>
      <c r="G44" s="79">
        <f>'EIA Form 923'!T2699</f>
        <v>9291010</v>
      </c>
      <c r="I44" s="79">
        <f>F44*'GWPs &amp; Fuel EFs'!$N9</f>
        <v>1882632611.631036</v>
      </c>
      <c r="K44" s="79">
        <f>G44*'GWPs &amp; Fuel EFs'!$M37</f>
        <v>615910.34186402475</v>
      </c>
      <c r="L44" s="79">
        <f>K44*'GWPs &amp; Fuel EFs'!$D$11</f>
        <v>15397758.546600619</v>
      </c>
      <c r="N44" s="79">
        <f>G44*'GWPs &amp; Fuel EFs'!$M65</f>
        <v>82121.378915203328</v>
      </c>
      <c r="O44" s="79">
        <f>N44*'GWPs &amp; Fuel EFs'!$E$11</f>
        <v>24472170.91673059</v>
      </c>
    </row>
    <row r="45" spans="1:15">
      <c r="A45" s="70" t="s">
        <v>216</v>
      </c>
      <c r="B45" s="71">
        <f>O63</f>
        <v>22190453.849864721</v>
      </c>
      <c r="D45" s="80" t="s">
        <v>389</v>
      </c>
      <c r="E45" s="81" t="s">
        <v>82</v>
      </c>
      <c r="F45" s="79">
        <f>'EIA Form 923'!T2700-'EIA Form 923'!W2700</f>
        <v>0</v>
      </c>
      <c r="G45" s="79">
        <f>'EIA Form 923'!T2700</f>
        <v>0</v>
      </c>
      <c r="I45" s="79">
        <f>F45*'GWPs &amp; Fuel EFs'!$N10</f>
        <v>0</v>
      </c>
      <c r="K45" s="79">
        <f>G45*'GWPs &amp; Fuel EFs'!$M38</f>
        <v>0</v>
      </c>
      <c r="L45" s="79">
        <f>K45*'GWPs &amp; Fuel EFs'!$D$11</f>
        <v>0</v>
      </c>
      <c r="N45" s="79">
        <f>G45*'GWPs &amp; Fuel EFs'!$M66</f>
        <v>0</v>
      </c>
      <c r="O45" s="79">
        <f>N45*'GWPs &amp; Fuel EFs'!$E$11</f>
        <v>0</v>
      </c>
    </row>
    <row r="46" spans="1:15">
      <c r="A46" s="70"/>
      <c r="B46" s="70"/>
      <c r="D46" s="80" t="s">
        <v>384</v>
      </c>
      <c r="E46" s="81" t="s">
        <v>396</v>
      </c>
      <c r="F46" s="79">
        <f>'EIA Form 923'!T2701-'EIA Form 923'!W2701</f>
        <v>0</v>
      </c>
      <c r="G46" s="79">
        <f>'EIA Form 923'!T2701</f>
        <v>0</v>
      </c>
      <c r="I46" s="79">
        <f>F46*'GWPs &amp; Fuel EFs'!$N11</f>
        <v>0</v>
      </c>
      <c r="K46" s="79">
        <f>G46*'GWPs &amp; Fuel EFs'!$M39</f>
        <v>0</v>
      </c>
      <c r="L46" s="79">
        <f>K46*'GWPs &amp; Fuel EFs'!$D$11</f>
        <v>0</v>
      </c>
      <c r="N46" s="79">
        <f>G46*'GWPs &amp; Fuel EFs'!$M67</f>
        <v>0</v>
      </c>
      <c r="O46" s="79">
        <f>N46*'GWPs &amp; Fuel EFs'!$E$11</f>
        <v>0</v>
      </c>
    </row>
    <row r="47" spans="1:15">
      <c r="A47" s="70"/>
      <c r="B47" s="70"/>
      <c r="D47" s="80" t="s">
        <v>377</v>
      </c>
      <c r="E47" s="81" t="s">
        <v>65</v>
      </c>
      <c r="F47" s="79">
        <f>'EIA Form 923'!T2702-'EIA Form 923'!W2702</f>
        <v>0</v>
      </c>
      <c r="G47" s="79">
        <f>'EIA Form 923'!T2702</f>
        <v>0</v>
      </c>
      <c r="I47" s="79">
        <f>F47*'GWPs &amp; Fuel EFs'!$N12</f>
        <v>0</v>
      </c>
      <c r="K47" s="79">
        <f>G47*'GWPs &amp; Fuel EFs'!$M40</f>
        <v>0</v>
      </c>
      <c r="L47" s="79">
        <f>K47*'GWPs &amp; Fuel EFs'!$D$11</f>
        <v>0</v>
      </c>
      <c r="N47" s="79">
        <f>G47*'GWPs &amp; Fuel EFs'!$M68</f>
        <v>0</v>
      </c>
      <c r="O47" s="79">
        <f>N47*'GWPs &amp; Fuel EFs'!$E$11</f>
        <v>0</v>
      </c>
    </row>
    <row r="48" spans="1:15">
      <c r="A48" s="70"/>
      <c r="B48" s="70"/>
      <c r="D48" s="80" t="s">
        <v>376</v>
      </c>
      <c r="E48" s="81" t="s">
        <v>61</v>
      </c>
      <c r="F48" s="79">
        <f>'EIA Form 923'!T2703-'EIA Form 923'!W2703</f>
        <v>6881</v>
      </c>
      <c r="G48" s="79">
        <f>'EIA Form 923'!T2703</f>
        <v>3062008</v>
      </c>
      <c r="I48" s="79">
        <f>F48*'GWPs &amp; Fuel EFs'!$N13</f>
        <v>1139165.0816872325</v>
      </c>
      <c r="K48" s="79">
        <f>G48*'GWPs &amp; Fuel EFs'!$M41</f>
        <v>20251.71629826288</v>
      </c>
      <c r="L48" s="79">
        <f>K48*'GWPs &amp; Fuel EFs'!$D$11</f>
        <v>506292.90745657199</v>
      </c>
      <c r="N48" s="79">
        <f>G48*'GWPs &amp; Fuel EFs'!$M69</f>
        <v>4050.3432596525754</v>
      </c>
      <c r="O48" s="79">
        <f>N48*'GWPs &amp; Fuel EFs'!$E$11</f>
        <v>1207002.2913764676</v>
      </c>
    </row>
    <row r="49" spans="1:15">
      <c r="A49" s="70"/>
      <c r="B49" s="70"/>
      <c r="D49" s="80" t="s">
        <v>378</v>
      </c>
      <c r="E49" s="81" t="s">
        <v>66</v>
      </c>
      <c r="F49" s="79">
        <f>'EIA Form 923'!T2704-'EIA Form 923'!W2704</f>
        <v>2280</v>
      </c>
      <c r="G49" s="79">
        <f>'EIA Form 923'!T2704</f>
        <v>2280</v>
      </c>
      <c r="I49" s="79">
        <f>F49*'GWPs &amp; Fuel EFs'!$N14</f>
        <v>363083.26028488792</v>
      </c>
      <c r="K49" s="79">
        <f>G49*'GWPs &amp; Fuel EFs'!$M42</f>
        <v>15.079618720799999</v>
      </c>
      <c r="L49" s="79">
        <f>K49*'GWPs &amp; Fuel EFs'!$D$11</f>
        <v>376.99046801999998</v>
      </c>
      <c r="N49" s="79">
        <f>G49*'GWPs &amp; Fuel EFs'!$M70</f>
        <v>3.0159237441599998</v>
      </c>
      <c r="O49" s="79">
        <f>N49*'GWPs &amp; Fuel EFs'!$E$11</f>
        <v>898.74527575967988</v>
      </c>
    </row>
    <row r="50" spans="1:15">
      <c r="A50" s="70"/>
      <c r="B50" s="70"/>
      <c r="D50" s="80" t="s">
        <v>379</v>
      </c>
      <c r="E50" s="81" t="s">
        <v>76</v>
      </c>
      <c r="F50" s="79">
        <f>'EIA Form 923'!T2705-'EIA Form 923'!W2705</f>
        <v>152074</v>
      </c>
      <c r="G50" s="79">
        <f>'EIA Form 923'!T2705</f>
        <v>310897</v>
      </c>
      <c r="I50" s="79">
        <f>F50*'GWPs &amp; Fuel EFs'!$N15</f>
        <v>24536953.513421718</v>
      </c>
      <c r="K50" s="79">
        <f>G50*'GWPs &amp; Fuel EFs'!$M43</f>
        <v>2056.2316760704198</v>
      </c>
      <c r="L50" s="79">
        <f>K50*'GWPs &amp; Fuel EFs'!$D$11</f>
        <v>51405.791901760495</v>
      </c>
      <c r="N50" s="79">
        <f>G50*'GWPs &amp; Fuel EFs'!$M71</f>
        <v>411.24633521408396</v>
      </c>
      <c r="O50" s="79">
        <f>N50*'GWPs &amp; Fuel EFs'!$E$11</f>
        <v>122551.40789379702</v>
      </c>
    </row>
    <row r="51" spans="1:15">
      <c r="A51" s="70"/>
      <c r="B51" s="70"/>
      <c r="D51" s="80" t="s">
        <v>380</v>
      </c>
      <c r="E51" s="81" t="s">
        <v>73</v>
      </c>
      <c r="F51" s="79">
        <f>'EIA Form 923'!T2706-'EIA Form 923'!W2706</f>
        <v>0</v>
      </c>
      <c r="G51" s="79">
        <f>'EIA Form 923'!T2706</f>
        <v>0</v>
      </c>
      <c r="I51" s="79">
        <f>F51*'GWPs &amp; Fuel EFs'!$N16</f>
        <v>0</v>
      </c>
      <c r="K51" s="79">
        <f>G51*'GWPs &amp; Fuel EFs'!$M44</f>
        <v>0</v>
      </c>
      <c r="L51" s="79">
        <f>K51*'GWPs &amp; Fuel EFs'!$D$11</f>
        <v>0</v>
      </c>
      <c r="N51" s="79">
        <f>G51*'GWPs &amp; Fuel EFs'!$M72</f>
        <v>0</v>
      </c>
      <c r="O51" s="79">
        <f>N51*'GWPs &amp; Fuel EFs'!$E$11</f>
        <v>0</v>
      </c>
    </row>
    <row r="52" spans="1:15">
      <c r="A52" s="70"/>
      <c r="B52" s="70"/>
      <c r="D52" s="80" t="s">
        <v>429</v>
      </c>
      <c r="E52" s="81" t="s">
        <v>420</v>
      </c>
      <c r="F52" s="79">
        <f>'EIA Form 923'!T2707-'EIA Form 923'!W2707</f>
        <v>0</v>
      </c>
      <c r="G52" s="79">
        <f>'EIA Form 923'!T2707</f>
        <v>0</v>
      </c>
      <c r="I52" s="79">
        <f>F52*'GWPs &amp; Fuel EFs'!$N17</f>
        <v>0</v>
      </c>
      <c r="K52" s="79">
        <f>G52*'GWPs &amp; Fuel EFs'!$M45</f>
        <v>0</v>
      </c>
      <c r="L52" s="79">
        <f>K52*'GWPs &amp; Fuel EFs'!$D$11</f>
        <v>0</v>
      </c>
      <c r="N52" s="79">
        <f>G52*'GWPs &amp; Fuel EFs'!$M73</f>
        <v>0</v>
      </c>
      <c r="O52" s="79">
        <f>N52*'GWPs &amp; Fuel EFs'!$E$11</f>
        <v>0</v>
      </c>
    </row>
    <row r="53" spans="1:15">
      <c r="A53" s="70"/>
      <c r="B53" s="70"/>
      <c r="D53" s="134" t="s">
        <v>3001</v>
      </c>
      <c r="E53" s="135" t="s">
        <v>2998</v>
      </c>
      <c r="F53" s="142">
        <f>'EIA Form 923'!U2847*'GWPs &amp; Fuel EFs'!$E$34</f>
        <v>343926061.32999998</v>
      </c>
      <c r="G53" s="142" t="s">
        <v>3004</v>
      </c>
      <c r="I53" s="82">
        <f>SUM(I40:I52)+F53</f>
        <v>2605173675.0840745</v>
      </c>
      <c r="K53" s="79"/>
      <c r="L53" s="82">
        <f>SUM(L40:L52)</f>
        <v>25132239.632111859</v>
      </c>
      <c r="N53" s="79"/>
      <c r="O53" s="82">
        <f>SUM(O40:O52)</f>
        <v>36829289.59952417</v>
      </c>
    </row>
    <row r="54" spans="1:15" ht="13">
      <c r="A54" s="73" t="s">
        <v>217</v>
      </c>
      <c r="B54" s="69">
        <f>I63</f>
        <v>1879436822.9491992</v>
      </c>
      <c r="D54" s="65" t="s">
        <v>218</v>
      </c>
      <c r="F54" s="79"/>
      <c r="G54" s="79"/>
      <c r="I54" s="82"/>
      <c r="K54" s="79"/>
      <c r="L54" s="82"/>
      <c r="N54" s="79"/>
      <c r="O54" s="82"/>
    </row>
    <row r="55" spans="1:15">
      <c r="A55" s="70"/>
      <c r="B55" s="72"/>
      <c r="D55" s="80" t="s">
        <v>382</v>
      </c>
      <c r="E55" s="81" t="s">
        <v>63</v>
      </c>
      <c r="F55" s="79">
        <f>'EIA Form 923'!T2709-'EIA Form 923'!W2709</f>
        <v>71934</v>
      </c>
      <c r="G55" s="79">
        <f>'EIA Form 923'!T2709</f>
        <v>71934</v>
      </c>
      <c r="I55" s="79">
        <f>F55*'GWPs &amp; Fuel EFs'!$N20</f>
        <v>8257641.9370964551</v>
      </c>
      <c r="K55" s="79">
        <f>G55*'GWPs &amp; Fuel EFs'!$M48</f>
        <v>507.47943535065599</v>
      </c>
      <c r="L55" s="79">
        <f>K55*'GWPs &amp; Fuel EFs'!$D$11</f>
        <v>12686.9858837664</v>
      </c>
      <c r="N55" s="79">
        <f>G55*'GWPs &amp; Fuel EFs'!$M76</f>
        <v>99.91001383466039</v>
      </c>
      <c r="O55" s="79">
        <f>N55*'GWPs &amp; Fuel EFs'!$E$11</f>
        <v>29773.184122728795</v>
      </c>
    </row>
    <row r="56" spans="1:15">
      <c r="A56" s="70"/>
      <c r="B56" s="72"/>
      <c r="D56" s="80" t="s">
        <v>385</v>
      </c>
      <c r="E56" s="81" t="s">
        <v>16</v>
      </c>
      <c r="F56" s="79">
        <f>'EIA Form 923'!T2710-'EIA Form 923'!W2710</f>
        <v>7601666</v>
      </c>
      <c r="G56" s="79">
        <f>'EIA Form 923'!T2710</f>
        <v>7601666</v>
      </c>
      <c r="I56" s="79">
        <f>F56*'GWPs &amp; Fuel EFs'!$N21</f>
        <v>1591332755.1537969</v>
      </c>
      <c r="K56" s="79">
        <f>G56*'GWPs &amp; Fuel EFs'!$M49</f>
        <v>477399.82654613908</v>
      </c>
      <c r="L56" s="79">
        <f>K56*'GWPs &amp; Fuel EFs'!$D$11</f>
        <v>11934995.663653478</v>
      </c>
      <c r="N56" s="79">
        <f>G56*'GWPs &amp; Fuel EFs'!$M77</f>
        <v>63653.31020615188</v>
      </c>
      <c r="O56" s="79">
        <f>N56*'GWPs &amp; Fuel EFs'!$E$11</f>
        <v>18968686.441433262</v>
      </c>
    </row>
    <row r="57" spans="1:15">
      <c r="A57" s="70"/>
      <c r="B57" s="70"/>
      <c r="D57" s="80" t="s">
        <v>381</v>
      </c>
      <c r="E57" s="81" t="s">
        <v>151</v>
      </c>
      <c r="F57" s="79">
        <f>'EIA Form 923'!T2711-'EIA Form 923'!W2711</f>
        <v>0</v>
      </c>
      <c r="G57" s="79">
        <f>'EIA Form 923'!T2711</f>
        <v>0</v>
      </c>
      <c r="I57" s="79">
        <f>F57*'GWPs &amp; Fuel EFs'!$N22</f>
        <v>0</v>
      </c>
      <c r="K57" s="79">
        <f>G57*'GWPs &amp; Fuel EFs'!$M50</f>
        <v>0</v>
      </c>
      <c r="L57" s="79">
        <f>K57*'GWPs &amp; Fuel EFs'!$D$11</f>
        <v>0</v>
      </c>
      <c r="N57" s="79">
        <f>G57*'GWPs &amp; Fuel EFs'!$M78</f>
        <v>0</v>
      </c>
      <c r="O57" s="79">
        <f>N57*'GWPs &amp; Fuel EFs'!$E$11</f>
        <v>0</v>
      </c>
    </row>
    <row r="58" spans="1:15">
      <c r="A58" s="70"/>
      <c r="B58" s="70"/>
      <c r="D58" s="80" t="s">
        <v>390</v>
      </c>
      <c r="E58" s="81" t="s">
        <v>69</v>
      </c>
      <c r="F58" s="79">
        <f>'EIA Form 923'!T2712-'EIA Form 923'!W2712</f>
        <v>1345206</v>
      </c>
      <c r="G58" s="79">
        <f>'EIA Form 923'!T2712</f>
        <v>1345206</v>
      </c>
      <c r="I58" s="79">
        <f>F58*'GWPs &amp; Fuel EFs'!$N23</f>
        <v>278179993.84378171</v>
      </c>
      <c r="K58" s="79">
        <f>G58*'GWPs &amp; Fuel EFs'!$M51</f>
        <v>21352.835348349981</v>
      </c>
      <c r="L58" s="79">
        <f>K58*'GWPs &amp; Fuel EFs'!$D$11</f>
        <v>533820.88370874955</v>
      </c>
      <c r="N58" s="79">
        <f>G58*'GWPs &amp; Fuel EFs'!$M79</f>
        <v>10676.417674174991</v>
      </c>
      <c r="O58" s="79">
        <f>N58*'GWPs &amp; Fuel EFs'!$E$11</f>
        <v>3181572.4669041471</v>
      </c>
    </row>
    <row r="59" spans="1:15">
      <c r="A59" s="70"/>
      <c r="B59" s="70"/>
      <c r="D59" s="80" t="s">
        <v>383</v>
      </c>
      <c r="E59" s="81" t="s">
        <v>152</v>
      </c>
      <c r="F59" s="79">
        <f>'EIA Form 923'!T2713-'EIA Form 923'!W2713</f>
        <v>0</v>
      </c>
      <c r="G59" s="79">
        <f>'EIA Form 923'!T2713</f>
        <v>0</v>
      </c>
      <c r="I59" s="79">
        <f>F59*'GWPs &amp; Fuel EFs'!$N24</f>
        <v>0</v>
      </c>
      <c r="K59" s="79">
        <f>G59*'GWPs &amp; Fuel EFs'!$M52</f>
        <v>0</v>
      </c>
      <c r="L59" s="79">
        <f>K59*'GWPs &amp; Fuel EFs'!$D$11</f>
        <v>0</v>
      </c>
      <c r="N59" s="79">
        <f>G59*'GWPs &amp; Fuel EFs'!$M80</f>
        <v>0</v>
      </c>
      <c r="O59" s="79">
        <f>N59*'GWPs &amp; Fuel EFs'!$E$11</f>
        <v>0</v>
      </c>
    </row>
    <row r="60" spans="1:15">
      <c r="A60" s="70"/>
      <c r="B60" s="70"/>
      <c r="D60" s="80" t="s">
        <v>431</v>
      </c>
      <c r="E60" s="81" t="s">
        <v>413</v>
      </c>
      <c r="F60" s="79">
        <f>'EIA Form 923'!T2714-'EIA Form 923'!W2714</f>
        <v>0</v>
      </c>
      <c r="G60" s="79">
        <f>'EIA Form 923'!T2714</f>
        <v>0</v>
      </c>
      <c r="I60" s="79">
        <f>F60*'GWPs &amp; Fuel EFs'!$N25</f>
        <v>0</v>
      </c>
      <c r="K60" s="79">
        <f>G60*'GWPs &amp; Fuel EFs'!$M53</f>
        <v>0</v>
      </c>
      <c r="L60" s="79">
        <f>K60*'GWPs &amp; Fuel EFs'!$D$11</f>
        <v>0</v>
      </c>
      <c r="N60" s="79">
        <f>G60*'GWPs &amp; Fuel EFs'!$M81</f>
        <v>0</v>
      </c>
      <c r="O60" s="79">
        <f>N60*'GWPs &amp; Fuel EFs'!$E$11</f>
        <v>0</v>
      </c>
    </row>
    <row r="61" spans="1:15">
      <c r="A61" s="70"/>
      <c r="B61" s="70"/>
      <c r="D61" s="80" t="s">
        <v>2456</v>
      </c>
      <c r="E61" s="81" t="s">
        <v>418</v>
      </c>
      <c r="F61" s="79">
        <f>'EIA Form 923'!T2715-'EIA Form 923'!W2715</f>
        <v>8353</v>
      </c>
      <c r="G61" s="79">
        <f>'EIA Form 923'!T2715</f>
        <v>8353</v>
      </c>
      <c r="I61" s="79">
        <f>F61*'GWPs &amp; Fuel EFs'!$N26</f>
        <v>1666432.0145243269</v>
      </c>
      <c r="K61" s="79">
        <f>G61*'GWPs &amp; Fuel EFs'!$M54</f>
        <v>52.458510425739561</v>
      </c>
      <c r="L61" s="79">
        <f>K61*'GWPs &amp; Fuel EFs'!$D$11</f>
        <v>1311.462760643489</v>
      </c>
      <c r="N61" s="79">
        <f>G61*'GWPs &amp; Fuel EFs'!$M82</f>
        <v>34.972340283826377</v>
      </c>
      <c r="O61" s="79">
        <f>N61*'GWPs &amp; Fuel EFs'!$E$11</f>
        <v>10421.757404580259</v>
      </c>
    </row>
    <row r="62" spans="1:15" ht="13">
      <c r="A62" s="70"/>
      <c r="B62" s="70"/>
      <c r="C62" s="39"/>
      <c r="D62" s="80" t="s">
        <v>430</v>
      </c>
      <c r="E62" s="81" t="s">
        <v>68</v>
      </c>
      <c r="F62" s="79">
        <f>'EIA Form 923'!T2716-'EIA Form 923'!W2716</f>
        <v>0</v>
      </c>
      <c r="G62" s="79">
        <f>'EIA Form 923'!T2716</f>
        <v>0</v>
      </c>
      <c r="I62" s="79">
        <f>F62*'GWPs &amp; Fuel EFs'!$N27</f>
        <v>0</v>
      </c>
      <c r="K62" s="79">
        <f>G62*'GWPs &amp; Fuel EFs'!$M55</f>
        <v>0</v>
      </c>
      <c r="L62" s="79">
        <f>K62*'GWPs &amp; Fuel EFs'!$D$11</f>
        <v>0</v>
      </c>
      <c r="N62" s="79">
        <f>G62*'GWPs &amp; Fuel EFs'!$M83</f>
        <v>0</v>
      </c>
      <c r="O62" s="79">
        <f>N62*'GWPs &amp; Fuel EFs'!$E$11</f>
        <v>0</v>
      </c>
    </row>
    <row r="63" spans="1:15">
      <c r="A63" s="70"/>
      <c r="B63" s="71"/>
      <c r="F63" s="79"/>
      <c r="G63" s="79"/>
      <c r="I63" s="82">
        <f>SUM(I55:I62)</f>
        <v>1879436822.9491992</v>
      </c>
      <c r="L63" s="82">
        <f>SUM(L55:L62)</f>
        <v>12482814.996006638</v>
      </c>
      <c r="O63" s="82">
        <f>SUM(O55:O62)</f>
        <v>22190453.849864721</v>
      </c>
    </row>
    <row r="64" spans="1:15">
      <c r="A64" s="70"/>
      <c r="B64" s="70"/>
    </row>
    <row r="65" spans="1:15">
      <c r="A65" s="13"/>
      <c r="B65" s="13"/>
      <c r="D65" s="83"/>
      <c r="E65" s="83"/>
      <c r="F65" s="83"/>
      <c r="G65" s="83"/>
      <c r="I65" s="83"/>
      <c r="K65" s="83"/>
      <c r="L65" s="84"/>
      <c r="N65" s="83"/>
      <c r="O65" s="83"/>
    </row>
    <row r="66" spans="1:15" ht="13">
      <c r="A66" s="789" t="s">
        <v>1530</v>
      </c>
      <c r="B66" s="789"/>
      <c r="D66" s="790" t="s">
        <v>219</v>
      </c>
      <c r="E66" s="790"/>
      <c r="F66" s="790"/>
      <c r="G66" s="790"/>
      <c r="I66" s="76" t="s">
        <v>219</v>
      </c>
      <c r="K66" s="790" t="s">
        <v>219</v>
      </c>
      <c r="L66" s="790"/>
      <c r="N66" s="790" t="s">
        <v>219</v>
      </c>
      <c r="O66" s="790"/>
    </row>
    <row r="67" spans="1:15" ht="13">
      <c r="A67" s="789">
        <f>A7</f>
        <v>2022</v>
      </c>
      <c r="B67" s="789"/>
      <c r="D67" s="790" t="s">
        <v>204</v>
      </c>
      <c r="E67" s="790"/>
      <c r="F67" s="790"/>
      <c r="G67" s="790"/>
      <c r="I67" s="76" t="s">
        <v>205</v>
      </c>
      <c r="K67" s="790" t="s">
        <v>206</v>
      </c>
      <c r="L67" s="790"/>
      <c r="N67" s="790" t="s">
        <v>207</v>
      </c>
      <c r="O67" s="790"/>
    </row>
    <row r="68" spans="1:15" s="12" customFormat="1" ht="35.5">
      <c r="A68" s="66"/>
      <c r="B68" s="67" t="s">
        <v>327</v>
      </c>
      <c r="D68" s="78" t="s">
        <v>208</v>
      </c>
      <c r="E68" s="78" t="s">
        <v>209</v>
      </c>
      <c r="F68" s="78" t="s">
        <v>2463</v>
      </c>
      <c r="G68" s="78" t="s">
        <v>2464</v>
      </c>
      <c r="H68" s="28"/>
      <c r="I68" s="65" t="s">
        <v>325</v>
      </c>
      <c r="J68" s="77"/>
      <c r="K68" s="65" t="s">
        <v>326</v>
      </c>
      <c r="L68" s="65" t="s">
        <v>327</v>
      </c>
      <c r="M68" s="77"/>
      <c r="N68" s="65" t="s">
        <v>328</v>
      </c>
      <c r="O68" s="65" t="s">
        <v>327</v>
      </c>
    </row>
    <row r="69" spans="1:15" ht="27.75" customHeight="1">
      <c r="A69" s="68" t="s">
        <v>211</v>
      </c>
      <c r="B69" s="69">
        <f>SUM(B70:B75)</f>
        <v>3735800482.0877094</v>
      </c>
      <c r="D69" s="65" t="s">
        <v>212</v>
      </c>
      <c r="E69" s="77"/>
      <c r="F69" s="78" t="s">
        <v>2465</v>
      </c>
      <c r="G69" s="78" t="s">
        <v>2466</v>
      </c>
      <c r="K69" s="77"/>
      <c r="L69" s="77"/>
      <c r="N69" s="77"/>
      <c r="O69" s="77"/>
    </row>
    <row r="70" spans="1:15">
      <c r="A70" s="70" t="s">
        <v>2467</v>
      </c>
      <c r="B70" s="71">
        <f>I83</f>
        <v>252989456.75530562</v>
      </c>
      <c r="D70" s="80" t="s">
        <v>386</v>
      </c>
      <c r="E70" s="81" t="s">
        <v>43</v>
      </c>
      <c r="F70" s="79">
        <f>'EIA Form 923'!T2720-'EIA Form 923'!W2720</f>
        <v>238241</v>
      </c>
      <c r="G70" s="79">
        <f>'EIA Form 923'!T2720</f>
        <v>238241</v>
      </c>
      <c r="I70" s="79">
        <f>F70*'GWPs &amp; Fuel EFs'!$N5</f>
        <v>48972526.637680791</v>
      </c>
      <c r="K70" s="79">
        <f>G70*'GWPs &amp; Fuel EFs'!$M33</f>
        <v>5777.5464737256189</v>
      </c>
      <c r="L70" s="79">
        <f>K70*'GWPs &amp; Fuel EFs'!$D$11</f>
        <v>144438.66184314046</v>
      </c>
      <c r="N70" s="79">
        <f>G70*'GWPs &amp; Fuel EFs'!$M61</f>
        <v>840.37039617827202</v>
      </c>
      <c r="O70" s="79">
        <f>N70*'GWPs &amp; Fuel EFs'!$E$11</f>
        <v>250430.37806112505</v>
      </c>
    </row>
    <row r="71" spans="1:15">
      <c r="A71" s="70" t="s">
        <v>2468</v>
      </c>
      <c r="B71" s="72">
        <f>'EPA Part 75'!I408*2000</f>
        <v>3442865645.9999995</v>
      </c>
      <c r="D71" s="80" t="s">
        <v>387</v>
      </c>
      <c r="E71" s="81" t="s">
        <v>48</v>
      </c>
      <c r="F71" s="79">
        <f>'EIA Form 923'!T2721-'EIA Form 923'!W2721</f>
        <v>0</v>
      </c>
      <c r="G71" s="79">
        <f>'EIA Form 923'!T2721</f>
        <v>0</v>
      </c>
      <c r="I71" s="79">
        <f>F71*'GWPs &amp; Fuel EFs'!$N6</f>
        <v>0</v>
      </c>
      <c r="K71" s="79">
        <f>G71*'GWPs &amp; Fuel EFs'!$M34</f>
        <v>0</v>
      </c>
      <c r="L71" s="79">
        <f>K71*'GWPs &amp; Fuel EFs'!$D$11</f>
        <v>0</v>
      </c>
      <c r="N71" s="79">
        <f>G71*'GWPs &amp; Fuel EFs'!$M62</f>
        <v>0</v>
      </c>
      <c r="O71" s="79">
        <f>N71*'GWPs &amp; Fuel EFs'!$E$11</f>
        <v>0</v>
      </c>
    </row>
    <row r="72" spans="1:15">
      <c r="A72" s="70" t="s">
        <v>213</v>
      </c>
      <c r="B72" s="71">
        <f>L83</f>
        <v>3659051.9826211534</v>
      </c>
      <c r="D72" s="80" t="s">
        <v>375</v>
      </c>
      <c r="E72" s="81" t="s">
        <v>46</v>
      </c>
      <c r="F72" s="79">
        <f>'EIA Form 923'!T2722-'EIA Form 923'!W2722</f>
        <v>5825</v>
      </c>
      <c r="G72" s="79">
        <f>'EIA Form 923'!T2722</f>
        <v>48493</v>
      </c>
      <c r="I72" s="79">
        <f>F72*'GWPs &amp; Fuel EFs'!$N7</f>
        <v>952099.31860999984</v>
      </c>
      <c r="K72" s="79">
        <f>G72*'GWPs &amp; Fuel EFs'!$M35</f>
        <v>320.72629413497998</v>
      </c>
      <c r="L72" s="79">
        <f>K72*'GWPs &amp; Fuel EFs'!$D$11</f>
        <v>8018.1573533744995</v>
      </c>
      <c r="N72" s="79">
        <f>G72*'GWPs &amp; Fuel EFs'!$M63</f>
        <v>64.145258826995999</v>
      </c>
      <c r="O72" s="79">
        <f>N72*'GWPs &amp; Fuel EFs'!$E$11</f>
        <v>19115.287130444809</v>
      </c>
    </row>
    <row r="73" spans="1:15">
      <c r="A73" s="70" t="s">
        <v>214</v>
      </c>
      <c r="B73" s="71">
        <f>O83</f>
        <v>5600142.1444422007</v>
      </c>
      <c r="D73" s="80" t="s">
        <v>374</v>
      </c>
      <c r="E73" s="81" t="s">
        <v>39</v>
      </c>
      <c r="F73" s="79">
        <f>'EIA Form 923'!T2723-'EIA Form 923'!W2723</f>
        <v>15150</v>
      </c>
      <c r="G73" s="79">
        <f>'EIA Form 923'!T2723</f>
        <v>26076646</v>
      </c>
      <c r="I73" s="79">
        <f>F73*'GWPs &amp; Fuel EFs'!$N8</f>
        <v>1767193.6296299996</v>
      </c>
      <c r="K73" s="79">
        <f>G73*'GWPs &amp; Fuel EFs'!$M36</f>
        <v>57489.16362533252</v>
      </c>
      <c r="L73" s="79">
        <f>K73*'GWPs &amp; Fuel EFs'!$D$11</f>
        <v>1437229.0906333129</v>
      </c>
      <c r="N73" s="79">
        <f>G73*'GWPs &amp; Fuel EFs'!$M64</f>
        <v>5748.9163625332521</v>
      </c>
      <c r="O73" s="79">
        <f>N73*'GWPs &amp; Fuel EFs'!$E$11</f>
        <v>1713177.0760349091</v>
      </c>
    </row>
    <row r="74" spans="1:15">
      <c r="A74" s="70" t="s">
        <v>215</v>
      </c>
      <c r="B74" s="71">
        <f>L93</f>
        <v>4802119.3018659512</v>
      </c>
      <c r="D74" s="80" t="s">
        <v>388</v>
      </c>
      <c r="E74" s="81" t="s">
        <v>17</v>
      </c>
      <c r="F74" s="79">
        <f>'EIA Form 923'!T2724-'EIA Form 923'!W2724</f>
        <v>515047</v>
      </c>
      <c r="G74" s="79">
        <f>'EIA Form 923'!T2724</f>
        <v>515047</v>
      </c>
      <c r="I74" s="79">
        <f>F74*'GWPs &amp; Fuel EFs'!$N9</f>
        <v>104363710.58934715</v>
      </c>
      <c r="K74" s="79">
        <f>G74*'GWPs &amp; Fuel EFs'!$M37</f>
        <v>34142.98056358139</v>
      </c>
      <c r="L74" s="79">
        <f>K74*'GWPs &amp; Fuel EFs'!$D$11</f>
        <v>853574.51408953476</v>
      </c>
      <c r="N74" s="79">
        <f>G74*'GWPs &amp; Fuel EFs'!$M65</f>
        <v>4552.3974084775209</v>
      </c>
      <c r="O74" s="79">
        <f>N74*'GWPs &amp; Fuel EFs'!$E$11</f>
        <v>1356614.4277263011</v>
      </c>
    </row>
    <row r="75" spans="1:15">
      <c r="A75" s="70" t="s">
        <v>216</v>
      </c>
      <c r="B75" s="71">
        <f>O93</f>
        <v>25884065.903474625</v>
      </c>
      <c r="D75" s="80" t="s">
        <v>389</v>
      </c>
      <c r="E75" s="81" t="s">
        <v>82</v>
      </c>
      <c r="F75" s="79">
        <f>'EIA Form 923'!T2725-'EIA Form 923'!W2725</f>
        <v>0</v>
      </c>
      <c r="G75" s="79">
        <f>'EIA Form 923'!T2725</f>
        <v>0</v>
      </c>
      <c r="I75" s="79">
        <f>F75*'GWPs &amp; Fuel EFs'!$N10</f>
        <v>0</v>
      </c>
      <c r="K75" s="79">
        <f>G75*'GWPs &amp; Fuel EFs'!$M38</f>
        <v>0</v>
      </c>
      <c r="L75" s="79">
        <f>K75*'GWPs &amp; Fuel EFs'!$D$11</f>
        <v>0</v>
      </c>
      <c r="N75" s="79">
        <f>G75*'GWPs &amp; Fuel EFs'!$M66</f>
        <v>0</v>
      </c>
      <c r="O75" s="79">
        <f>N75*'GWPs &amp; Fuel EFs'!$E$11</f>
        <v>0</v>
      </c>
    </row>
    <row r="76" spans="1:15">
      <c r="A76" s="70"/>
      <c r="B76" s="70"/>
      <c r="D76" s="80" t="s">
        <v>384</v>
      </c>
      <c r="E76" s="81" t="s">
        <v>396</v>
      </c>
      <c r="F76" s="79">
        <f>'EIA Form 923'!T2726-'EIA Form 923'!W2726</f>
        <v>440869</v>
      </c>
      <c r="G76" s="79">
        <f>'EIA Form 923'!T2726</f>
        <v>440869</v>
      </c>
      <c r="I76" s="79">
        <f>F76*'GWPs &amp; Fuel EFs'!$N11</f>
        <v>83558422.412636593</v>
      </c>
      <c r="K76" s="79">
        <f>G76*'GWPs &amp; Fuel EFs'!$M39</f>
        <v>31102.39263541696</v>
      </c>
      <c r="L76" s="79">
        <f>K76*'GWPs &amp; Fuel EFs'!$D$11</f>
        <v>777559.81588542403</v>
      </c>
      <c r="N76" s="79">
        <f>G76*'GWPs &amp; Fuel EFs'!$M67</f>
        <v>4082.1890333984752</v>
      </c>
      <c r="O76" s="79">
        <f>N76*'GWPs &amp; Fuel EFs'!$E$11</f>
        <v>1216492.3319527456</v>
      </c>
    </row>
    <row r="77" spans="1:15">
      <c r="A77" s="70"/>
      <c r="B77" s="70"/>
      <c r="D77" s="80" t="s">
        <v>377</v>
      </c>
      <c r="E77" s="81" t="s">
        <v>65</v>
      </c>
      <c r="F77" s="79">
        <f>'EIA Form 923'!T2727-'EIA Form 923'!W2727</f>
        <v>0</v>
      </c>
      <c r="G77" s="79">
        <f>'EIA Form 923'!T2727</f>
        <v>0</v>
      </c>
      <c r="I77" s="79">
        <f>F77*'GWPs &amp; Fuel EFs'!$N12</f>
        <v>0</v>
      </c>
      <c r="K77" s="79">
        <f>G77*'GWPs &amp; Fuel EFs'!$M40</f>
        <v>0</v>
      </c>
      <c r="L77" s="79">
        <f>K77*'GWPs &amp; Fuel EFs'!$D$11</f>
        <v>0</v>
      </c>
      <c r="N77" s="79">
        <f>G77*'GWPs &amp; Fuel EFs'!$M68</f>
        <v>0</v>
      </c>
      <c r="O77" s="79">
        <f>N77*'GWPs &amp; Fuel EFs'!$E$11</f>
        <v>0</v>
      </c>
    </row>
    <row r="78" spans="1:15">
      <c r="A78" s="70"/>
      <c r="B78" s="70"/>
      <c r="D78" s="80" t="s">
        <v>376</v>
      </c>
      <c r="E78" s="81" t="s">
        <v>61</v>
      </c>
      <c r="F78" s="79">
        <f>'EIA Form 923'!T2728-'EIA Form 923'!W2728</f>
        <v>75289</v>
      </c>
      <c r="G78" s="79">
        <f>'EIA Form 923'!T2728</f>
        <v>2648190</v>
      </c>
      <c r="I78" s="79">
        <f>F78*'GWPs &amp; Fuel EFs'!$N13</f>
        <v>12464263.891171347</v>
      </c>
      <c r="K78" s="79">
        <f>G78*'GWPs &amp; Fuel EFs'!$M41</f>
        <v>17514.778728173398</v>
      </c>
      <c r="L78" s="79">
        <f>K78*'GWPs &amp; Fuel EFs'!$D$11</f>
        <v>437869.46820433496</v>
      </c>
      <c r="N78" s="79">
        <f>G78*'GWPs &amp; Fuel EFs'!$M69</f>
        <v>3502.9557456346797</v>
      </c>
      <c r="O78" s="79">
        <f>N78*'GWPs &amp; Fuel EFs'!$E$11</f>
        <v>1043880.8121991346</v>
      </c>
    </row>
    <row r="79" spans="1:15">
      <c r="A79" s="70"/>
      <c r="B79" s="70"/>
      <c r="D79" s="80" t="s">
        <v>378</v>
      </c>
      <c r="E79" s="81" t="s">
        <v>66</v>
      </c>
      <c r="F79" s="79">
        <f>'EIA Form 923'!T2729-'EIA Form 923'!W2729</f>
        <v>0</v>
      </c>
      <c r="G79" s="79">
        <f>'EIA Form 923'!T2729</f>
        <v>0</v>
      </c>
      <c r="I79" s="79">
        <f>F79*'GWPs &amp; Fuel EFs'!$N14</f>
        <v>0</v>
      </c>
      <c r="K79" s="79">
        <f>G79*'GWPs &amp; Fuel EFs'!$M42</f>
        <v>0</v>
      </c>
      <c r="L79" s="79">
        <f>K79*'GWPs &amp; Fuel EFs'!$D$11</f>
        <v>0</v>
      </c>
      <c r="N79" s="79">
        <f>G79*'GWPs &amp; Fuel EFs'!$M70</f>
        <v>0</v>
      </c>
      <c r="O79" s="79">
        <f>N79*'GWPs &amp; Fuel EFs'!$E$11</f>
        <v>0</v>
      </c>
    </row>
    <row r="80" spans="1:15">
      <c r="A80" s="70"/>
      <c r="B80" s="70"/>
      <c r="D80" s="80" t="s">
        <v>379</v>
      </c>
      <c r="E80" s="81" t="s">
        <v>76</v>
      </c>
      <c r="F80" s="79">
        <f>'EIA Form 923'!T2730-'EIA Form 923'!W2730</f>
        <v>0</v>
      </c>
      <c r="G80" s="79">
        <f>'EIA Form 923'!T2730</f>
        <v>0</v>
      </c>
      <c r="I80" s="79">
        <f>F80*'GWPs &amp; Fuel EFs'!$N15</f>
        <v>0</v>
      </c>
      <c r="K80" s="79">
        <f>G80*'GWPs &amp; Fuel EFs'!$M43</f>
        <v>0</v>
      </c>
      <c r="L80" s="79">
        <f>K80*'GWPs &amp; Fuel EFs'!$D$11</f>
        <v>0</v>
      </c>
      <c r="N80" s="79">
        <f>G80*'GWPs &amp; Fuel EFs'!$M71</f>
        <v>0</v>
      </c>
      <c r="O80" s="79">
        <f>N80*'GWPs &amp; Fuel EFs'!$E$11</f>
        <v>0</v>
      </c>
    </row>
    <row r="81" spans="1:15">
      <c r="A81" s="70"/>
      <c r="B81" s="70"/>
      <c r="D81" s="80" t="s">
        <v>380</v>
      </c>
      <c r="E81" s="81" t="s">
        <v>73</v>
      </c>
      <c r="F81" s="79">
        <f>'EIA Form 923'!T2731-'EIA Form 923'!W2731</f>
        <v>0</v>
      </c>
      <c r="G81" s="79">
        <f>'EIA Form 923'!T2731</f>
        <v>0</v>
      </c>
      <c r="I81" s="79">
        <f>F81*'GWPs &amp; Fuel EFs'!$N16</f>
        <v>0</v>
      </c>
      <c r="K81" s="79">
        <f>G81*'GWPs &amp; Fuel EFs'!$M44</f>
        <v>0</v>
      </c>
      <c r="L81" s="79">
        <f>K81*'GWPs &amp; Fuel EFs'!$D$11</f>
        <v>0</v>
      </c>
      <c r="N81" s="79">
        <f>G81*'GWPs &amp; Fuel EFs'!$M72</f>
        <v>0</v>
      </c>
      <c r="O81" s="79">
        <f>N81*'GWPs &amp; Fuel EFs'!$E$11</f>
        <v>0</v>
      </c>
    </row>
    <row r="82" spans="1:15">
      <c r="A82" s="70"/>
      <c r="B82" s="70"/>
      <c r="D82" s="80" t="s">
        <v>429</v>
      </c>
      <c r="E82" s="81" t="s">
        <v>420</v>
      </c>
      <c r="F82" s="79">
        <f>'EIA Form 923'!T2732-'EIA Form 923'!W2732</f>
        <v>6573</v>
      </c>
      <c r="G82" s="79">
        <f>'EIA Form 923'!T2732</f>
        <v>6573</v>
      </c>
      <c r="I82" s="79">
        <f>F82*'GWPs &amp; Fuel EFs'!$N17</f>
        <v>911240.27622977574</v>
      </c>
      <c r="K82" s="79">
        <f>G82*'GWPs &amp; Fuel EFs'!$M45</f>
        <v>14.49098448126</v>
      </c>
      <c r="L82" s="79">
        <f>K82*'GWPs &amp; Fuel EFs'!$D$11</f>
        <v>362.2746120315</v>
      </c>
      <c r="N82" s="79">
        <f>G82*'GWPs &amp; Fuel EFs'!$M73</f>
        <v>1.4490984481260001</v>
      </c>
      <c r="O82" s="79">
        <f>N82*'GWPs &amp; Fuel EFs'!$E$11</f>
        <v>431.83133754154801</v>
      </c>
    </row>
    <row r="83" spans="1:15">
      <c r="A83" s="70"/>
      <c r="B83" s="70"/>
      <c r="D83" s="80"/>
      <c r="F83" s="79"/>
      <c r="G83" s="79"/>
      <c r="I83" s="82">
        <f>SUM(I70:I82)</f>
        <v>252989456.75530562</v>
      </c>
      <c r="K83" s="79"/>
      <c r="L83" s="82">
        <f>SUM(L70:L82)</f>
        <v>3659051.9826211534</v>
      </c>
      <c r="N83" s="79"/>
      <c r="O83" s="82">
        <f>SUM(O70:O82)</f>
        <v>5600142.1444422007</v>
      </c>
    </row>
    <row r="84" spans="1:15" ht="13">
      <c r="A84" s="73" t="s">
        <v>217</v>
      </c>
      <c r="B84" s="69">
        <f>I93</f>
        <v>2386330305.556684</v>
      </c>
      <c r="D84" s="65" t="s">
        <v>218</v>
      </c>
      <c r="F84" s="79"/>
      <c r="G84" s="79"/>
      <c r="I84" s="82"/>
      <c r="K84" s="79"/>
      <c r="L84" s="82"/>
      <c r="N84" s="79"/>
      <c r="O84" s="82"/>
    </row>
    <row r="85" spans="1:15">
      <c r="A85" s="70"/>
      <c r="B85" s="70"/>
      <c r="D85" s="80" t="s">
        <v>382</v>
      </c>
      <c r="E85" s="81" t="s">
        <v>63</v>
      </c>
      <c r="F85" s="79">
        <f>'EIA Form 923'!T2734-'EIA Form 923'!W2734</f>
        <v>251433</v>
      </c>
      <c r="G85" s="79">
        <f>'EIA Form 923'!T2734</f>
        <v>251433</v>
      </c>
      <c r="I85" s="79">
        <f>F85*'GWPs &amp; Fuel EFs'!$N20</f>
        <v>28863175.760696933</v>
      </c>
      <c r="K85" s="79">
        <f>G85*'GWPs &amp; Fuel EFs'!$M48</f>
        <v>1773.807613486272</v>
      </c>
      <c r="L85" s="79">
        <f>K85*'GWPs &amp; Fuel EFs'!$D$11</f>
        <v>44345.190337156797</v>
      </c>
      <c r="N85" s="79">
        <f>G85*'GWPs &amp; Fuel EFs'!$M76</f>
        <v>349.21837390510979</v>
      </c>
      <c r="O85" s="79">
        <f>N85*'GWPs &amp; Fuel EFs'!$E$11</f>
        <v>104067.07542372272</v>
      </c>
    </row>
    <row r="86" spans="1:15">
      <c r="A86" s="70"/>
      <c r="B86" s="72"/>
      <c r="D86" s="80" t="s">
        <v>385</v>
      </c>
      <c r="E86" s="81" t="s">
        <v>16</v>
      </c>
      <c r="F86" s="79">
        <f>'EIA Form 923'!T2735-'EIA Form 923'!W2735</f>
        <v>421396</v>
      </c>
      <c r="G86" s="79">
        <f>'EIA Form 923'!T2735</f>
        <v>421396</v>
      </c>
      <c r="I86" s="79">
        <f>F86*'GWPs &amp; Fuel EFs'!$N21</f>
        <v>88215038.346960977</v>
      </c>
      <c r="K86" s="79">
        <f>G86*'GWPs &amp; Fuel EFs'!$M49</f>
        <v>26464.511504088292</v>
      </c>
      <c r="L86" s="79">
        <f>K86*'GWPs &amp; Fuel EFs'!$D$11</f>
        <v>661612.78760220727</v>
      </c>
      <c r="N86" s="79">
        <f>G86*'GWPs &amp; Fuel EFs'!$M77</f>
        <v>3528.6015338784391</v>
      </c>
      <c r="O86" s="79">
        <f>N86*'GWPs &amp; Fuel EFs'!$E$11</f>
        <v>1051523.2570957749</v>
      </c>
    </row>
    <row r="87" spans="1:15">
      <c r="A87" s="70"/>
      <c r="B87" s="70"/>
      <c r="D87" s="80" t="s">
        <v>381</v>
      </c>
      <c r="E87" s="81" t="s">
        <v>151</v>
      </c>
      <c r="F87" s="79">
        <f>'EIA Form 923'!T2736-'EIA Form 923'!W2736</f>
        <v>1168631</v>
      </c>
      <c r="G87" s="79">
        <f>'EIA Form 923'!T2736</f>
        <v>1168631</v>
      </c>
      <c r="I87" s="79">
        <f>F87*'GWPs &amp; Fuel EFs'!$N22</f>
        <v>233143075.72914863</v>
      </c>
      <c r="K87" s="79">
        <f>G87*'GWPs &amp; Fuel EFs'!$M50</f>
        <v>7339.2363818199992</v>
      </c>
      <c r="L87" s="79">
        <f>K87*'GWPs &amp; Fuel EFs'!$D$11</f>
        <v>183480.90954549998</v>
      </c>
      <c r="N87" s="79">
        <f>G87*'GWPs &amp; Fuel EFs'!$M78</f>
        <v>4892.8242545466665</v>
      </c>
      <c r="O87" s="79">
        <f>N87*'GWPs &amp; Fuel EFs'!$E$11</f>
        <v>1458061.6278549065</v>
      </c>
    </row>
    <row r="88" spans="1:15">
      <c r="A88" s="70"/>
      <c r="B88" s="70"/>
      <c r="D88" s="80" t="s">
        <v>390</v>
      </c>
      <c r="E88" s="81" t="s">
        <v>69</v>
      </c>
      <c r="F88" s="79">
        <f>'EIA Form 923'!T2737-'EIA Form 923'!W2737</f>
        <v>9828556</v>
      </c>
      <c r="G88" s="79">
        <f>'EIA Form 923'!T2737</f>
        <v>9828556</v>
      </c>
      <c r="I88" s="79">
        <f>F88*'GWPs &amp; Fuel EFs'!$N23</f>
        <v>2032482495.3005443</v>
      </c>
      <c r="K88" s="79">
        <f>G88*'GWPs &amp; Fuel EFs'!$M51</f>
        <v>156011.44953266438</v>
      </c>
      <c r="L88" s="79">
        <f>K88*'GWPs &amp; Fuel EFs'!$D$11</f>
        <v>3900286.2383166095</v>
      </c>
      <c r="N88" s="79">
        <f>G88*'GWPs &amp; Fuel EFs'!$M79</f>
        <v>78005.72476633219</v>
      </c>
      <c r="O88" s="79">
        <f>N88*'GWPs &amp; Fuel EFs'!$E$11</f>
        <v>23245705.980366994</v>
      </c>
    </row>
    <row r="89" spans="1:15">
      <c r="A89" s="70"/>
      <c r="B89" s="70"/>
      <c r="D89" s="80" t="s">
        <v>383</v>
      </c>
      <c r="E89" s="81" t="s">
        <v>152</v>
      </c>
      <c r="F89" s="79">
        <f>'EIA Form 923'!T2738-'EIA Form 923'!W2738</f>
        <v>20257</v>
      </c>
      <c r="G89" s="79">
        <f>'EIA Form 923'!T2738</f>
        <v>20257</v>
      </c>
      <c r="I89" s="79">
        <f>F89*'GWPs &amp; Fuel EFs'!$N24</f>
        <v>3626520.4193328572</v>
      </c>
      <c r="K89" s="79">
        <f>G89*'GWPs &amp; Fuel EFs'!$M52</f>
        <v>495.76704257908551</v>
      </c>
      <c r="L89" s="79">
        <f>K89*'GWPs &amp; Fuel EFs'!$D$11</f>
        <v>12394.176064477138</v>
      </c>
      <c r="N89" s="79">
        <f>G89*'GWPs &amp; Fuel EFs'!$M80</f>
        <v>82.91262662156737</v>
      </c>
      <c r="O89" s="79">
        <f>N89*'GWPs &amp; Fuel EFs'!$E$11</f>
        <v>24707.962733227076</v>
      </c>
    </row>
    <row r="90" spans="1:15">
      <c r="A90" s="70"/>
      <c r="B90" s="70"/>
      <c r="D90" s="80" t="s">
        <v>431</v>
      </c>
      <c r="E90" s="81" t="s">
        <v>413</v>
      </c>
      <c r="F90" s="79">
        <f>'EIA Form 923'!T2739-'EIA Form 923'!W2739</f>
        <v>0</v>
      </c>
      <c r="G90" s="79">
        <f>'EIA Form 923'!T2739</f>
        <v>0</v>
      </c>
      <c r="I90" s="79">
        <f>F90*'GWPs &amp; Fuel EFs'!$N25</f>
        <v>0</v>
      </c>
      <c r="K90" s="79">
        <f>G90*'GWPs &amp; Fuel EFs'!$M53</f>
        <v>0</v>
      </c>
      <c r="L90" s="79">
        <f>K90*'GWPs &amp; Fuel EFs'!$D$11</f>
        <v>0</v>
      </c>
      <c r="N90" s="79">
        <f>G90*'GWPs &amp; Fuel EFs'!$M81</f>
        <v>0</v>
      </c>
      <c r="O90" s="79">
        <f>N90*'GWPs &amp; Fuel EFs'!$E$11</f>
        <v>0</v>
      </c>
    </row>
    <row r="91" spans="1:15">
      <c r="A91" s="70"/>
      <c r="B91" s="70"/>
      <c r="D91" s="80" t="s">
        <v>2456</v>
      </c>
      <c r="E91" s="81" t="s">
        <v>418</v>
      </c>
      <c r="F91" s="79">
        <f>'EIA Form 923'!T2740-'EIA Form 923'!W2740</f>
        <v>0</v>
      </c>
      <c r="G91" s="79">
        <f>'EIA Form 923'!T2740</f>
        <v>0</v>
      </c>
      <c r="I91" s="79">
        <f>F91*'GWPs &amp; Fuel EFs'!$N26</f>
        <v>0</v>
      </c>
      <c r="K91" s="79">
        <f>G91*'GWPs &amp; Fuel EFs'!$M54</f>
        <v>0</v>
      </c>
      <c r="L91" s="79">
        <f>K91*'GWPs &amp; Fuel EFs'!$D$11</f>
        <v>0</v>
      </c>
      <c r="N91" s="79">
        <f>G91*'GWPs &amp; Fuel EFs'!$M82</f>
        <v>0</v>
      </c>
      <c r="O91" s="79">
        <f>N91*'GWPs &amp; Fuel EFs'!$E$11</f>
        <v>0</v>
      </c>
    </row>
    <row r="92" spans="1:15">
      <c r="A92" s="70"/>
      <c r="B92" s="70"/>
      <c r="D92" s="80" t="s">
        <v>430</v>
      </c>
      <c r="E92" s="81" t="s">
        <v>68</v>
      </c>
      <c r="F92" s="79">
        <f>'EIA Form 923'!T2741-'EIA Form 923'!W2741</f>
        <v>0</v>
      </c>
      <c r="G92" s="79">
        <f>'EIA Form 923'!T2741</f>
        <v>0</v>
      </c>
      <c r="I92" s="79">
        <f>F92*'GWPs &amp; Fuel EFs'!$N27</f>
        <v>0</v>
      </c>
      <c r="K92" s="79">
        <f>G92*'GWPs &amp; Fuel EFs'!$M55</f>
        <v>0</v>
      </c>
      <c r="L92" s="79">
        <f>K92*'GWPs &amp; Fuel EFs'!$D$11</f>
        <v>0</v>
      </c>
      <c r="N92" s="79">
        <f>G92*'GWPs &amp; Fuel EFs'!$M83</f>
        <v>0</v>
      </c>
      <c r="O92" s="79">
        <f>N92*'GWPs &amp; Fuel EFs'!$E$11</f>
        <v>0</v>
      </c>
    </row>
    <row r="93" spans="1:15">
      <c r="A93" s="74"/>
      <c r="B93" s="75"/>
      <c r="F93" s="79"/>
      <c r="G93" s="79"/>
      <c r="I93" s="82">
        <f>SUM(I85:I92)</f>
        <v>2386330305.556684</v>
      </c>
      <c r="L93" s="82">
        <f>SUM(L85:L92)</f>
        <v>4802119.3018659512</v>
      </c>
      <c r="O93" s="82">
        <f>SUM(O85:O92)</f>
        <v>25884065.903474625</v>
      </c>
    </row>
    <row r="94" spans="1:15">
      <c r="A94" s="70"/>
      <c r="B94" s="71"/>
    </row>
    <row r="95" spans="1:15">
      <c r="A95" s="13"/>
      <c r="B95" s="13"/>
      <c r="D95" s="83"/>
      <c r="E95" s="83"/>
      <c r="F95" s="83"/>
      <c r="G95" s="83"/>
      <c r="I95" s="83"/>
      <c r="K95" s="83"/>
      <c r="L95" s="83"/>
      <c r="N95" s="83"/>
      <c r="O95" s="83"/>
    </row>
    <row r="96" spans="1:15" ht="13">
      <c r="A96" s="789" t="s">
        <v>1531</v>
      </c>
      <c r="B96" s="789"/>
      <c r="D96" s="790" t="s">
        <v>220</v>
      </c>
      <c r="E96" s="790"/>
      <c r="F96" s="790"/>
      <c r="G96" s="790"/>
      <c r="I96" s="76" t="s">
        <v>220</v>
      </c>
      <c r="K96" s="790" t="s">
        <v>220</v>
      </c>
      <c r="L96" s="790"/>
      <c r="N96" s="790" t="s">
        <v>220</v>
      </c>
      <c r="O96" s="790"/>
    </row>
    <row r="97" spans="1:15" ht="13">
      <c r="A97" s="789">
        <f>A7</f>
        <v>2022</v>
      </c>
      <c r="B97" s="789"/>
      <c r="D97" s="790" t="s">
        <v>204</v>
      </c>
      <c r="E97" s="790"/>
      <c r="F97" s="790"/>
      <c r="G97" s="790"/>
      <c r="I97" s="76" t="s">
        <v>205</v>
      </c>
      <c r="K97" s="790" t="s">
        <v>206</v>
      </c>
      <c r="L97" s="790"/>
      <c r="N97" s="790" t="s">
        <v>207</v>
      </c>
      <c r="O97" s="790"/>
    </row>
    <row r="98" spans="1:15" s="12" customFormat="1" ht="35.5">
      <c r="A98" s="66"/>
      <c r="B98" s="67" t="s">
        <v>327</v>
      </c>
      <c r="D98" s="78" t="s">
        <v>208</v>
      </c>
      <c r="E98" s="78" t="s">
        <v>209</v>
      </c>
      <c r="F98" s="78" t="s">
        <v>2463</v>
      </c>
      <c r="G98" s="78" t="s">
        <v>2464</v>
      </c>
      <c r="H98" s="28"/>
      <c r="I98" s="65" t="s">
        <v>325</v>
      </c>
      <c r="J98" s="77"/>
      <c r="K98" s="65" t="s">
        <v>326</v>
      </c>
      <c r="L98" s="65" t="s">
        <v>327</v>
      </c>
      <c r="M98" s="77"/>
      <c r="N98" s="65" t="s">
        <v>328</v>
      </c>
      <c r="O98" s="65" t="s">
        <v>327</v>
      </c>
    </row>
    <row r="99" spans="1:15" ht="27.75" customHeight="1">
      <c r="A99" s="68" t="s">
        <v>211</v>
      </c>
      <c r="B99" s="69">
        <f>SUM(B100:B105)</f>
        <v>5457956417.0250301</v>
      </c>
      <c r="D99" s="65" t="s">
        <v>212</v>
      </c>
      <c r="E99" s="65"/>
      <c r="F99" s="78" t="s">
        <v>2465</v>
      </c>
      <c r="G99" s="78" t="s">
        <v>2466</v>
      </c>
      <c r="K99" s="77"/>
      <c r="L99" s="77"/>
      <c r="N99" s="77"/>
      <c r="O99" s="77"/>
    </row>
    <row r="100" spans="1:15">
      <c r="A100" s="70" t="s">
        <v>2467</v>
      </c>
      <c r="B100" s="71">
        <f>I113</f>
        <v>211931236.75321102</v>
      </c>
      <c r="D100" s="80" t="s">
        <v>386</v>
      </c>
      <c r="E100" s="81" t="s">
        <v>43</v>
      </c>
      <c r="F100" s="79">
        <f>'EIA Form 923'!T2745-'EIA Form 923'!W2745</f>
        <v>0</v>
      </c>
      <c r="G100" s="79">
        <f>'EIA Form 923'!T2745</f>
        <v>3863637</v>
      </c>
      <c r="I100" s="79">
        <f>F100*'GWPs &amp; Fuel EFs'!$N5</f>
        <v>0</v>
      </c>
      <c r="K100" s="79">
        <f>G100*'GWPs &amp; Fuel EFs'!$M33</f>
        <v>93696.476782358324</v>
      </c>
      <c r="L100" s="79">
        <f>K100*'GWPs &amp; Fuel EFs'!$D$11</f>
        <v>2342411.9195589582</v>
      </c>
      <c r="N100" s="79">
        <f>G100*'GWPs &amp; Fuel EFs'!$M61</f>
        <v>13628.578441070304</v>
      </c>
      <c r="O100" s="79">
        <f>N100*'GWPs &amp; Fuel EFs'!$E$11</f>
        <v>4061316.3754389505</v>
      </c>
    </row>
    <row r="101" spans="1:15">
      <c r="A101" s="70" t="s">
        <v>2468</v>
      </c>
      <c r="B101" s="72">
        <f>'EPA Part 75'!I409*2000</f>
        <v>5197668844.000001</v>
      </c>
      <c r="D101" s="80" t="s">
        <v>387</v>
      </c>
      <c r="E101" s="81" t="s">
        <v>48</v>
      </c>
      <c r="F101" s="79">
        <f>'EIA Form 923'!T2746-'EIA Form 923'!W2746</f>
        <v>0</v>
      </c>
      <c r="G101" s="79">
        <f>'EIA Form 923'!T2746</f>
        <v>0</v>
      </c>
      <c r="I101" s="79">
        <f>F101*'GWPs &amp; Fuel EFs'!$N6</f>
        <v>0</v>
      </c>
      <c r="K101" s="79">
        <f>G101*'GWPs &amp; Fuel EFs'!$M34</f>
        <v>0</v>
      </c>
      <c r="L101" s="79">
        <f>K101*'GWPs &amp; Fuel EFs'!$D$11</f>
        <v>0</v>
      </c>
      <c r="N101" s="79">
        <f>G101*'GWPs &amp; Fuel EFs'!$M62</f>
        <v>0</v>
      </c>
      <c r="O101" s="79">
        <f>N101*'GWPs &amp; Fuel EFs'!$E$11</f>
        <v>0</v>
      </c>
    </row>
    <row r="102" spans="1:15">
      <c r="A102" s="70" t="s">
        <v>213</v>
      </c>
      <c r="B102" s="71">
        <f>L113</f>
        <v>6406701.6793757807</v>
      </c>
      <c r="D102" s="80" t="s">
        <v>375</v>
      </c>
      <c r="E102" s="81" t="s">
        <v>46</v>
      </c>
      <c r="F102" s="79">
        <f>'EIA Form 923'!T2747-'EIA Form 923'!W2747</f>
        <v>8888</v>
      </c>
      <c r="G102" s="79">
        <f>'EIA Form 923'!T2747</f>
        <v>2511701</v>
      </c>
      <c r="I102" s="79">
        <f>F102*'GWPs &amp; Fuel EFs'!$N7</f>
        <v>1452748.2821983998</v>
      </c>
      <c r="K102" s="79">
        <f>G102*'GWPs &amp; Fuel EFs'!$M35</f>
        <v>16612.058517829861</v>
      </c>
      <c r="L102" s="79">
        <f>K102*'GWPs &amp; Fuel EFs'!$D$11</f>
        <v>415301.46294574649</v>
      </c>
      <c r="N102" s="79">
        <f>G102*'GWPs &amp; Fuel EFs'!$M63</f>
        <v>3322.4117035659715</v>
      </c>
      <c r="O102" s="79">
        <f>N102*'GWPs &amp; Fuel EFs'!$E$11</f>
        <v>990078.68766265956</v>
      </c>
    </row>
    <row r="103" spans="1:15">
      <c r="A103" s="70" t="s">
        <v>214</v>
      </c>
      <c r="B103" s="71">
        <f>O113</f>
        <v>10297815.358270599</v>
      </c>
      <c r="D103" s="80" t="s">
        <v>374</v>
      </c>
      <c r="E103" s="81" t="s">
        <v>39</v>
      </c>
      <c r="F103" s="79">
        <f>'EIA Form 923'!T2748-'EIA Form 923'!W2748</f>
        <v>0</v>
      </c>
      <c r="G103" s="79">
        <f>'EIA Form 923'!T2748</f>
        <v>33011994</v>
      </c>
      <c r="I103" s="79">
        <f>F103*'GWPs &amp; Fuel EFs'!$N8</f>
        <v>0</v>
      </c>
      <c r="K103" s="79">
        <f>G103*'GWPs &amp; Fuel EFs'!$M36</f>
        <v>72778.988703704279</v>
      </c>
      <c r="L103" s="79">
        <f>K103*'GWPs &amp; Fuel EFs'!$D$11</f>
        <v>1819474.717592607</v>
      </c>
      <c r="N103" s="79">
        <f>G103*'GWPs &amp; Fuel EFs'!$M64</f>
        <v>7277.8988703704281</v>
      </c>
      <c r="O103" s="79">
        <f>N103*'GWPs &amp; Fuel EFs'!$E$11</f>
        <v>2168813.8633703873</v>
      </c>
    </row>
    <row r="104" spans="1:15">
      <c r="A104" s="70" t="s">
        <v>215</v>
      </c>
      <c r="B104" s="71">
        <f>L123</f>
        <v>5418990.2071870547</v>
      </c>
      <c r="D104" s="80" t="s">
        <v>388</v>
      </c>
      <c r="E104" s="81" t="s">
        <v>17</v>
      </c>
      <c r="F104" s="79">
        <f>'EIA Form 923'!T2749-'EIA Form 923'!W2749</f>
        <v>974922</v>
      </c>
      <c r="G104" s="79">
        <f>'EIA Form 923'!T2749</f>
        <v>974922</v>
      </c>
      <c r="I104" s="79">
        <f>F104*'GWPs &amp; Fuel EFs'!$N9</f>
        <v>197547946.99355108</v>
      </c>
      <c r="K104" s="79">
        <f>G104*'GWPs &amp; Fuel EFs'!$M37</f>
        <v>64628.554087312223</v>
      </c>
      <c r="L104" s="79">
        <f>K104*'GWPs &amp; Fuel EFs'!$D$11</f>
        <v>1615713.8521828055</v>
      </c>
      <c r="N104" s="79">
        <f>G104*'GWPs &amp; Fuel EFs'!$M65</f>
        <v>8617.1405449749655</v>
      </c>
      <c r="O104" s="79">
        <f>N104*'GWPs &amp; Fuel EFs'!$E$11</f>
        <v>2567907.8824025397</v>
      </c>
    </row>
    <row r="105" spans="1:15">
      <c r="A105" s="70" t="s">
        <v>216</v>
      </c>
      <c r="B105" s="71">
        <f>O123</f>
        <v>26232829.026985243</v>
      </c>
      <c r="D105" s="80" t="s">
        <v>389</v>
      </c>
      <c r="E105" s="81" t="s">
        <v>82</v>
      </c>
      <c r="F105" s="79">
        <f>'EIA Form 923'!T2750-'EIA Form 923'!W2750</f>
        <v>0</v>
      </c>
      <c r="G105" s="79">
        <f>'EIA Form 923'!T2750</f>
        <v>0</v>
      </c>
      <c r="I105" s="79">
        <f>F105*'GWPs &amp; Fuel EFs'!$N10</f>
        <v>0</v>
      </c>
      <c r="K105" s="79">
        <f>G105*'GWPs &amp; Fuel EFs'!$M38</f>
        <v>0</v>
      </c>
      <c r="L105" s="79">
        <f>K105*'GWPs &amp; Fuel EFs'!$D$11</f>
        <v>0</v>
      </c>
      <c r="N105" s="79">
        <f>G105*'GWPs &amp; Fuel EFs'!$M66</f>
        <v>0</v>
      </c>
      <c r="O105" s="79">
        <f>N105*'GWPs &amp; Fuel EFs'!$E$11</f>
        <v>0</v>
      </c>
    </row>
    <row r="106" spans="1:15">
      <c r="A106" s="70"/>
      <c r="B106" s="70"/>
      <c r="D106" s="80" t="s">
        <v>384</v>
      </c>
      <c r="E106" s="81" t="s">
        <v>396</v>
      </c>
      <c r="F106" s="79">
        <f>'EIA Form 923'!T2751-'EIA Form 923'!W2751</f>
        <v>0</v>
      </c>
      <c r="G106" s="79">
        <f>'EIA Form 923'!T2751</f>
        <v>0</v>
      </c>
      <c r="I106" s="79">
        <f>F106*'GWPs &amp; Fuel EFs'!$N11</f>
        <v>0</v>
      </c>
      <c r="K106" s="79">
        <f>G106*'GWPs &amp; Fuel EFs'!$M39</f>
        <v>0</v>
      </c>
      <c r="L106" s="79">
        <f>K106*'GWPs &amp; Fuel EFs'!$D$11</f>
        <v>0</v>
      </c>
      <c r="N106" s="79">
        <f>G106*'GWPs &amp; Fuel EFs'!$M67</f>
        <v>0</v>
      </c>
      <c r="O106" s="79">
        <f>N106*'GWPs &amp; Fuel EFs'!$E$11</f>
        <v>0</v>
      </c>
    </row>
    <row r="107" spans="1:15">
      <c r="A107" s="70"/>
      <c r="B107" s="70"/>
      <c r="D107" s="80" t="s">
        <v>377</v>
      </c>
      <c r="E107" s="81" t="s">
        <v>65</v>
      </c>
      <c r="F107" s="79">
        <f>'EIA Form 923'!T2752-'EIA Form 923'!W2752</f>
        <v>0</v>
      </c>
      <c r="G107" s="79">
        <f>'EIA Form 923'!T2752</f>
        <v>0</v>
      </c>
      <c r="I107" s="79">
        <f>F107*'GWPs &amp; Fuel EFs'!$N12</f>
        <v>0</v>
      </c>
      <c r="K107" s="79">
        <f>G107*'GWPs &amp; Fuel EFs'!$M40</f>
        <v>0</v>
      </c>
      <c r="L107" s="79">
        <f>K107*'GWPs &amp; Fuel EFs'!$D$11</f>
        <v>0</v>
      </c>
      <c r="N107" s="79">
        <f>G107*'GWPs &amp; Fuel EFs'!$M68</f>
        <v>0</v>
      </c>
      <c r="O107" s="79">
        <f>N107*'GWPs &amp; Fuel EFs'!$E$11</f>
        <v>0</v>
      </c>
    </row>
    <row r="108" spans="1:15">
      <c r="A108" s="70"/>
      <c r="B108" s="70"/>
      <c r="D108" s="80" t="s">
        <v>376</v>
      </c>
      <c r="E108" s="81" t="s">
        <v>61</v>
      </c>
      <c r="F108" s="79">
        <f>'EIA Form 923'!T2753-'EIA Form 923'!W2753</f>
        <v>0</v>
      </c>
      <c r="G108" s="79">
        <f>'EIA Form 923'!T2753</f>
        <v>1211841</v>
      </c>
      <c r="I108" s="79">
        <f>F108*'GWPs &amp; Fuel EFs'!$N13</f>
        <v>0</v>
      </c>
      <c r="K108" s="79">
        <f>G108*'GWPs &amp; Fuel EFs'!$M41</f>
        <v>8014.9562413302601</v>
      </c>
      <c r="L108" s="79">
        <f>K108*'GWPs &amp; Fuel EFs'!$D$11</f>
        <v>200373.9060332565</v>
      </c>
      <c r="N108" s="79">
        <f>G108*'GWPs &amp; Fuel EFs'!$M69</f>
        <v>1602.9912482660518</v>
      </c>
      <c r="O108" s="79">
        <f>N108*'GWPs &amp; Fuel EFs'!$E$11</f>
        <v>477691.39198328345</v>
      </c>
    </row>
    <row r="109" spans="1:15">
      <c r="A109" s="70"/>
      <c r="B109" s="70"/>
      <c r="D109" s="80" t="s">
        <v>378</v>
      </c>
      <c r="E109" s="81" t="s">
        <v>66</v>
      </c>
      <c r="F109" s="79">
        <f>'EIA Form 923'!T2754-'EIA Form 923'!W2754</f>
        <v>81198</v>
      </c>
      <c r="G109" s="79">
        <f>'EIA Form 923'!T2754</f>
        <v>81198</v>
      </c>
      <c r="I109" s="79">
        <f>F109*'GWPs &amp; Fuel EFs'!$N14</f>
        <v>12930541.477461549</v>
      </c>
      <c r="K109" s="79">
        <f>G109*'GWPs &amp; Fuel EFs'!$M42</f>
        <v>537.03284249627995</v>
      </c>
      <c r="L109" s="79">
        <f>K109*'GWPs &amp; Fuel EFs'!$D$11</f>
        <v>13425.821062406998</v>
      </c>
      <c r="N109" s="79">
        <f>G109*'GWPs &amp; Fuel EFs'!$M70</f>
        <v>107.40656849925598</v>
      </c>
      <c r="O109" s="79">
        <f>N109*'GWPs &amp; Fuel EFs'!$E$11</f>
        <v>32007.157412778284</v>
      </c>
    </row>
    <row r="110" spans="1:15">
      <c r="A110" s="70"/>
      <c r="B110" s="70"/>
      <c r="D110" s="80" t="s">
        <v>379</v>
      </c>
      <c r="E110" s="81" t="s">
        <v>76</v>
      </c>
      <c r="F110" s="79">
        <f>'EIA Form 923'!T2755-'EIA Form 923'!W2755</f>
        <v>0</v>
      </c>
      <c r="G110" s="79">
        <f>'EIA Form 923'!T2755</f>
        <v>0</v>
      </c>
      <c r="I110" s="79">
        <f>F110*'GWPs &amp; Fuel EFs'!$N15</f>
        <v>0</v>
      </c>
      <c r="K110" s="79">
        <f>G110*'GWPs &amp; Fuel EFs'!$M43</f>
        <v>0</v>
      </c>
      <c r="L110" s="79">
        <f>K110*'GWPs &amp; Fuel EFs'!$D$11</f>
        <v>0</v>
      </c>
      <c r="N110" s="79">
        <f>G110*'GWPs &amp; Fuel EFs'!$M71</f>
        <v>0</v>
      </c>
      <c r="O110" s="79">
        <f>N110*'GWPs &amp; Fuel EFs'!$E$11</f>
        <v>0</v>
      </c>
    </row>
    <row r="111" spans="1:15">
      <c r="A111" s="70"/>
      <c r="B111" s="70"/>
      <c r="D111" s="80" t="s">
        <v>380</v>
      </c>
      <c r="E111" s="81" t="s">
        <v>73</v>
      </c>
      <c r="F111" s="79">
        <f>'EIA Form 923'!T2756-'EIA Form 923'!W2756</f>
        <v>0</v>
      </c>
      <c r="G111" s="79">
        <f>'EIA Form 923'!T2756</f>
        <v>0</v>
      </c>
      <c r="I111" s="79">
        <f>F111*'GWPs &amp; Fuel EFs'!$N16</f>
        <v>0</v>
      </c>
      <c r="K111" s="79">
        <f>G111*'GWPs &amp; Fuel EFs'!$M44</f>
        <v>0</v>
      </c>
      <c r="L111" s="79">
        <f>K111*'GWPs &amp; Fuel EFs'!$D$11</f>
        <v>0</v>
      </c>
      <c r="N111" s="79">
        <f>G111*'GWPs &amp; Fuel EFs'!$M72</f>
        <v>0</v>
      </c>
      <c r="O111" s="79">
        <f>N111*'GWPs &amp; Fuel EFs'!$E$11</f>
        <v>0</v>
      </c>
    </row>
    <row r="112" spans="1:15">
      <c r="A112" s="70"/>
      <c r="B112" s="70"/>
      <c r="D112" s="80" t="s">
        <v>429</v>
      </c>
      <c r="E112" s="81" t="s">
        <v>420</v>
      </c>
      <c r="F112" s="79">
        <f>'EIA Form 923'!T2757-'EIA Form 923'!W2757</f>
        <v>0</v>
      </c>
      <c r="G112" s="79">
        <f>'EIA Form 923'!T2757</f>
        <v>0</v>
      </c>
      <c r="I112" s="79">
        <f>F112*'GWPs &amp; Fuel EFs'!$N17</f>
        <v>0</v>
      </c>
      <c r="K112" s="79">
        <f>G112*'GWPs &amp; Fuel EFs'!$M45</f>
        <v>0</v>
      </c>
      <c r="L112" s="79">
        <f>K112*'GWPs &amp; Fuel EFs'!$D$11</f>
        <v>0</v>
      </c>
      <c r="N112" s="79">
        <f>G112*'GWPs &amp; Fuel EFs'!$M73</f>
        <v>0</v>
      </c>
      <c r="O112" s="79">
        <f>N112*'GWPs &amp; Fuel EFs'!$E$11</f>
        <v>0</v>
      </c>
    </row>
    <row r="113" spans="1:15">
      <c r="A113" s="70"/>
      <c r="B113" s="70"/>
      <c r="D113" s="80"/>
      <c r="F113" s="79"/>
      <c r="G113" s="79"/>
      <c r="I113" s="82">
        <f>SUM(I100:I112)</f>
        <v>211931236.75321102</v>
      </c>
      <c r="K113" s="79"/>
      <c r="L113" s="82">
        <f>SUM(L100:L112)</f>
        <v>6406701.6793757807</v>
      </c>
      <c r="N113" s="79"/>
      <c r="O113" s="82">
        <f>SUM(O100:O112)</f>
        <v>10297815.358270599</v>
      </c>
    </row>
    <row r="114" spans="1:15" ht="13">
      <c r="A114" s="73" t="s">
        <v>217</v>
      </c>
      <c r="B114" s="69">
        <f>I123</f>
        <v>2359475479.4383144</v>
      </c>
      <c r="D114" s="65" t="s">
        <v>218</v>
      </c>
      <c r="F114" s="79"/>
      <c r="G114" s="79"/>
      <c r="I114" s="82"/>
      <c r="K114" s="79"/>
      <c r="L114" s="82"/>
      <c r="N114" s="79"/>
      <c r="O114" s="82"/>
    </row>
    <row r="115" spans="1:15">
      <c r="A115" s="70"/>
      <c r="B115" s="70"/>
      <c r="D115" s="80" t="s">
        <v>382</v>
      </c>
      <c r="E115" s="81" t="s">
        <v>63</v>
      </c>
      <c r="F115" s="79">
        <f>'EIA Form 923'!T2759-'EIA Form 923'!W2759</f>
        <v>926966</v>
      </c>
      <c r="G115" s="79">
        <f>'EIA Form 923'!T2759</f>
        <v>926966</v>
      </c>
      <c r="I115" s="79">
        <f>F115*'GWPs &amp; Fuel EFs'!$N20</f>
        <v>106410783.71649779</v>
      </c>
      <c r="K115" s="79">
        <f>G115*'GWPs &amp; Fuel EFs'!$M48</f>
        <v>6539.5526770269444</v>
      </c>
      <c r="L115" s="79">
        <f>K115*'GWPs &amp; Fuel EFs'!$D$11</f>
        <v>163488.8169256736</v>
      </c>
      <c r="N115" s="79">
        <f>G115*'GWPs &amp; Fuel EFs'!$M76</f>
        <v>1287.4744332896796</v>
      </c>
      <c r="O115" s="79">
        <f>N115*'GWPs &amp; Fuel EFs'!$E$11</f>
        <v>383667.38112032454</v>
      </c>
    </row>
    <row r="116" spans="1:15">
      <c r="A116" s="70"/>
      <c r="B116" s="72"/>
      <c r="D116" s="80" t="s">
        <v>385</v>
      </c>
      <c r="E116" s="81" t="s">
        <v>16</v>
      </c>
      <c r="F116" s="79">
        <f>'EIA Form 923'!T2760-'EIA Form 923'!W2760</f>
        <v>797653</v>
      </c>
      <c r="G116" s="79">
        <f>'EIA Form 923'!T2760</f>
        <v>797653</v>
      </c>
      <c r="I116" s="79">
        <f>F116*'GWPs &amp; Fuel EFs'!$N21</f>
        <v>166980678.46531165</v>
      </c>
      <c r="K116" s="79">
        <f>G116*'GWPs &amp; Fuel EFs'!$M49</f>
        <v>50094.203539593487</v>
      </c>
      <c r="L116" s="79">
        <f>K116*'GWPs &amp; Fuel EFs'!$D$11</f>
        <v>1252355.0884898372</v>
      </c>
      <c r="N116" s="79">
        <f>G116*'GWPs &amp; Fuel EFs'!$M77</f>
        <v>6679.2271386124648</v>
      </c>
      <c r="O116" s="79">
        <f>N116*'GWPs &amp; Fuel EFs'!$E$11</f>
        <v>1990409.6873065145</v>
      </c>
    </row>
    <row r="117" spans="1:15">
      <c r="A117" s="70"/>
      <c r="B117" s="70"/>
      <c r="D117" s="80" t="s">
        <v>381</v>
      </c>
      <c r="E117" s="81" t="s">
        <v>151</v>
      </c>
      <c r="F117" s="79">
        <f>'EIA Form 923'!T2761-'EIA Form 923'!W2761</f>
        <v>0</v>
      </c>
      <c r="G117" s="79">
        <f>'EIA Form 923'!T2761</f>
        <v>0</v>
      </c>
      <c r="I117" s="79">
        <f>F117*'GWPs &amp; Fuel EFs'!$N22</f>
        <v>0</v>
      </c>
      <c r="K117" s="79">
        <f>G117*'GWPs &amp; Fuel EFs'!$M50</f>
        <v>0</v>
      </c>
      <c r="L117" s="79">
        <f>K117*'GWPs &amp; Fuel EFs'!$D$11</f>
        <v>0</v>
      </c>
      <c r="N117" s="79">
        <f>G117*'GWPs &amp; Fuel EFs'!$M78</f>
        <v>0</v>
      </c>
      <c r="O117" s="79">
        <f>N117*'GWPs &amp; Fuel EFs'!$E$11</f>
        <v>0</v>
      </c>
    </row>
    <row r="118" spans="1:15">
      <c r="A118" s="70"/>
      <c r="B118" s="70"/>
      <c r="D118" s="80" t="s">
        <v>390</v>
      </c>
      <c r="E118" s="81" t="s">
        <v>69</v>
      </c>
      <c r="F118" s="79">
        <f>'EIA Form 923'!T2762-'EIA Form 923'!W2762</f>
        <v>10087759</v>
      </c>
      <c r="G118" s="79">
        <f>'EIA Form 923'!T2762</f>
        <v>10087759</v>
      </c>
      <c r="H118" s="85"/>
      <c r="I118" s="79">
        <f>F118*'GWPs &amp; Fuel EFs'!$N23</f>
        <v>2086084017.2565048</v>
      </c>
      <c r="K118" s="79">
        <f>G118*'GWPs &amp; Fuel EFs'!$M51</f>
        <v>160125.85207086176</v>
      </c>
      <c r="L118" s="79">
        <f>K118*'GWPs &amp; Fuel EFs'!$D$11</f>
        <v>4003146.3017715439</v>
      </c>
      <c r="N118" s="79">
        <f>G118*'GWPs &amp; Fuel EFs'!$M79</f>
        <v>80062.926035430879</v>
      </c>
      <c r="O118" s="79">
        <f>N118*'GWPs &amp; Fuel EFs'!$E$11</f>
        <v>23858751.958558403</v>
      </c>
    </row>
    <row r="119" spans="1:15">
      <c r="A119" s="70"/>
      <c r="B119" s="70"/>
      <c r="D119" s="80" t="s">
        <v>383</v>
      </c>
      <c r="E119" s="81" t="s">
        <v>152</v>
      </c>
      <c r="F119" s="79">
        <f>'EIA Form 923'!T2763-'EIA Form 923'!W2763</f>
        <v>0</v>
      </c>
      <c r="G119" s="79">
        <f>'EIA Form 923'!T2763</f>
        <v>0</v>
      </c>
      <c r="I119" s="79">
        <f>F119*'GWPs &amp; Fuel EFs'!$N24</f>
        <v>0</v>
      </c>
      <c r="K119" s="79">
        <f>G119*'GWPs &amp; Fuel EFs'!$M52</f>
        <v>0</v>
      </c>
      <c r="L119" s="79">
        <f>K119*'GWPs &amp; Fuel EFs'!$D$11</f>
        <v>0</v>
      </c>
      <c r="N119" s="79">
        <f>G119*'GWPs &amp; Fuel EFs'!$M80</f>
        <v>0</v>
      </c>
      <c r="O119" s="79">
        <f>N119*'GWPs &amp; Fuel EFs'!$E$11</f>
        <v>0</v>
      </c>
    </row>
    <row r="120" spans="1:15">
      <c r="A120" s="70"/>
      <c r="B120" s="70"/>
      <c r="D120" s="80" t="s">
        <v>431</v>
      </c>
      <c r="E120" s="81" t="s">
        <v>413</v>
      </c>
      <c r="F120" s="79">
        <f>'EIA Form 923'!T2764-'EIA Form 923'!W2764</f>
        <v>0</v>
      </c>
      <c r="G120" s="79">
        <f>'EIA Form 923'!T2764</f>
        <v>0</v>
      </c>
      <c r="H120" s="85"/>
      <c r="I120" s="79">
        <f>F120*'GWPs &amp; Fuel EFs'!$N25</f>
        <v>0</v>
      </c>
      <c r="K120" s="79">
        <f>G120*'GWPs &amp; Fuel EFs'!$M53</f>
        <v>0</v>
      </c>
      <c r="L120" s="79">
        <f>K120*'GWPs &amp; Fuel EFs'!$D$11</f>
        <v>0</v>
      </c>
      <c r="N120" s="79">
        <f>G120*'GWPs &amp; Fuel EFs'!$M81</f>
        <v>0</v>
      </c>
      <c r="O120" s="79">
        <f>N120*'GWPs &amp; Fuel EFs'!$E$11</f>
        <v>0</v>
      </c>
    </row>
    <row r="121" spans="1:15">
      <c r="A121" s="70"/>
      <c r="B121" s="70"/>
      <c r="D121" s="80" t="s">
        <v>2456</v>
      </c>
      <c r="E121" s="81" t="s">
        <v>418</v>
      </c>
      <c r="F121" s="79">
        <f>'EIA Form 923'!T2765-'EIA Form 923'!W2765</f>
        <v>0</v>
      </c>
      <c r="G121" s="79">
        <f>'EIA Form 923'!T2765</f>
        <v>0</v>
      </c>
      <c r="H121" s="85"/>
      <c r="I121" s="79">
        <f>F121*'GWPs &amp; Fuel EFs'!$N26</f>
        <v>0</v>
      </c>
      <c r="K121" s="79">
        <f>G121*'GWPs &amp; Fuel EFs'!$M54</f>
        <v>0</v>
      </c>
      <c r="L121" s="79">
        <f>K121*'GWPs &amp; Fuel EFs'!$D$11</f>
        <v>0</v>
      </c>
      <c r="N121" s="79">
        <f>G121*'GWPs &amp; Fuel EFs'!$M82</f>
        <v>0</v>
      </c>
      <c r="O121" s="79">
        <f>N121*'GWPs &amp; Fuel EFs'!$E$11</f>
        <v>0</v>
      </c>
    </row>
    <row r="122" spans="1:15">
      <c r="A122" s="70"/>
      <c r="B122" s="70"/>
      <c r="D122" s="80" t="s">
        <v>430</v>
      </c>
      <c r="E122" s="81" t="s">
        <v>68</v>
      </c>
      <c r="F122" s="79">
        <f>'EIA Form 923'!T2766-'EIA Form 923'!W2766</f>
        <v>0</v>
      </c>
      <c r="G122" s="79">
        <f>'EIA Form 923'!T2766</f>
        <v>0</v>
      </c>
      <c r="H122" s="85"/>
      <c r="I122" s="79">
        <f>F122*'GWPs &amp; Fuel EFs'!$N27</f>
        <v>0</v>
      </c>
      <c r="K122" s="79">
        <f>G122*'GWPs &amp; Fuel EFs'!$M55</f>
        <v>0</v>
      </c>
      <c r="L122" s="79">
        <f>K122*'GWPs &amp; Fuel EFs'!$D$11</f>
        <v>0</v>
      </c>
      <c r="N122" s="79">
        <f>G122*'GWPs &amp; Fuel EFs'!$M83</f>
        <v>0</v>
      </c>
      <c r="O122" s="79">
        <f>N122*'GWPs &amp; Fuel EFs'!$E$11</f>
        <v>0</v>
      </c>
    </row>
    <row r="123" spans="1:15">
      <c r="A123" s="70"/>
      <c r="B123" s="75"/>
      <c r="F123" s="79"/>
      <c r="G123" s="79"/>
      <c r="H123" s="85"/>
      <c r="I123" s="82">
        <f>SUM(I115:I122)</f>
        <v>2359475479.4383144</v>
      </c>
      <c r="L123" s="82">
        <f>SUM(L115:L122)</f>
        <v>5418990.2071870547</v>
      </c>
      <c r="O123" s="82">
        <f>SUM(O115:O122)</f>
        <v>26232829.026985243</v>
      </c>
    </row>
    <row r="124" spans="1:15">
      <c r="A124" s="70"/>
      <c r="B124" s="70"/>
    </row>
    <row r="125" spans="1:15">
      <c r="A125" s="13"/>
      <c r="B125" s="13"/>
      <c r="D125" s="83"/>
      <c r="E125" s="83"/>
      <c r="F125" s="83"/>
      <c r="G125" s="83"/>
      <c r="I125" s="83"/>
      <c r="K125" s="83"/>
      <c r="L125" s="83"/>
      <c r="N125" s="83"/>
      <c r="O125" s="83"/>
    </row>
    <row r="126" spans="1:15" ht="13">
      <c r="A126" s="789" t="s">
        <v>1532</v>
      </c>
      <c r="B126" s="789"/>
      <c r="D126" s="790" t="s">
        <v>224</v>
      </c>
      <c r="E126" s="790"/>
      <c r="F126" s="790"/>
      <c r="G126" s="790"/>
      <c r="I126" s="76" t="s">
        <v>224</v>
      </c>
      <c r="K126" s="790" t="s">
        <v>224</v>
      </c>
      <c r="L126" s="790"/>
      <c r="N126" s="790" t="s">
        <v>224</v>
      </c>
      <c r="O126" s="790"/>
    </row>
    <row r="127" spans="1:15" ht="13">
      <c r="A127" s="789">
        <f>A7</f>
        <v>2022</v>
      </c>
      <c r="B127" s="789"/>
      <c r="D127" s="790" t="s">
        <v>204</v>
      </c>
      <c r="E127" s="790"/>
      <c r="F127" s="790"/>
      <c r="G127" s="790"/>
      <c r="I127" s="76" t="s">
        <v>205</v>
      </c>
      <c r="K127" s="790" t="s">
        <v>206</v>
      </c>
      <c r="L127" s="790"/>
      <c r="N127" s="790" t="s">
        <v>207</v>
      </c>
      <c r="O127" s="790"/>
    </row>
    <row r="128" spans="1:15" s="12" customFormat="1" ht="35.5">
      <c r="A128" s="66"/>
      <c r="B128" s="67" t="s">
        <v>327</v>
      </c>
      <c r="D128" s="78" t="s">
        <v>208</v>
      </c>
      <c r="E128" s="78" t="s">
        <v>209</v>
      </c>
      <c r="F128" s="78" t="s">
        <v>2463</v>
      </c>
      <c r="G128" s="78" t="s">
        <v>2464</v>
      </c>
      <c r="H128" s="28"/>
      <c r="I128" s="65" t="s">
        <v>325</v>
      </c>
      <c r="J128" s="77"/>
      <c r="K128" s="65" t="s">
        <v>326</v>
      </c>
      <c r="L128" s="65" t="s">
        <v>327</v>
      </c>
      <c r="M128" s="77"/>
      <c r="N128" s="65" t="s">
        <v>328</v>
      </c>
      <c r="O128" s="65" t="s">
        <v>327</v>
      </c>
    </row>
    <row r="129" spans="1:15" ht="26.25" customHeight="1">
      <c r="A129" s="68" t="s">
        <v>211</v>
      </c>
      <c r="B129" s="69">
        <f>SUM(B130:B135)</f>
        <v>62176629769.065964</v>
      </c>
      <c r="D129" s="65" t="s">
        <v>212</v>
      </c>
      <c r="E129" s="65"/>
      <c r="F129" s="78" t="s">
        <v>2465</v>
      </c>
      <c r="G129" s="78" t="s">
        <v>2466</v>
      </c>
      <c r="K129" s="77"/>
      <c r="L129" s="77"/>
      <c r="N129" s="77"/>
      <c r="O129" s="77"/>
    </row>
    <row r="130" spans="1:15">
      <c r="A130" s="70" t="s">
        <v>2467</v>
      </c>
      <c r="B130" s="71">
        <f>I143</f>
        <v>16821974715.657112</v>
      </c>
      <c r="D130" s="80" t="s">
        <v>386</v>
      </c>
      <c r="E130" s="81" t="s">
        <v>43</v>
      </c>
      <c r="F130" s="79">
        <f>'EIA Form 923'!T2770-'EIA Form 923'!W2770</f>
        <v>0</v>
      </c>
      <c r="G130" s="79">
        <f>'EIA Form 923'!T2770</f>
        <v>0</v>
      </c>
      <c r="I130" s="79">
        <f>F130*'GWPs &amp; Fuel EFs'!$N5</f>
        <v>0</v>
      </c>
      <c r="K130" s="79">
        <f>G130*'GWPs &amp; Fuel EFs'!$M33</f>
        <v>0</v>
      </c>
      <c r="L130" s="79">
        <f>K130*'GWPs &amp; Fuel EFs'!$D$11</f>
        <v>0</v>
      </c>
      <c r="N130" s="79">
        <f>G130*'GWPs &amp; Fuel EFs'!$M61</f>
        <v>0</v>
      </c>
      <c r="O130" s="79">
        <f>N130*'GWPs &amp; Fuel EFs'!$E$11</f>
        <v>0</v>
      </c>
    </row>
    <row r="131" spans="1:15">
      <c r="A131" s="70" t="s">
        <v>2468</v>
      </c>
      <c r="B131" s="72">
        <f>'EPA Part 75'!I410*2000</f>
        <v>45249920496.000015</v>
      </c>
      <c r="D131" s="80" t="s">
        <v>387</v>
      </c>
      <c r="E131" s="81" t="s">
        <v>48</v>
      </c>
      <c r="F131" s="79">
        <f>'EIA Form 923'!T2771-'EIA Form 923'!W2771</f>
        <v>0</v>
      </c>
      <c r="G131" s="79">
        <f>'EIA Form 923'!T2771</f>
        <v>0</v>
      </c>
      <c r="I131" s="79">
        <f>F131*'GWPs &amp; Fuel EFs'!$N6</f>
        <v>0</v>
      </c>
      <c r="K131" s="79">
        <f>G131*'GWPs &amp; Fuel EFs'!$M34</f>
        <v>0</v>
      </c>
      <c r="L131" s="79">
        <f>K131*'GWPs &amp; Fuel EFs'!$D$11</f>
        <v>0</v>
      </c>
      <c r="N131" s="79">
        <f>G131*'GWPs &amp; Fuel EFs'!$M62</f>
        <v>0</v>
      </c>
      <c r="O131" s="79">
        <f>N131*'GWPs &amp; Fuel EFs'!$E$11</f>
        <v>0</v>
      </c>
    </row>
    <row r="132" spans="1:15">
      <c r="A132" s="70" t="s">
        <v>213</v>
      </c>
      <c r="B132" s="71">
        <f>L143</f>
        <v>33107636.038123883</v>
      </c>
      <c r="D132" s="80" t="s">
        <v>375</v>
      </c>
      <c r="E132" s="81" t="s">
        <v>46</v>
      </c>
      <c r="F132" s="79">
        <f>'EIA Form 923'!T2772-'EIA Form 923'!W2772</f>
        <v>2200647</v>
      </c>
      <c r="G132" s="79">
        <f>'EIA Form 923'!T2772</f>
        <v>6002988</v>
      </c>
      <c r="I132" s="79">
        <f>F132*'GWPs &amp; Fuel EFs'!$N7</f>
        <v>359696911.45083958</v>
      </c>
      <c r="K132" s="79">
        <f>G132*'GWPs &amp; Fuel EFs'!$M35</f>
        <v>39702.969397165682</v>
      </c>
      <c r="L132" s="79">
        <f>K132*'GWPs &amp; Fuel EFs'!$D$11</f>
        <v>992574.23492914205</v>
      </c>
      <c r="N132" s="79">
        <f>G132*'GWPs &amp; Fuel EFs'!$M63</f>
        <v>7940.593879433135</v>
      </c>
      <c r="O132" s="79">
        <f>N132*'GWPs &amp; Fuel EFs'!$E$11</f>
        <v>2366296.9760710741</v>
      </c>
    </row>
    <row r="133" spans="1:15">
      <c r="A133" s="70" t="s">
        <v>214</v>
      </c>
      <c r="B133" s="71">
        <f>O143</f>
        <v>44762738.740460649</v>
      </c>
      <c r="D133" s="80" t="s">
        <v>374</v>
      </c>
      <c r="E133" s="81" t="s">
        <v>39</v>
      </c>
      <c r="F133" s="79">
        <f>'EIA Form 923'!T2773-'EIA Form 923'!W2773</f>
        <v>133326562</v>
      </c>
      <c r="G133" s="79">
        <f>'EIA Form 923'!T2773</f>
        <v>465176880</v>
      </c>
      <c r="I133" s="79">
        <f>F133*'GWPs &amp; Fuel EFs'!$N8</f>
        <v>15552069374.710836</v>
      </c>
      <c r="K133" s="79">
        <f>G133*'GWPs &amp; Fuel EFs'!$M36</f>
        <v>1025539.4719490255</v>
      </c>
      <c r="L133" s="79">
        <f>K133*'GWPs &amp; Fuel EFs'!$D$11</f>
        <v>25638486.798725639</v>
      </c>
      <c r="N133" s="79">
        <f>G133*'GWPs &amp; Fuel EFs'!$M64</f>
        <v>102553.94719490256</v>
      </c>
      <c r="O133" s="79">
        <f>N133*'GWPs &amp; Fuel EFs'!$E$11</f>
        <v>30561076.264080964</v>
      </c>
    </row>
    <row r="134" spans="1:15">
      <c r="A134" s="70" t="s">
        <v>215</v>
      </c>
      <c r="B134" s="71">
        <f>L153</f>
        <v>6675043.6073663607</v>
      </c>
      <c r="D134" s="80" t="s">
        <v>388</v>
      </c>
      <c r="E134" s="81" t="s">
        <v>17</v>
      </c>
      <c r="F134" s="79">
        <f>'EIA Form 923'!T2774-'EIA Form 923'!W2774</f>
        <v>2644938</v>
      </c>
      <c r="G134" s="79">
        <f>'EIA Form 923'!T2774</f>
        <v>2644938</v>
      </c>
      <c r="I134" s="79">
        <f>F134*'GWPs &amp; Fuel EFs'!$N9</f>
        <v>535942436.24128801</v>
      </c>
      <c r="K134" s="79">
        <f>G134*'GWPs &amp; Fuel EFs'!$M37</f>
        <v>175335.58437555766</v>
      </c>
      <c r="L134" s="79">
        <f>K134*'GWPs &amp; Fuel EFs'!$D$11</f>
        <v>4383389.6093889419</v>
      </c>
      <c r="N134" s="79">
        <f>G134*'GWPs &amp; Fuel EFs'!$M65</f>
        <v>23378.077916741029</v>
      </c>
      <c r="O134" s="79">
        <f>N134*'GWPs &amp; Fuel EFs'!$E$11</f>
        <v>6966667.2191888271</v>
      </c>
    </row>
    <row r="135" spans="1:15">
      <c r="A135" s="70" t="s">
        <v>216</v>
      </c>
      <c r="B135" s="71">
        <f>O153</f>
        <v>20189139.022882428</v>
      </c>
      <c r="D135" s="80" t="s">
        <v>389</v>
      </c>
      <c r="E135" s="81" t="s">
        <v>82</v>
      </c>
      <c r="F135" s="79">
        <f>'EIA Form 923'!T2775-'EIA Form 923'!W2775</f>
        <v>0</v>
      </c>
      <c r="G135" s="79">
        <f>'EIA Form 923'!T2775</f>
        <v>0</v>
      </c>
      <c r="I135" s="79">
        <f>F135*'GWPs &amp; Fuel EFs'!$N10</f>
        <v>0</v>
      </c>
      <c r="K135" s="79">
        <f>G135*'GWPs &amp; Fuel EFs'!$M38</f>
        <v>0</v>
      </c>
      <c r="L135" s="79">
        <f>K135*'GWPs &amp; Fuel EFs'!$D$11</f>
        <v>0</v>
      </c>
      <c r="N135" s="79">
        <f>G135*'GWPs &amp; Fuel EFs'!$M66</f>
        <v>0</v>
      </c>
      <c r="O135" s="79">
        <f>N135*'GWPs &amp; Fuel EFs'!$E$11</f>
        <v>0</v>
      </c>
    </row>
    <row r="136" spans="1:15">
      <c r="A136" s="70"/>
      <c r="B136" s="70"/>
      <c r="D136" s="80" t="s">
        <v>384</v>
      </c>
      <c r="E136" s="81" t="s">
        <v>396</v>
      </c>
      <c r="F136" s="79">
        <f>'EIA Form 923'!T2776-'EIA Form 923'!W2776</f>
        <v>84032</v>
      </c>
      <c r="G136" s="79">
        <f>'EIA Form 923'!T2776</f>
        <v>84032</v>
      </c>
      <c r="I136" s="79">
        <f>F136*'GWPs &amp; Fuel EFs'!$N11</f>
        <v>15926684.235404799</v>
      </c>
      <c r="K136" s="79">
        <f>G136*'GWPs &amp; Fuel EFs'!$M39</f>
        <v>5928.28313612288</v>
      </c>
      <c r="L136" s="79">
        <f>K136*'GWPs &amp; Fuel EFs'!$D$11</f>
        <v>148207.078403072</v>
      </c>
      <c r="N136" s="79">
        <f>G136*'GWPs &amp; Fuel EFs'!$M67</f>
        <v>778.0871616161279</v>
      </c>
      <c r="O136" s="79">
        <f>N136*'GWPs &amp; Fuel EFs'!$E$11</f>
        <v>231869.97416160611</v>
      </c>
    </row>
    <row r="137" spans="1:15">
      <c r="A137" s="70"/>
      <c r="B137" s="70"/>
      <c r="D137" s="80" t="s">
        <v>377</v>
      </c>
      <c r="E137" s="81" t="s">
        <v>65</v>
      </c>
      <c r="F137" s="79">
        <f>'EIA Form 923'!T2777-'EIA Form 923'!W2777</f>
        <v>0</v>
      </c>
      <c r="G137" s="79">
        <f>'EIA Form 923'!T2777</f>
        <v>0</v>
      </c>
      <c r="I137" s="79">
        <f>F137*'GWPs &amp; Fuel EFs'!$N12</f>
        <v>0</v>
      </c>
      <c r="K137" s="79">
        <f>G137*'GWPs &amp; Fuel EFs'!$M40</f>
        <v>0</v>
      </c>
      <c r="L137" s="79">
        <f>K137*'GWPs &amp; Fuel EFs'!$D$11</f>
        <v>0</v>
      </c>
      <c r="N137" s="79">
        <f>G137*'GWPs &amp; Fuel EFs'!$M68</f>
        <v>0</v>
      </c>
      <c r="O137" s="79">
        <f>N137*'GWPs &amp; Fuel EFs'!$E$11</f>
        <v>0</v>
      </c>
    </row>
    <row r="138" spans="1:15">
      <c r="A138" s="70"/>
      <c r="B138" s="70"/>
      <c r="D138" s="80" t="s">
        <v>376</v>
      </c>
      <c r="E138" s="81" t="s">
        <v>61</v>
      </c>
      <c r="F138" s="79">
        <f>'EIA Form 923'!T2778-'EIA Form 923'!W2778</f>
        <v>455571</v>
      </c>
      <c r="G138" s="79">
        <f>'EIA Form 923'!T2778</f>
        <v>10158085</v>
      </c>
      <c r="I138" s="79">
        <f>F138*'GWPs &amp; Fuel EFs'!$N13</f>
        <v>75420807.357845396</v>
      </c>
      <c r="K138" s="79">
        <f>G138*'GWPs &amp; Fuel EFs'!$M41</f>
        <v>67184.231900648098</v>
      </c>
      <c r="L138" s="79">
        <f>K138*'GWPs &amp; Fuel EFs'!$D$11</f>
        <v>1679605.7975162026</v>
      </c>
      <c r="N138" s="79">
        <f>G138*'GWPs &amp; Fuel EFs'!$M69</f>
        <v>13436.846380129618</v>
      </c>
      <c r="O138" s="79">
        <f>N138*'GWPs &amp; Fuel EFs'!$E$11</f>
        <v>4004180.2212786265</v>
      </c>
    </row>
    <row r="139" spans="1:15">
      <c r="A139" s="70"/>
      <c r="B139" s="70"/>
      <c r="D139" s="80" t="s">
        <v>378</v>
      </c>
      <c r="E139" s="81" t="s">
        <v>66</v>
      </c>
      <c r="F139" s="79">
        <f>'EIA Form 923'!T2779-'EIA Form 923'!W2779</f>
        <v>0</v>
      </c>
      <c r="G139" s="79">
        <f>'EIA Form 923'!T2779</f>
        <v>0</v>
      </c>
      <c r="I139" s="79">
        <f>F139*'GWPs &amp; Fuel EFs'!$N14</f>
        <v>0</v>
      </c>
      <c r="K139" s="79">
        <f>G139*'GWPs &amp; Fuel EFs'!$M42</f>
        <v>0</v>
      </c>
      <c r="L139" s="79">
        <f>K139*'GWPs &amp; Fuel EFs'!$D$11</f>
        <v>0</v>
      </c>
      <c r="N139" s="79">
        <f>G139*'GWPs &amp; Fuel EFs'!$M70</f>
        <v>0</v>
      </c>
      <c r="O139" s="79">
        <f>N139*'GWPs &amp; Fuel EFs'!$E$11</f>
        <v>0</v>
      </c>
    </row>
    <row r="140" spans="1:15">
      <c r="A140" s="70"/>
      <c r="B140" s="72"/>
      <c r="D140" s="80" t="s">
        <v>379</v>
      </c>
      <c r="E140" s="81" t="s">
        <v>76</v>
      </c>
      <c r="F140" s="79">
        <f>'EIA Form 923'!T2780-'EIA Form 923'!W2780</f>
        <v>32301</v>
      </c>
      <c r="G140" s="79">
        <f>'EIA Form 923'!T2780</f>
        <v>1604946</v>
      </c>
      <c r="I140" s="79">
        <f>F140*'GWPs &amp; Fuel EFs'!$N15</f>
        <v>5211726.7608995289</v>
      </c>
      <c r="K140" s="79">
        <f>G140*'GWPs &amp; Fuel EFs'!$M43</f>
        <v>10614.900766435559</v>
      </c>
      <c r="L140" s="79">
        <f>K140*'GWPs &amp; Fuel EFs'!$D$11</f>
        <v>265372.51916088897</v>
      </c>
      <c r="N140" s="79">
        <f>G140*'GWPs &amp; Fuel EFs'!$M71</f>
        <v>2122.9801532871115</v>
      </c>
      <c r="O140" s="79">
        <f>N140*'GWPs &amp; Fuel EFs'!$E$11</f>
        <v>632648.08567955927</v>
      </c>
    </row>
    <row r="141" spans="1:15">
      <c r="A141" s="70"/>
      <c r="B141" s="70"/>
      <c r="D141" s="80" t="s">
        <v>380</v>
      </c>
      <c r="E141" s="81" t="s">
        <v>73</v>
      </c>
      <c r="F141" s="79">
        <f>'EIA Form 923'!T2781-'EIA Form 923'!W2781</f>
        <v>0</v>
      </c>
      <c r="G141" s="79">
        <f>'EIA Form 923'!T2781</f>
        <v>0</v>
      </c>
      <c r="I141" s="79">
        <f>F141*'GWPs &amp; Fuel EFs'!$N16</f>
        <v>0</v>
      </c>
      <c r="K141" s="79">
        <f>G141*'GWPs &amp; Fuel EFs'!$M44</f>
        <v>0</v>
      </c>
      <c r="L141" s="79">
        <f>K141*'GWPs &amp; Fuel EFs'!$D$11</f>
        <v>0</v>
      </c>
      <c r="N141" s="79">
        <f>G141*'GWPs &amp; Fuel EFs'!$M72</f>
        <v>0</v>
      </c>
      <c r="O141" s="79">
        <f>N141*'GWPs &amp; Fuel EFs'!$E$11</f>
        <v>0</v>
      </c>
    </row>
    <row r="142" spans="1:15">
      <c r="A142" s="70"/>
      <c r="B142" s="70"/>
      <c r="D142" s="80" t="s">
        <v>429</v>
      </c>
      <c r="E142" s="81" t="s">
        <v>420</v>
      </c>
      <c r="F142" s="79">
        <f>'EIA Form 923'!T2782-'EIA Form 923'!W2782</f>
        <v>0</v>
      </c>
      <c r="G142" s="79">
        <f>'EIA Form 923'!T2782</f>
        <v>0</v>
      </c>
      <c r="I142" s="79">
        <f>F142*'GWPs &amp; Fuel EFs'!$N17</f>
        <v>0</v>
      </c>
      <c r="K142" s="79">
        <f>G142*'GWPs &amp; Fuel EFs'!$M45</f>
        <v>0</v>
      </c>
      <c r="L142" s="79">
        <f>K142*'GWPs &amp; Fuel EFs'!$D$11</f>
        <v>0</v>
      </c>
      <c r="N142" s="79">
        <f>G142*'GWPs &amp; Fuel EFs'!$M73</f>
        <v>0</v>
      </c>
      <c r="O142" s="79">
        <f>N142*'GWPs &amp; Fuel EFs'!$E$11</f>
        <v>0</v>
      </c>
    </row>
    <row r="143" spans="1:15">
      <c r="A143" s="70"/>
      <c r="B143" s="70"/>
      <c r="D143" s="134" t="s">
        <v>3001</v>
      </c>
      <c r="E143" s="135" t="s">
        <v>2998</v>
      </c>
      <c r="F143" s="142">
        <f>'EIA Form 923'!U2848*'GWPs &amp; Fuel EFs'!$E$34</f>
        <v>277706774.89999998</v>
      </c>
      <c r="G143" s="142" t="s">
        <v>3004</v>
      </c>
      <c r="I143" s="82">
        <f>SUM(I130:I142)+F143</f>
        <v>16821974715.657112</v>
      </c>
      <c r="K143" s="79"/>
      <c r="L143" s="82">
        <f>SUM(L130:L142)</f>
        <v>33107636.038123883</v>
      </c>
      <c r="N143" s="79"/>
      <c r="O143" s="82">
        <f>SUM(O130:O142)</f>
        <v>44762738.740460649</v>
      </c>
    </row>
    <row r="144" spans="1:15" ht="13">
      <c r="A144" s="73" t="s">
        <v>217</v>
      </c>
      <c r="B144" s="69">
        <f>I153</f>
        <v>2331316441.5976491</v>
      </c>
      <c r="D144" s="65" t="s">
        <v>218</v>
      </c>
      <c r="F144" s="79"/>
      <c r="G144" s="79"/>
      <c r="I144" s="82"/>
      <c r="K144" s="79"/>
      <c r="L144" s="82"/>
      <c r="N144" s="79"/>
      <c r="O144" s="82"/>
    </row>
    <row r="145" spans="1:15">
      <c r="A145" s="70"/>
      <c r="B145" s="72"/>
      <c r="D145" s="80" t="s">
        <v>382</v>
      </c>
      <c r="E145" s="81" t="s">
        <v>63</v>
      </c>
      <c r="F145" s="79">
        <f>'EIA Form 923'!T2784-'EIA Form 923'!W2784</f>
        <v>7444885</v>
      </c>
      <c r="G145" s="79">
        <f>'EIA Form 923'!T2784</f>
        <v>7444885</v>
      </c>
      <c r="I145" s="79">
        <f>F145*'GWPs &amp; Fuel EFs'!$N20</f>
        <v>854633338.79473329</v>
      </c>
      <c r="K145" s="79">
        <f>G145*'GWPs &amp; Fuel EFs'!$M48</f>
        <v>52522.117997755842</v>
      </c>
      <c r="L145" s="79">
        <f>K145*'GWPs &amp; Fuel EFs'!$D$11</f>
        <v>1313052.9499438962</v>
      </c>
      <c r="N145" s="79">
        <f>G145*'GWPs &amp; Fuel EFs'!$M76</f>
        <v>10340.291980808181</v>
      </c>
      <c r="O145" s="79">
        <f>N145*'GWPs &amp; Fuel EFs'!$E$11</f>
        <v>3081407.0102808378</v>
      </c>
    </row>
    <row r="146" spans="1:15">
      <c r="A146" s="70"/>
      <c r="B146" s="70"/>
      <c r="D146" s="80" t="s">
        <v>385</v>
      </c>
      <c r="E146" s="81" t="s">
        <v>16</v>
      </c>
      <c r="F146" s="79">
        <f>'EIA Form 923'!T2785-'EIA Form 923'!W2785</f>
        <v>2164001</v>
      </c>
      <c r="G146" s="79">
        <f>'EIA Form 923'!T2785</f>
        <v>2164001</v>
      </c>
      <c r="I146" s="79">
        <f>F146*'GWPs &amp; Fuel EFs'!$N21</f>
        <v>453011967.83515245</v>
      </c>
      <c r="K146" s="79">
        <f>G146*'GWPs &amp; Fuel EFs'!$M49</f>
        <v>135903.59035054571</v>
      </c>
      <c r="L146" s="79">
        <f>K146*'GWPs &amp; Fuel EFs'!$D$11</f>
        <v>3397589.758763643</v>
      </c>
      <c r="N146" s="79">
        <f>G146*'GWPs &amp; Fuel EFs'!$M77</f>
        <v>18120.478713406097</v>
      </c>
      <c r="O146" s="79">
        <f>N146*'GWPs &amp; Fuel EFs'!$E$11</f>
        <v>5399902.6565950168</v>
      </c>
    </row>
    <row r="147" spans="1:15">
      <c r="A147" s="70"/>
      <c r="B147" s="70"/>
      <c r="D147" s="80" t="s">
        <v>381</v>
      </c>
      <c r="E147" s="81" t="s">
        <v>151</v>
      </c>
      <c r="F147" s="79">
        <f>'EIA Form 923'!T2786-'EIA Form 923'!W2786</f>
        <v>0</v>
      </c>
      <c r="G147" s="79">
        <f>'EIA Form 923'!T2786</f>
        <v>0</v>
      </c>
      <c r="I147" s="79">
        <f>F147*'GWPs &amp; Fuel EFs'!$N22</f>
        <v>0</v>
      </c>
      <c r="K147" s="79">
        <f>G147*'GWPs &amp; Fuel EFs'!$M50</f>
        <v>0</v>
      </c>
      <c r="L147" s="79">
        <f>K147*'GWPs &amp; Fuel EFs'!$D$11</f>
        <v>0</v>
      </c>
      <c r="N147" s="79">
        <f>G147*'GWPs &amp; Fuel EFs'!$M78</f>
        <v>0</v>
      </c>
      <c r="O147" s="79">
        <f>N147*'GWPs &amp; Fuel EFs'!$E$11</f>
        <v>0</v>
      </c>
    </row>
    <row r="148" spans="1:15">
      <c r="A148" s="70"/>
      <c r="B148" s="70"/>
      <c r="D148" s="80" t="s">
        <v>390</v>
      </c>
      <c r="E148" s="81" t="s">
        <v>69</v>
      </c>
      <c r="F148" s="79">
        <f>'EIA Form 923'!T2787-'EIA Form 923'!W2787</f>
        <v>4950207</v>
      </c>
      <c r="G148" s="79">
        <f>'EIA Form 923'!T2787</f>
        <v>4950207</v>
      </c>
      <c r="I148" s="79">
        <f>F148*'GWPs &amp; Fuel EFs'!$N23</f>
        <v>1023671134.9677634</v>
      </c>
      <c r="K148" s="79">
        <f>G148*'GWPs &amp; Fuel EFs'!$M51</f>
        <v>78576.035946352844</v>
      </c>
      <c r="L148" s="79">
        <f>K148*'GWPs &amp; Fuel EFs'!$D$11</f>
        <v>1964400.8986588211</v>
      </c>
      <c r="N148" s="79">
        <f>G148*'GWPs &amp; Fuel EFs'!$M79</f>
        <v>39288.017973176422</v>
      </c>
      <c r="O148" s="79">
        <f>N148*'GWPs &amp; Fuel EFs'!$E$11</f>
        <v>11707829.356006574</v>
      </c>
    </row>
    <row r="149" spans="1:15">
      <c r="A149" s="70"/>
      <c r="B149" s="70"/>
      <c r="D149" s="80" t="s">
        <v>383</v>
      </c>
      <c r="E149" s="81" t="s">
        <v>152</v>
      </c>
      <c r="F149" s="79">
        <f>'EIA Form 923'!T2788-'EIA Form 923'!W2788</f>
        <v>0</v>
      </c>
      <c r="G149" s="79">
        <f>'EIA Form 923'!T2788</f>
        <v>0</v>
      </c>
      <c r="I149" s="79">
        <f>F149*'GWPs &amp; Fuel EFs'!$N24</f>
        <v>0</v>
      </c>
      <c r="K149" s="79">
        <f>G149*'GWPs &amp; Fuel EFs'!$M52</f>
        <v>0</v>
      </c>
      <c r="L149" s="79">
        <f>K149*'GWPs &amp; Fuel EFs'!$D$11</f>
        <v>0</v>
      </c>
      <c r="N149" s="79">
        <f>G149*'GWPs &amp; Fuel EFs'!$M80</f>
        <v>0</v>
      </c>
      <c r="O149" s="79">
        <f>N149*'GWPs &amp; Fuel EFs'!$E$11</f>
        <v>0</v>
      </c>
    </row>
    <row r="150" spans="1:15">
      <c r="A150" s="70"/>
      <c r="B150" s="70"/>
      <c r="D150" s="80" t="s">
        <v>431</v>
      </c>
      <c r="E150" s="81" t="s">
        <v>413</v>
      </c>
      <c r="F150" s="79">
        <f>'EIA Form 923'!T2789-'EIA Form 923'!W2789</f>
        <v>0</v>
      </c>
      <c r="G150" s="79">
        <f>'EIA Form 923'!T2789</f>
        <v>0</v>
      </c>
      <c r="I150" s="79">
        <f>F150*'GWPs &amp; Fuel EFs'!$N25</f>
        <v>0</v>
      </c>
      <c r="K150" s="79">
        <f>G150*'GWPs &amp; Fuel EFs'!$M53</f>
        <v>0</v>
      </c>
      <c r="L150" s="79">
        <f>K150*'GWPs &amp; Fuel EFs'!$D$11</f>
        <v>0</v>
      </c>
      <c r="N150" s="79">
        <f>G150*'GWPs &amp; Fuel EFs'!$M81</f>
        <v>0</v>
      </c>
      <c r="O150" s="79">
        <f>N150*'GWPs &amp; Fuel EFs'!$E$11</f>
        <v>0</v>
      </c>
    </row>
    <row r="151" spans="1:15">
      <c r="A151" s="70"/>
      <c r="B151" s="70"/>
      <c r="D151" s="80" t="s">
        <v>2456</v>
      </c>
      <c r="E151" s="81" t="s">
        <v>418</v>
      </c>
      <c r="F151" s="79">
        <f>'EIA Form 923'!T2790-'EIA Form 923'!W2790</f>
        <v>0</v>
      </c>
      <c r="G151" s="79">
        <f>'EIA Form 923'!T2790</f>
        <v>0</v>
      </c>
      <c r="H151" s="85"/>
      <c r="I151" s="79">
        <f>F151*'GWPs &amp; Fuel EFs'!$N26</f>
        <v>0</v>
      </c>
      <c r="K151" s="79">
        <f>G151*'GWPs &amp; Fuel EFs'!$M54</f>
        <v>0</v>
      </c>
      <c r="L151" s="79">
        <f>K151*'GWPs &amp; Fuel EFs'!$D$11</f>
        <v>0</v>
      </c>
      <c r="N151" s="79">
        <f>G151*'GWPs &amp; Fuel EFs'!$M82</f>
        <v>0</v>
      </c>
      <c r="O151" s="79">
        <f>N151*'GWPs &amp; Fuel EFs'!$E$11</f>
        <v>0</v>
      </c>
    </row>
    <row r="152" spans="1:15">
      <c r="A152" s="70"/>
      <c r="B152" s="70"/>
      <c r="D152" s="80" t="s">
        <v>430</v>
      </c>
      <c r="E152" s="81" t="s">
        <v>68</v>
      </c>
      <c r="F152" s="79">
        <f>'EIA Form 923'!T2791-'EIA Form 923'!W2791</f>
        <v>0</v>
      </c>
      <c r="G152" s="79">
        <f>'EIA Form 923'!T2791</f>
        <v>0</v>
      </c>
      <c r="I152" s="79">
        <f>F152*'GWPs &amp; Fuel EFs'!$N27</f>
        <v>0</v>
      </c>
      <c r="K152" s="79">
        <f>G152*'GWPs &amp; Fuel EFs'!$M55</f>
        <v>0</v>
      </c>
      <c r="L152" s="79">
        <f>K152*'GWPs &amp; Fuel EFs'!$D$11</f>
        <v>0</v>
      </c>
      <c r="N152" s="79">
        <f>G152*'GWPs &amp; Fuel EFs'!$M83</f>
        <v>0</v>
      </c>
      <c r="O152" s="79">
        <f>N152*'GWPs &amp; Fuel EFs'!$E$11</f>
        <v>0</v>
      </c>
    </row>
    <row r="153" spans="1:15">
      <c r="A153" s="70"/>
      <c r="B153" s="70"/>
      <c r="F153" s="79"/>
      <c r="G153" s="79"/>
      <c r="I153" s="82">
        <f>SUM(I145:I152)</f>
        <v>2331316441.5976491</v>
      </c>
      <c r="L153" s="82">
        <f>SUM(L145:L152)</f>
        <v>6675043.6073663607</v>
      </c>
      <c r="O153" s="82">
        <f>SUM(O145:O152)</f>
        <v>20189139.022882428</v>
      </c>
    </row>
    <row r="154" spans="1:15">
      <c r="A154" s="70"/>
      <c r="B154" s="70"/>
    </row>
    <row r="155" spans="1:15">
      <c r="A155" s="13"/>
      <c r="B155" s="13"/>
      <c r="D155" s="83"/>
      <c r="E155" s="83"/>
      <c r="F155" s="83"/>
      <c r="G155" s="83"/>
      <c r="I155" s="83"/>
      <c r="K155" s="83"/>
      <c r="L155" s="84"/>
      <c r="N155" s="83"/>
      <c r="O155" s="83"/>
    </row>
    <row r="156" spans="1:15" ht="13">
      <c r="A156" s="789" t="s">
        <v>1533</v>
      </c>
      <c r="B156" s="789"/>
      <c r="D156" s="790" t="s">
        <v>222</v>
      </c>
      <c r="E156" s="790"/>
      <c r="F156" s="790"/>
      <c r="G156" s="790"/>
      <c r="I156" s="76" t="s">
        <v>222</v>
      </c>
      <c r="K156" s="790" t="s">
        <v>222</v>
      </c>
      <c r="L156" s="790"/>
      <c r="N156" s="790" t="s">
        <v>222</v>
      </c>
      <c r="O156" s="790"/>
    </row>
    <row r="157" spans="1:15" ht="13">
      <c r="A157" s="789">
        <f>A7</f>
        <v>2022</v>
      </c>
      <c r="B157" s="789"/>
      <c r="D157" s="790" t="s">
        <v>204</v>
      </c>
      <c r="E157" s="790"/>
      <c r="F157" s="790"/>
      <c r="G157" s="790"/>
      <c r="I157" s="76" t="s">
        <v>205</v>
      </c>
      <c r="K157" s="790" t="s">
        <v>206</v>
      </c>
      <c r="L157" s="790"/>
      <c r="N157" s="790" t="s">
        <v>207</v>
      </c>
      <c r="O157" s="790"/>
    </row>
    <row r="158" spans="1:15" s="12" customFormat="1" ht="35.5">
      <c r="A158" s="66"/>
      <c r="B158" s="67" t="s">
        <v>327</v>
      </c>
      <c r="D158" s="78" t="s">
        <v>208</v>
      </c>
      <c r="E158" s="78" t="s">
        <v>209</v>
      </c>
      <c r="F158" s="78" t="s">
        <v>2463</v>
      </c>
      <c r="G158" s="78" t="s">
        <v>2464</v>
      </c>
      <c r="H158" s="28"/>
      <c r="I158" s="65" t="s">
        <v>325</v>
      </c>
      <c r="J158" s="77"/>
      <c r="K158" s="65" t="s">
        <v>326</v>
      </c>
      <c r="L158" s="65" t="s">
        <v>327</v>
      </c>
      <c r="M158" s="77"/>
      <c r="N158" s="65" t="s">
        <v>328</v>
      </c>
      <c r="O158" s="65" t="s">
        <v>327</v>
      </c>
    </row>
    <row r="159" spans="1:15" ht="24.75" customHeight="1">
      <c r="A159" s="68" t="s">
        <v>211</v>
      </c>
      <c r="B159" s="69">
        <f>SUM(B160:B165)</f>
        <v>6146120939.7004986</v>
      </c>
      <c r="D159" s="65" t="s">
        <v>212</v>
      </c>
      <c r="E159" s="65"/>
      <c r="F159" s="78" t="s">
        <v>2465</v>
      </c>
      <c r="G159" s="78" t="s">
        <v>2466</v>
      </c>
      <c r="K159" s="77"/>
      <c r="L159" s="77"/>
      <c r="N159" s="77"/>
      <c r="O159" s="77"/>
    </row>
    <row r="160" spans="1:15">
      <c r="A160" s="70" t="s">
        <v>2467</v>
      </c>
      <c r="B160" s="71">
        <f>I173</f>
        <v>591200.55543559988</v>
      </c>
      <c r="D160" s="80" t="s">
        <v>386</v>
      </c>
      <c r="E160" s="81" t="s">
        <v>43</v>
      </c>
      <c r="F160" s="79">
        <f>'EIA Form 923'!T2795-'EIA Form 923'!W2795</f>
        <v>0</v>
      </c>
      <c r="G160" s="79">
        <f>'EIA Form 923'!T2795</f>
        <v>0</v>
      </c>
      <c r="I160" s="79">
        <f>F160*'GWPs &amp; Fuel EFs'!$N5</f>
        <v>0</v>
      </c>
      <c r="K160" s="79">
        <f>G160*'GWPs &amp; Fuel EFs'!$M33</f>
        <v>0</v>
      </c>
      <c r="L160" s="79">
        <f>K160*'GWPs &amp; Fuel EFs'!$D$11</f>
        <v>0</v>
      </c>
      <c r="N160" s="79">
        <f>G160*'GWPs &amp; Fuel EFs'!$M61</f>
        <v>0</v>
      </c>
      <c r="O160" s="79">
        <f>N160*'GWPs &amp; Fuel EFs'!$E$11</f>
        <v>0</v>
      </c>
    </row>
    <row r="161" spans="1:15">
      <c r="A161" s="70" t="s">
        <v>2468</v>
      </c>
      <c r="B161" s="72">
        <f>'EPA Part 75'!I411*2000</f>
        <v>6137698890.000001</v>
      </c>
      <c r="D161" s="80" t="s">
        <v>387</v>
      </c>
      <c r="E161" s="81" t="s">
        <v>48</v>
      </c>
      <c r="F161" s="79">
        <f>'EIA Form 923'!T2796-'EIA Form 923'!W2796</f>
        <v>0</v>
      </c>
      <c r="G161" s="79">
        <f>'EIA Form 923'!T2796</f>
        <v>0</v>
      </c>
      <c r="I161" s="79">
        <f>F161*'GWPs &amp; Fuel EFs'!$N6</f>
        <v>0</v>
      </c>
      <c r="K161" s="79">
        <f>G161*'GWPs &amp; Fuel EFs'!$M34</f>
        <v>0</v>
      </c>
      <c r="L161" s="79">
        <f>K161*'GWPs &amp; Fuel EFs'!$D$11</f>
        <v>0</v>
      </c>
      <c r="N161" s="79">
        <f>G161*'GWPs &amp; Fuel EFs'!$M62</f>
        <v>0</v>
      </c>
      <c r="O161" s="79">
        <f>N161*'GWPs &amp; Fuel EFs'!$E$11</f>
        <v>0</v>
      </c>
    </row>
    <row r="162" spans="1:15">
      <c r="A162" s="70" t="s">
        <v>213</v>
      </c>
      <c r="B162" s="71">
        <f>L173</f>
        <v>2943902.9119475777</v>
      </c>
      <c r="D162" s="80" t="s">
        <v>375</v>
      </c>
      <c r="E162" s="81" t="s">
        <v>46</v>
      </c>
      <c r="F162" s="79">
        <f>'EIA Form 923'!T2797-'EIA Form 923'!W2797</f>
        <v>3617</v>
      </c>
      <c r="G162" s="79">
        <f>'EIA Form 923'!T2797</f>
        <v>557363</v>
      </c>
      <c r="I162" s="79">
        <f>F162*'GWPs &amp; Fuel EFs'!$N7</f>
        <v>591200.55543559988</v>
      </c>
      <c r="K162" s="79">
        <f>G162*'GWPs &amp; Fuel EFs'!$M35</f>
        <v>3686.3252320531801</v>
      </c>
      <c r="L162" s="79">
        <f>K162*'GWPs &amp; Fuel EFs'!$D$11</f>
        <v>92158.130801329506</v>
      </c>
      <c r="N162" s="79">
        <f>G162*'GWPs &amp; Fuel EFs'!$M63</f>
        <v>737.26504641063593</v>
      </c>
      <c r="O162" s="79">
        <f>N162*'GWPs &amp; Fuel EFs'!$E$11</f>
        <v>219704.98383036951</v>
      </c>
    </row>
    <row r="163" spans="1:15">
      <c r="A163" s="70" t="s">
        <v>214</v>
      </c>
      <c r="B163" s="71">
        <f>O173</f>
        <v>3618984.7629566975</v>
      </c>
      <c r="D163" s="80" t="s">
        <v>374</v>
      </c>
      <c r="E163" s="81" t="s">
        <v>39</v>
      </c>
      <c r="F163" s="79">
        <f>'EIA Form 923'!T2798-'EIA Form 923'!W2798</f>
        <v>0</v>
      </c>
      <c r="G163" s="79">
        <f>'EIA Form 923'!T2798</f>
        <v>51741187</v>
      </c>
      <c r="I163" s="79">
        <f>F163*'GWPs &amp; Fuel EFs'!$N8</f>
        <v>0</v>
      </c>
      <c r="K163" s="79">
        <f>G163*'GWPs &amp; Fuel EFs'!$M36</f>
        <v>114069.79124584993</v>
      </c>
      <c r="L163" s="79">
        <f>K163*'GWPs &amp; Fuel EFs'!$D$11</f>
        <v>2851744.7811462483</v>
      </c>
      <c r="N163" s="79">
        <f>G163*'GWPs &amp; Fuel EFs'!$M64</f>
        <v>11406.979124584994</v>
      </c>
      <c r="O163" s="79">
        <f>N163*'GWPs &amp; Fuel EFs'!$E$11</f>
        <v>3399279.779126328</v>
      </c>
    </row>
    <row r="164" spans="1:15">
      <c r="A164" s="70" t="s">
        <v>215</v>
      </c>
      <c r="B164" s="71">
        <f>L183</f>
        <v>378863.51539795205</v>
      </c>
      <c r="D164" s="80" t="s">
        <v>388</v>
      </c>
      <c r="E164" s="81" t="s">
        <v>17</v>
      </c>
      <c r="F164" s="79">
        <f>'EIA Form 923'!T2799-'EIA Form 923'!W2799</f>
        <v>0</v>
      </c>
      <c r="G164" s="79">
        <f>'EIA Form 923'!T2799</f>
        <v>0</v>
      </c>
      <c r="I164" s="79">
        <f>F164*'GWPs &amp; Fuel EFs'!$N9</f>
        <v>0</v>
      </c>
      <c r="K164" s="79">
        <f>G164*'GWPs &amp; Fuel EFs'!$M37</f>
        <v>0</v>
      </c>
      <c r="L164" s="79">
        <f>K164*'GWPs &amp; Fuel EFs'!$D$11</f>
        <v>0</v>
      </c>
      <c r="N164" s="79">
        <f>G164*'GWPs &amp; Fuel EFs'!$M65</f>
        <v>0</v>
      </c>
      <c r="O164" s="79">
        <f>N164*'GWPs &amp; Fuel EFs'!$E$11</f>
        <v>0</v>
      </c>
    </row>
    <row r="165" spans="1:15">
      <c r="A165" s="70" t="s">
        <v>216</v>
      </c>
      <c r="B165" s="71">
        <f>O183</f>
        <v>889097.95476014388</v>
      </c>
      <c r="D165" s="80" t="s">
        <v>389</v>
      </c>
      <c r="E165" s="81" t="s">
        <v>82</v>
      </c>
      <c r="F165" s="79">
        <f>'EIA Form 923'!T2800-'EIA Form 923'!W2800</f>
        <v>0</v>
      </c>
      <c r="G165" s="79">
        <f>'EIA Form 923'!T2800</f>
        <v>0</v>
      </c>
      <c r="I165" s="79">
        <f>F165*'GWPs &amp; Fuel EFs'!$N10</f>
        <v>0</v>
      </c>
      <c r="K165" s="79">
        <f>G165*'GWPs &amp; Fuel EFs'!$M38</f>
        <v>0</v>
      </c>
      <c r="L165" s="79">
        <f>K165*'GWPs &amp; Fuel EFs'!$D$11</f>
        <v>0</v>
      </c>
      <c r="N165" s="79">
        <f>G165*'GWPs &amp; Fuel EFs'!$M66</f>
        <v>0</v>
      </c>
      <c r="O165" s="79">
        <f>N165*'GWPs &amp; Fuel EFs'!$E$11</f>
        <v>0</v>
      </c>
    </row>
    <row r="166" spans="1:15">
      <c r="A166" s="70"/>
      <c r="B166" s="70"/>
      <c r="D166" s="80" t="s">
        <v>384</v>
      </c>
      <c r="E166" s="81" t="s">
        <v>396</v>
      </c>
      <c r="F166" s="79">
        <f>'EIA Form 923'!T2801-'EIA Form 923'!W2801</f>
        <v>0</v>
      </c>
      <c r="G166" s="79">
        <f>'EIA Form 923'!T2801</f>
        <v>0</v>
      </c>
      <c r="I166" s="79">
        <f>F166*'GWPs &amp; Fuel EFs'!$N11</f>
        <v>0</v>
      </c>
      <c r="K166" s="79">
        <f>G166*'GWPs &amp; Fuel EFs'!$M39</f>
        <v>0</v>
      </c>
      <c r="L166" s="79">
        <f>K166*'GWPs &amp; Fuel EFs'!$D$11</f>
        <v>0</v>
      </c>
      <c r="N166" s="79">
        <f>G166*'GWPs &amp; Fuel EFs'!$M67</f>
        <v>0</v>
      </c>
      <c r="O166" s="79">
        <f>N166*'GWPs &amp; Fuel EFs'!$E$11</f>
        <v>0</v>
      </c>
    </row>
    <row r="167" spans="1:15">
      <c r="A167" s="70"/>
      <c r="B167" s="70"/>
      <c r="D167" s="80" t="s">
        <v>377</v>
      </c>
      <c r="E167" s="81" t="s">
        <v>65</v>
      </c>
      <c r="F167" s="79">
        <f>'EIA Form 923'!T2802-'EIA Form 923'!W2802</f>
        <v>0</v>
      </c>
      <c r="G167" s="79">
        <f>'EIA Form 923'!T2802</f>
        <v>0</v>
      </c>
      <c r="I167" s="79">
        <f>F167*'GWPs &amp; Fuel EFs'!$N12</f>
        <v>0</v>
      </c>
      <c r="K167" s="79">
        <f>G167*'GWPs &amp; Fuel EFs'!$M40</f>
        <v>0</v>
      </c>
      <c r="L167" s="79">
        <f>K167*'GWPs &amp; Fuel EFs'!$D$11</f>
        <v>0</v>
      </c>
      <c r="N167" s="79">
        <f>G167*'GWPs &amp; Fuel EFs'!$M68</f>
        <v>0</v>
      </c>
      <c r="O167" s="79">
        <f>N167*'GWPs &amp; Fuel EFs'!$E$11</f>
        <v>0</v>
      </c>
    </row>
    <row r="168" spans="1:15">
      <c r="A168" s="70"/>
      <c r="B168" s="70"/>
      <c r="D168" s="80" t="s">
        <v>376</v>
      </c>
      <c r="E168" s="81" t="s">
        <v>61</v>
      </c>
      <c r="F168" s="79">
        <f>'EIA Form 923'!T2803-'EIA Form 923'!W2803</f>
        <v>0</v>
      </c>
      <c r="G168" s="79">
        <f>'EIA Form 923'!T2803</f>
        <v>0</v>
      </c>
      <c r="I168" s="79">
        <f>F168*'GWPs &amp; Fuel EFs'!$N13</f>
        <v>0</v>
      </c>
      <c r="K168" s="79">
        <f>G168*'GWPs &amp; Fuel EFs'!$M41</f>
        <v>0</v>
      </c>
      <c r="L168" s="79">
        <f>K168*'GWPs &amp; Fuel EFs'!$D$11</f>
        <v>0</v>
      </c>
      <c r="N168" s="79">
        <f>G168*'GWPs &amp; Fuel EFs'!$M69</f>
        <v>0</v>
      </c>
      <c r="O168" s="79">
        <f>N168*'GWPs &amp; Fuel EFs'!$E$11</f>
        <v>0</v>
      </c>
    </row>
    <row r="169" spans="1:15">
      <c r="A169" s="70"/>
      <c r="B169" s="70"/>
      <c r="D169" s="80" t="s">
        <v>378</v>
      </c>
      <c r="E169" s="81" t="s">
        <v>66</v>
      </c>
      <c r="F169" s="79">
        <f>'EIA Form 923'!T2804-'EIA Form 923'!W2804</f>
        <v>0</v>
      </c>
      <c r="G169" s="79">
        <f>'EIA Form 923'!T2804</f>
        <v>0</v>
      </c>
      <c r="I169" s="79">
        <f>F169*'GWPs &amp; Fuel EFs'!$N14</f>
        <v>0</v>
      </c>
      <c r="K169" s="79">
        <f>G169*'GWPs &amp; Fuel EFs'!$M42</f>
        <v>0</v>
      </c>
      <c r="L169" s="79">
        <f>K169*'GWPs &amp; Fuel EFs'!$D$11</f>
        <v>0</v>
      </c>
      <c r="N169" s="79">
        <f>G169*'GWPs &amp; Fuel EFs'!$M70</f>
        <v>0</v>
      </c>
      <c r="O169" s="79">
        <f>N169*'GWPs &amp; Fuel EFs'!$E$11</f>
        <v>0</v>
      </c>
    </row>
    <row r="170" spans="1:15">
      <c r="A170" s="70"/>
      <c r="B170" s="70"/>
      <c r="D170" s="80" t="s">
        <v>379</v>
      </c>
      <c r="E170" s="81" t="s">
        <v>76</v>
      </c>
      <c r="F170" s="79">
        <f>'EIA Form 923'!T2805-'EIA Form 923'!W2805</f>
        <v>0</v>
      </c>
      <c r="G170" s="79">
        <f>'EIA Form 923'!T2805</f>
        <v>0</v>
      </c>
      <c r="I170" s="79">
        <f>F170*'GWPs &amp; Fuel EFs'!$N15</f>
        <v>0</v>
      </c>
      <c r="K170" s="79">
        <f>G170*'GWPs &amp; Fuel EFs'!$M43</f>
        <v>0</v>
      </c>
      <c r="L170" s="79">
        <f>K170*'GWPs &amp; Fuel EFs'!$D$11</f>
        <v>0</v>
      </c>
      <c r="N170" s="79">
        <f>G170*'GWPs &amp; Fuel EFs'!$M71</f>
        <v>0</v>
      </c>
      <c r="O170" s="79">
        <f>N170*'GWPs &amp; Fuel EFs'!$E$11</f>
        <v>0</v>
      </c>
    </row>
    <row r="171" spans="1:15">
      <c r="A171" s="70"/>
      <c r="B171" s="70"/>
      <c r="D171" s="80" t="s">
        <v>380</v>
      </c>
      <c r="E171" s="81" t="s">
        <v>73</v>
      </c>
      <c r="F171" s="79">
        <f>'EIA Form 923'!T2806-'EIA Form 923'!W2806</f>
        <v>0</v>
      </c>
      <c r="G171" s="79">
        <f>'EIA Form 923'!T2806</f>
        <v>0</v>
      </c>
      <c r="I171" s="79">
        <f>F171*'GWPs &amp; Fuel EFs'!$N16</f>
        <v>0</v>
      </c>
      <c r="K171" s="79">
        <f>G171*'GWPs &amp; Fuel EFs'!$M44</f>
        <v>0</v>
      </c>
      <c r="L171" s="79">
        <f>K171*'GWPs &amp; Fuel EFs'!$D$11</f>
        <v>0</v>
      </c>
      <c r="N171" s="79">
        <f>G171*'GWPs &amp; Fuel EFs'!$M72</f>
        <v>0</v>
      </c>
      <c r="O171" s="79">
        <f>N171*'GWPs &amp; Fuel EFs'!$E$11</f>
        <v>0</v>
      </c>
    </row>
    <row r="172" spans="1:15">
      <c r="A172" s="70"/>
      <c r="B172" s="70"/>
      <c r="D172" s="80" t="s">
        <v>429</v>
      </c>
      <c r="E172" s="81" t="s">
        <v>420</v>
      </c>
      <c r="F172" s="79">
        <f>'EIA Form 923'!T2807-'EIA Form 923'!W2807</f>
        <v>0</v>
      </c>
      <c r="G172" s="79">
        <f>'EIA Form 923'!T2807</f>
        <v>0</v>
      </c>
      <c r="I172" s="79">
        <f>F172*'GWPs &amp; Fuel EFs'!$N17</f>
        <v>0</v>
      </c>
      <c r="K172" s="79">
        <f>G172*'GWPs &amp; Fuel EFs'!$M45</f>
        <v>0</v>
      </c>
      <c r="L172" s="79">
        <f>K172*'GWPs &amp; Fuel EFs'!$D$11</f>
        <v>0</v>
      </c>
      <c r="N172" s="79">
        <f>G172*'GWPs &amp; Fuel EFs'!$M73</f>
        <v>0</v>
      </c>
      <c r="O172" s="79">
        <f>N172*'GWPs &amp; Fuel EFs'!$E$11</f>
        <v>0</v>
      </c>
    </row>
    <row r="173" spans="1:15">
      <c r="A173" s="70"/>
      <c r="B173" s="70"/>
      <c r="D173" s="80"/>
      <c r="F173" s="79"/>
      <c r="G173" s="79"/>
      <c r="I173" s="82">
        <f>SUM(I160:I172)</f>
        <v>591200.55543559988</v>
      </c>
      <c r="K173" s="79"/>
      <c r="L173" s="82">
        <f>SUM(L160:L172)</f>
        <v>2943902.9119475777</v>
      </c>
      <c r="N173" s="79"/>
      <c r="O173" s="82">
        <f>SUM(O160:O172)</f>
        <v>3618984.7629566975</v>
      </c>
    </row>
    <row r="174" spans="1:15" ht="13">
      <c r="A174" s="73" t="s">
        <v>217</v>
      </c>
      <c r="B174" s="69">
        <f>I183</f>
        <v>246592790.58464199</v>
      </c>
      <c r="D174" s="65" t="s">
        <v>218</v>
      </c>
      <c r="F174" s="79"/>
      <c r="G174" s="79"/>
      <c r="I174" s="82"/>
      <c r="K174" s="79"/>
      <c r="L174" s="82"/>
      <c r="N174" s="79"/>
      <c r="O174" s="82"/>
    </row>
    <row r="175" spans="1:15">
      <c r="A175" s="70"/>
      <c r="B175" s="70"/>
      <c r="D175" s="80" t="s">
        <v>382</v>
      </c>
      <c r="E175" s="81" t="s">
        <v>63</v>
      </c>
      <c r="F175" s="79">
        <f>'EIA Form 923'!T2809-'EIA Form 923'!W2809</f>
        <v>2110245</v>
      </c>
      <c r="G175" s="79">
        <f>'EIA Form 923'!T2809</f>
        <v>2110245</v>
      </c>
      <c r="I175" s="79">
        <f>F175*'GWPs &amp; Fuel EFs'!$N20</f>
        <v>242244941.32883072</v>
      </c>
      <c r="K175" s="79">
        <f>G175*'GWPs &amp; Fuel EFs'!$M48</f>
        <v>14887.340354374081</v>
      </c>
      <c r="L175" s="79">
        <f>K175*'GWPs &amp; Fuel EFs'!$D$11</f>
        <v>372183.50885935203</v>
      </c>
      <c r="N175" s="79">
        <f>G175*'GWPs &amp; Fuel EFs'!$M76</f>
        <v>2930.9451322673967</v>
      </c>
      <c r="O175" s="79">
        <f>N175*'GWPs &amp; Fuel EFs'!$E$11</f>
        <v>873421.64941568428</v>
      </c>
    </row>
    <row r="176" spans="1:15">
      <c r="A176" s="70"/>
      <c r="B176" s="72"/>
      <c r="D176" s="80" t="s">
        <v>385</v>
      </c>
      <c r="E176" s="81" t="s">
        <v>16</v>
      </c>
      <c r="F176" s="79">
        <f>'EIA Form 923'!T2810-'EIA Form 923'!W2810</f>
        <v>0</v>
      </c>
      <c r="G176" s="79">
        <f>'EIA Form 923'!T2810</f>
        <v>0</v>
      </c>
      <c r="I176" s="79">
        <f>F176*'GWPs &amp; Fuel EFs'!$N21</f>
        <v>0</v>
      </c>
      <c r="K176" s="79">
        <f>G176*'GWPs &amp; Fuel EFs'!$M49</f>
        <v>0</v>
      </c>
      <c r="L176" s="79">
        <f>K176*'GWPs &amp; Fuel EFs'!$D$11</f>
        <v>0</v>
      </c>
      <c r="N176" s="79">
        <f>G176*'GWPs &amp; Fuel EFs'!$M77</f>
        <v>0</v>
      </c>
      <c r="O176" s="79">
        <f>N176*'GWPs &amp; Fuel EFs'!$E$11</f>
        <v>0</v>
      </c>
    </row>
    <row r="177" spans="1:15">
      <c r="A177" s="70"/>
      <c r="B177" s="70"/>
      <c r="D177" s="80" t="s">
        <v>381</v>
      </c>
      <c r="E177" s="81" t="s">
        <v>151</v>
      </c>
      <c r="F177" s="79">
        <f>'EIA Form 923'!T2811-'EIA Form 923'!W2811</f>
        <v>0</v>
      </c>
      <c r="G177" s="79">
        <f>'EIA Form 923'!T2811</f>
        <v>0</v>
      </c>
      <c r="I177" s="79">
        <f>F177*'GWPs &amp; Fuel EFs'!$N22</f>
        <v>0</v>
      </c>
      <c r="K177" s="79">
        <f>G177*'GWPs &amp; Fuel EFs'!$M50</f>
        <v>0</v>
      </c>
      <c r="L177" s="79">
        <f>K177*'GWPs &amp; Fuel EFs'!$D$11</f>
        <v>0</v>
      </c>
      <c r="N177" s="79">
        <f>G177*'GWPs &amp; Fuel EFs'!$M78</f>
        <v>0</v>
      </c>
      <c r="O177" s="79">
        <f>N177*'GWPs &amp; Fuel EFs'!$E$11</f>
        <v>0</v>
      </c>
    </row>
    <row r="178" spans="1:15">
      <c r="A178" s="70"/>
      <c r="B178" s="70"/>
      <c r="D178" s="80" t="s">
        <v>390</v>
      </c>
      <c r="E178" s="81" t="s">
        <v>69</v>
      </c>
      <c r="F178" s="79">
        <f>'EIA Form 923'!T2812-'EIA Form 923'!W2812</f>
        <v>0</v>
      </c>
      <c r="G178" s="79">
        <f>'EIA Form 923'!T2812</f>
        <v>0</v>
      </c>
      <c r="I178" s="79">
        <f>F178*'GWPs &amp; Fuel EFs'!$N23</f>
        <v>0</v>
      </c>
      <c r="K178" s="79">
        <f>G178*'GWPs &amp; Fuel EFs'!$M51</f>
        <v>0</v>
      </c>
      <c r="L178" s="79">
        <f>K178*'GWPs &amp; Fuel EFs'!$D$11</f>
        <v>0</v>
      </c>
      <c r="N178" s="79">
        <f>G178*'GWPs &amp; Fuel EFs'!$M79</f>
        <v>0</v>
      </c>
      <c r="O178" s="79">
        <f>N178*'GWPs &amp; Fuel EFs'!$E$11</f>
        <v>0</v>
      </c>
    </row>
    <row r="179" spans="1:15">
      <c r="A179" s="70"/>
      <c r="B179" s="72"/>
      <c r="D179" s="80" t="s">
        <v>383</v>
      </c>
      <c r="E179" s="81" t="s">
        <v>152</v>
      </c>
      <c r="F179" s="79">
        <f>'EIA Form 923'!T2813-'EIA Form 923'!W2813</f>
        <v>0</v>
      </c>
      <c r="G179" s="79">
        <f>'EIA Form 923'!T2813</f>
        <v>0</v>
      </c>
      <c r="I179" s="79">
        <f>F179*'GWPs &amp; Fuel EFs'!$N24</f>
        <v>0</v>
      </c>
      <c r="K179" s="79">
        <f>G179*'GWPs &amp; Fuel EFs'!$M52</f>
        <v>0</v>
      </c>
      <c r="L179" s="79">
        <f>K179*'GWPs &amp; Fuel EFs'!$D$11</f>
        <v>0</v>
      </c>
      <c r="N179" s="79">
        <f>G179*'GWPs &amp; Fuel EFs'!$M80</f>
        <v>0</v>
      </c>
      <c r="O179" s="79">
        <f>N179*'GWPs &amp; Fuel EFs'!$E$11</f>
        <v>0</v>
      </c>
    </row>
    <row r="180" spans="1:15">
      <c r="A180" s="70"/>
      <c r="B180" s="72"/>
      <c r="D180" s="80" t="s">
        <v>431</v>
      </c>
      <c r="E180" s="81" t="s">
        <v>413</v>
      </c>
      <c r="F180" s="79">
        <f>'EIA Form 923'!T2814-'EIA Form 923'!W2814</f>
        <v>0</v>
      </c>
      <c r="G180" s="79">
        <f>'EIA Form 923'!T2814</f>
        <v>0</v>
      </c>
      <c r="I180" s="79">
        <f>F180*'GWPs &amp; Fuel EFs'!$N25</f>
        <v>0</v>
      </c>
      <c r="K180" s="79">
        <f>G180*'GWPs &amp; Fuel EFs'!$M53</f>
        <v>0</v>
      </c>
      <c r="L180" s="79">
        <f>K180*'GWPs &amp; Fuel EFs'!$D$11</f>
        <v>0</v>
      </c>
      <c r="N180" s="79">
        <f>G180*'GWPs &amp; Fuel EFs'!$M81</f>
        <v>0</v>
      </c>
      <c r="O180" s="79">
        <f>N180*'GWPs &amp; Fuel EFs'!$E$11</f>
        <v>0</v>
      </c>
    </row>
    <row r="181" spans="1:15">
      <c r="A181" s="70"/>
      <c r="B181" s="72"/>
      <c r="D181" s="80" t="s">
        <v>2456</v>
      </c>
      <c r="E181" s="81" t="s">
        <v>418</v>
      </c>
      <c r="F181" s="79">
        <f>'EIA Form 923'!T2815-'EIA Form 923'!W2815</f>
        <v>0</v>
      </c>
      <c r="G181" s="79">
        <f>'EIA Form 923'!T2815</f>
        <v>0</v>
      </c>
      <c r="H181" s="85"/>
      <c r="I181" s="79">
        <f>F181*'GWPs &amp; Fuel EFs'!$N26</f>
        <v>0</v>
      </c>
      <c r="K181" s="79">
        <f>G181*'GWPs &amp; Fuel EFs'!$M54</f>
        <v>0</v>
      </c>
      <c r="L181" s="79">
        <f>K181*'GWPs &amp; Fuel EFs'!$D$11</f>
        <v>0</v>
      </c>
      <c r="N181" s="79">
        <f>G181*'GWPs &amp; Fuel EFs'!$M82</f>
        <v>0</v>
      </c>
      <c r="O181" s="79">
        <f>N181*'GWPs &amp; Fuel EFs'!$E$11</f>
        <v>0</v>
      </c>
    </row>
    <row r="182" spans="1:15">
      <c r="A182" s="70"/>
      <c r="B182" s="72"/>
      <c r="D182" s="80" t="s">
        <v>430</v>
      </c>
      <c r="E182" s="81" t="s">
        <v>68</v>
      </c>
      <c r="F182" s="79">
        <f>'EIA Form 923'!T2816-'EIA Form 923'!W2816</f>
        <v>37875</v>
      </c>
      <c r="G182" s="79">
        <f>'EIA Form 923'!T2816</f>
        <v>37875</v>
      </c>
      <c r="I182" s="79">
        <f>F182*'GWPs &amp; Fuel EFs'!$N27</f>
        <v>4347849.255811275</v>
      </c>
      <c r="K182" s="79">
        <f>G182*'GWPs &amp; Fuel EFs'!$M55</f>
        <v>267.200261544</v>
      </c>
      <c r="L182" s="79">
        <f>K182*'GWPs &amp; Fuel EFs'!$D$11</f>
        <v>6680.0065385999997</v>
      </c>
      <c r="N182" s="79">
        <f>G182*'GWPs &amp; Fuel EFs'!$M83</f>
        <v>52.605051491474995</v>
      </c>
      <c r="O182" s="79">
        <f>N182*'GWPs &amp; Fuel EFs'!$E$11</f>
        <v>15676.305344459548</v>
      </c>
    </row>
    <row r="183" spans="1:15">
      <c r="A183" s="70"/>
      <c r="B183" s="72"/>
      <c r="D183" s="80"/>
      <c r="F183" s="79"/>
      <c r="G183" s="79"/>
      <c r="I183" s="82">
        <f>SUM(I175:I182)</f>
        <v>246592790.58464199</v>
      </c>
      <c r="L183" s="82">
        <f>SUM(L175:L182)</f>
        <v>378863.51539795205</v>
      </c>
      <c r="O183" s="82">
        <f>SUM(O175:O182)</f>
        <v>889097.95476014388</v>
      </c>
    </row>
    <row r="184" spans="1:15">
      <c r="A184" s="70"/>
      <c r="B184" s="70"/>
    </row>
    <row r="185" spans="1:15">
      <c r="A185" s="13"/>
      <c r="B185" s="13"/>
      <c r="D185" s="83"/>
      <c r="E185" s="83"/>
      <c r="F185" s="83"/>
      <c r="G185" s="83"/>
      <c r="I185" s="83"/>
      <c r="K185" s="83"/>
      <c r="L185" s="83"/>
      <c r="N185" s="83"/>
      <c r="O185" s="83"/>
    </row>
    <row r="186" spans="1:15" ht="13">
      <c r="A186" s="789" t="s">
        <v>1534</v>
      </c>
      <c r="B186" s="789"/>
      <c r="D186" s="790" t="s">
        <v>221</v>
      </c>
      <c r="E186" s="790"/>
      <c r="F186" s="790"/>
      <c r="G186" s="790"/>
      <c r="I186" s="76" t="s">
        <v>221</v>
      </c>
      <c r="K186" s="790" t="s">
        <v>221</v>
      </c>
      <c r="L186" s="790"/>
      <c r="N186" s="790" t="s">
        <v>221</v>
      </c>
      <c r="O186" s="790"/>
    </row>
    <row r="187" spans="1:15" ht="13">
      <c r="A187" s="789">
        <f>A7</f>
        <v>2022</v>
      </c>
      <c r="B187" s="789"/>
      <c r="D187" s="790" t="s">
        <v>204</v>
      </c>
      <c r="E187" s="790"/>
      <c r="F187" s="790"/>
      <c r="G187" s="790"/>
      <c r="I187" s="76" t="s">
        <v>205</v>
      </c>
      <c r="K187" s="790" t="s">
        <v>206</v>
      </c>
      <c r="L187" s="790"/>
      <c r="N187" s="790" t="s">
        <v>207</v>
      </c>
      <c r="O187" s="790"/>
    </row>
    <row r="188" spans="1:15" s="12" customFormat="1" ht="35.5">
      <c r="A188" s="66"/>
      <c r="B188" s="67" t="s">
        <v>327</v>
      </c>
      <c r="D188" s="78" t="s">
        <v>208</v>
      </c>
      <c r="E188" s="78" t="s">
        <v>209</v>
      </c>
      <c r="F188" s="78" t="s">
        <v>2463</v>
      </c>
      <c r="G188" s="78" t="s">
        <v>2464</v>
      </c>
      <c r="H188" s="28"/>
      <c r="I188" s="65" t="s">
        <v>325</v>
      </c>
      <c r="J188" s="77"/>
      <c r="K188" s="65" t="s">
        <v>326</v>
      </c>
      <c r="L188" s="65" t="s">
        <v>327</v>
      </c>
      <c r="M188" s="77"/>
      <c r="N188" s="65" t="s">
        <v>328</v>
      </c>
      <c r="O188" s="65" t="s">
        <v>327</v>
      </c>
    </row>
    <row r="189" spans="1:15" ht="24" customHeight="1">
      <c r="A189" s="68" t="s">
        <v>211</v>
      </c>
      <c r="B189" s="69">
        <f>SUM(B190:B195)</f>
        <v>33983902.347015947</v>
      </c>
      <c r="D189" s="65" t="s">
        <v>212</v>
      </c>
      <c r="E189" s="65"/>
      <c r="F189" s="78" t="s">
        <v>2465</v>
      </c>
      <c r="G189" s="78" t="s">
        <v>2466</v>
      </c>
      <c r="K189" s="77"/>
      <c r="L189" s="77"/>
      <c r="N189" s="77"/>
      <c r="O189" s="77"/>
    </row>
    <row r="190" spans="1:15">
      <c r="A190" s="70" t="s">
        <v>2467</v>
      </c>
      <c r="B190" s="71">
        <f>I203</f>
        <v>10812374.329444598</v>
      </c>
      <c r="D190" s="80" t="s">
        <v>386</v>
      </c>
      <c r="E190" s="81" t="s">
        <v>43</v>
      </c>
      <c r="F190" s="79">
        <f>'EIA Form 923'!T2820-'EIA Form 923'!W2820</f>
        <v>0</v>
      </c>
      <c r="G190" s="79">
        <f>'EIA Form 923'!T2820</f>
        <v>0</v>
      </c>
      <c r="I190" s="79">
        <f>F190*'GWPs &amp; Fuel EFs'!$N5</f>
        <v>0</v>
      </c>
      <c r="K190" s="79">
        <f>G190*'GWPs &amp; Fuel EFs'!$M33</f>
        <v>0</v>
      </c>
      <c r="L190" s="79">
        <f>K190*'GWPs &amp; Fuel EFs'!$D$11</f>
        <v>0</v>
      </c>
      <c r="N190" s="79">
        <f>G190*'GWPs &amp; Fuel EFs'!$M61</f>
        <v>0</v>
      </c>
      <c r="O190" s="79">
        <f>N190*'GWPs &amp; Fuel EFs'!$E$11</f>
        <v>0</v>
      </c>
    </row>
    <row r="191" spans="1:15">
      <c r="A191" s="70" t="s">
        <v>2468</v>
      </c>
      <c r="B191" s="72">
        <f>'EPA Part 75'!I412*2000</f>
        <v>7806799.9999999991</v>
      </c>
      <c r="D191" s="80" t="s">
        <v>387</v>
      </c>
      <c r="E191" s="81" t="s">
        <v>48</v>
      </c>
      <c r="F191" s="79">
        <f>'EIA Form 923'!T2821-'EIA Form 923'!W2821</f>
        <v>0</v>
      </c>
      <c r="G191" s="79">
        <f>'EIA Form 923'!T2821</f>
        <v>0</v>
      </c>
      <c r="I191" s="79">
        <f>F191*'GWPs &amp; Fuel EFs'!$N6</f>
        <v>0</v>
      </c>
      <c r="K191" s="79">
        <f>G191*'GWPs &amp; Fuel EFs'!$M34</f>
        <v>0</v>
      </c>
      <c r="L191" s="79">
        <f>K191*'GWPs &amp; Fuel EFs'!$D$11</f>
        <v>0</v>
      </c>
      <c r="N191" s="79">
        <f>G191*'GWPs &amp; Fuel EFs'!$M62</f>
        <v>0</v>
      </c>
      <c r="O191" s="79">
        <f>N191*'GWPs &amp; Fuel EFs'!$E$11</f>
        <v>0</v>
      </c>
    </row>
    <row r="192" spans="1:15">
      <c r="A192" s="70" t="s">
        <v>213</v>
      </c>
      <c r="B192" s="71">
        <f>L203</f>
        <v>17782.541168485499</v>
      </c>
      <c r="D192" s="80" t="s">
        <v>375</v>
      </c>
      <c r="E192" s="81" t="s">
        <v>46</v>
      </c>
      <c r="F192" s="79">
        <f>'EIA Form 923'!T2822-'EIA Form 923'!W2822</f>
        <v>60094</v>
      </c>
      <c r="G192" s="79">
        <f>'EIA Form 923'!T2822</f>
        <v>66668</v>
      </c>
      <c r="I192" s="79">
        <f>F192*'GWPs &amp; Fuel EFs'!$N7</f>
        <v>9822395.9575191978</v>
      </c>
      <c r="K192" s="79">
        <f>G192*'GWPs &amp; Fuel EFs'!$M35</f>
        <v>440.93334249048002</v>
      </c>
      <c r="L192" s="79">
        <f>K192*'GWPs &amp; Fuel EFs'!$D$11</f>
        <v>11023.333562262</v>
      </c>
      <c r="N192" s="79">
        <f>G192*'GWPs &amp; Fuel EFs'!$M63</f>
        <v>88.186668498095983</v>
      </c>
      <c r="O192" s="79">
        <f>N192*'GWPs &amp; Fuel EFs'!$E$11</f>
        <v>26279.627212432602</v>
      </c>
    </row>
    <row r="193" spans="1:15">
      <c r="A193" s="70" t="s">
        <v>214</v>
      </c>
      <c r="B193" s="71">
        <f>O203</f>
        <v>41836.001306826409</v>
      </c>
      <c r="D193" s="80" t="s">
        <v>374</v>
      </c>
      <c r="E193" s="81" t="s">
        <v>39</v>
      </c>
      <c r="F193" s="79">
        <f>'EIA Form 923'!T2823-'EIA Form 923'!W2823</f>
        <v>8487</v>
      </c>
      <c r="G193" s="79">
        <f>'EIA Form 923'!T2823</f>
        <v>8487</v>
      </c>
      <c r="I193" s="79">
        <f>F193*'GWPs &amp; Fuel EFs'!$N8</f>
        <v>989978.37192539976</v>
      </c>
      <c r="K193" s="79">
        <f>G193*'GWPs &amp; Fuel EFs'!$M36</f>
        <v>18.710632175939999</v>
      </c>
      <c r="L193" s="79">
        <f>K193*'GWPs &amp; Fuel EFs'!$D$11</f>
        <v>467.76580439849999</v>
      </c>
      <c r="N193" s="79">
        <f>G193*'GWPs &amp; Fuel EFs'!$M64</f>
        <v>1.8710632175940001</v>
      </c>
      <c r="O193" s="79">
        <f>N193*'GWPs &amp; Fuel EFs'!$E$11</f>
        <v>557.57683884301207</v>
      </c>
    </row>
    <row r="194" spans="1:15">
      <c r="A194" s="70" t="s">
        <v>215</v>
      </c>
      <c r="B194" s="71">
        <f>L213</f>
        <v>2251608.5073113926</v>
      </c>
      <c r="D194" s="80" t="s">
        <v>388</v>
      </c>
      <c r="E194" s="81" t="s">
        <v>17</v>
      </c>
      <c r="F194" s="79">
        <f>'EIA Form 923'!T2824-'EIA Form 923'!W2824</f>
        <v>0</v>
      </c>
      <c r="G194" s="79">
        <f>'EIA Form 923'!T2824</f>
        <v>0</v>
      </c>
      <c r="I194" s="79">
        <f>F194*'GWPs &amp; Fuel EFs'!$N9</f>
        <v>0</v>
      </c>
      <c r="K194" s="79">
        <f>G194*'GWPs &amp; Fuel EFs'!$M37</f>
        <v>0</v>
      </c>
      <c r="L194" s="79">
        <f>K194*'GWPs &amp; Fuel EFs'!$D$11</f>
        <v>0</v>
      </c>
      <c r="N194" s="79">
        <f>G194*'GWPs &amp; Fuel EFs'!$M65</f>
        <v>0</v>
      </c>
      <c r="O194" s="79">
        <f>N194*'GWPs &amp; Fuel EFs'!$E$11</f>
        <v>0</v>
      </c>
    </row>
    <row r="195" spans="1:15">
      <c r="A195" s="70" t="s">
        <v>216</v>
      </c>
      <c r="B195" s="71">
        <f>O213</f>
        <v>13053500.967784647</v>
      </c>
      <c r="D195" s="80" t="s">
        <v>389</v>
      </c>
      <c r="E195" s="81" t="s">
        <v>82</v>
      </c>
      <c r="F195" s="79">
        <f>'EIA Form 923'!T2825-'EIA Form 923'!W2825</f>
        <v>0</v>
      </c>
      <c r="G195" s="79">
        <f>'EIA Form 923'!T2825</f>
        <v>0</v>
      </c>
      <c r="I195" s="79">
        <f>F195*'GWPs &amp; Fuel EFs'!$N10</f>
        <v>0</v>
      </c>
      <c r="K195" s="79">
        <f>G195*'GWPs &amp; Fuel EFs'!$M38</f>
        <v>0</v>
      </c>
      <c r="L195" s="79">
        <f>K195*'GWPs &amp; Fuel EFs'!$D$11</f>
        <v>0</v>
      </c>
      <c r="N195" s="79">
        <f>G195*'GWPs &amp; Fuel EFs'!$M66</f>
        <v>0</v>
      </c>
      <c r="O195" s="79">
        <f>N195*'GWPs &amp; Fuel EFs'!$E$11</f>
        <v>0</v>
      </c>
    </row>
    <row r="196" spans="1:15">
      <c r="A196" s="70"/>
      <c r="B196" s="70"/>
      <c r="D196" s="80" t="s">
        <v>384</v>
      </c>
      <c r="E196" s="81" t="s">
        <v>396</v>
      </c>
      <c r="F196" s="79">
        <f>'EIA Form 923'!T2826-'EIA Form 923'!W2826</f>
        <v>0</v>
      </c>
      <c r="G196" s="79">
        <f>'EIA Form 923'!T2826</f>
        <v>0</v>
      </c>
      <c r="I196" s="79">
        <f>F196*'GWPs &amp; Fuel EFs'!$N11</f>
        <v>0</v>
      </c>
      <c r="K196" s="79">
        <f>G196*'GWPs &amp; Fuel EFs'!$M39</f>
        <v>0</v>
      </c>
      <c r="L196" s="79">
        <f>K196*'GWPs &amp; Fuel EFs'!$D$11</f>
        <v>0</v>
      </c>
      <c r="N196" s="79">
        <f>G196*'GWPs &amp; Fuel EFs'!$M67</f>
        <v>0</v>
      </c>
      <c r="O196" s="79">
        <f>N196*'GWPs &amp; Fuel EFs'!$E$11</f>
        <v>0</v>
      </c>
    </row>
    <row r="197" spans="1:15">
      <c r="A197" s="70"/>
      <c r="B197" s="70"/>
      <c r="D197" s="80" t="s">
        <v>377</v>
      </c>
      <c r="E197" s="81" t="s">
        <v>65</v>
      </c>
      <c r="F197" s="79">
        <f>'EIA Form 923'!T2827-'EIA Form 923'!W2827</f>
        <v>0</v>
      </c>
      <c r="G197" s="79">
        <f>'EIA Form 923'!T2827</f>
        <v>0</v>
      </c>
      <c r="I197" s="79">
        <f>F197*'GWPs &amp; Fuel EFs'!$N12</f>
        <v>0</v>
      </c>
      <c r="K197" s="79">
        <f>G197*'GWPs &amp; Fuel EFs'!$M40</f>
        <v>0</v>
      </c>
      <c r="L197" s="79">
        <f>K197*'GWPs &amp; Fuel EFs'!$D$11</f>
        <v>0</v>
      </c>
      <c r="N197" s="79">
        <f>G197*'GWPs &amp; Fuel EFs'!$M68</f>
        <v>0</v>
      </c>
      <c r="O197" s="79">
        <f>N197*'GWPs &amp; Fuel EFs'!$E$11</f>
        <v>0</v>
      </c>
    </row>
    <row r="198" spans="1:15">
      <c r="A198" s="70"/>
      <c r="B198" s="70"/>
      <c r="D198" s="80" t="s">
        <v>376</v>
      </c>
      <c r="E198" s="81" t="s">
        <v>61</v>
      </c>
      <c r="F198" s="79">
        <f>'EIA Form 923'!T2828-'EIA Form 923'!W2828</f>
        <v>0</v>
      </c>
      <c r="G198" s="79">
        <f>'EIA Form 923'!T2828</f>
        <v>0</v>
      </c>
      <c r="I198" s="79">
        <f>F198*'GWPs &amp; Fuel EFs'!$N13</f>
        <v>0</v>
      </c>
      <c r="K198" s="79">
        <f>G198*'GWPs &amp; Fuel EFs'!$M41</f>
        <v>0</v>
      </c>
      <c r="L198" s="79">
        <f>K198*'GWPs &amp; Fuel EFs'!$D$11</f>
        <v>0</v>
      </c>
      <c r="N198" s="79">
        <f>G198*'GWPs &amp; Fuel EFs'!$M69</f>
        <v>0</v>
      </c>
      <c r="O198" s="79">
        <f>N198*'GWPs &amp; Fuel EFs'!$E$11</f>
        <v>0</v>
      </c>
    </row>
    <row r="199" spans="1:15">
      <c r="A199" s="70"/>
      <c r="B199" s="70"/>
      <c r="D199" s="80" t="s">
        <v>378</v>
      </c>
      <c r="E199" s="81" t="s">
        <v>66</v>
      </c>
      <c r="F199" s="79">
        <f>'EIA Form 923'!T2829-'EIA Form 923'!W2829</f>
        <v>0</v>
      </c>
      <c r="G199" s="79">
        <f>'EIA Form 923'!T2829</f>
        <v>0</v>
      </c>
      <c r="I199" s="79">
        <f>F199*'GWPs &amp; Fuel EFs'!$N14</f>
        <v>0</v>
      </c>
      <c r="K199" s="79">
        <f>G199*'GWPs &amp; Fuel EFs'!$M42</f>
        <v>0</v>
      </c>
      <c r="L199" s="79">
        <f>K199*'GWPs &amp; Fuel EFs'!$D$11</f>
        <v>0</v>
      </c>
      <c r="N199" s="79">
        <f>G199*'GWPs &amp; Fuel EFs'!$M70</f>
        <v>0</v>
      </c>
      <c r="O199" s="79">
        <f>N199*'GWPs &amp; Fuel EFs'!$E$11</f>
        <v>0</v>
      </c>
    </row>
    <row r="200" spans="1:15">
      <c r="A200" s="70"/>
      <c r="B200" s="70"/>
      <c r="D200" s="80" t="s">
        <v>379</v>
      </c>
      <c r="E200" s="81" t="s">
        <v>76</v>
      </c>
      <c r="F200" s="79">
        <f>'EIA Form 923'!T2830-'EIA Form 923'!W2830</f>
        <v>0</v>
      </c>
      <c r="G200" s="79">
        <f>'EIA Form 923'!T2830</f>
        <v>38050</v>
      </c>
      <c r="I200" s="79">
        <f>F200*'GWPs &amp; Fuel EFs'!$N15</f>
        <v>0</v>
      </c>
      <c r="K200" s="79">
        <f>G200*'GWPs &amp; Fuel EFs'!$M43</f>
        <v>251.65767207299999</v>
      </c>
      <c r="L200" s="79">
        <f>K200*'GWPs &amp; Fuel EFs'!$D$11</f>
        <v>6291.4418018249999</v>
      </c>
      <c r="N200" s="79">
        <f>G200*'GWPs &amp; Fuel EFs'!$M71</f>
        <v>50.331534414599993</v>
      </c>
      <c r="O200" s="79">
        <f>N200*'GWPs &amp; Fuel EFs'!$E$11</f>
        <v>14998.797255550799</v>
      </c>
    </row>
    <row r="201" spans="1:15">
      <c r="A201" s="70"/>
      <c r="B201" s="70"/>
      <c r="D201" s="80" t="s">
        <v>380</v>
      </c>
      <c r="E201" s="81" t="s">
        <v>73</v>
      </c>
      <c r="F201" s="79">
        <f>'EIA Form 923'!T2831-'EIA Form 923'!W2831</f>
        <v>0</v>
      </c>
      <c r="G201" s="79">
        <f>'EIA Form 923'!T2831</f>
        <v>0</v>
      </c>
      <c r="I201" s="79">
        <f>F201*'GWPs &amp; Fuel EFs'!$N16</f>
        <v>0</v>
      </c>
      <c r="K201" s="79">
        <f>G201*'GWPs &amp; Fuel EFs'!$M44</f>
        <v>0</v>
      </c>
      <c r="L201" s="79">
        <f>K201*'GWPs &amp; Fuel EFs'!$D$11</f>
        <v>0</v>
      </c>
      <c r="N201" s="79">
        <f>G201*'GWPs &amp; Fuel EFs'!$M72</f>
        <v>0</v>
      </c>
      <c r="O201" s="79">
        <f>N201*'GWPs &amp; Fuel EFs'!$E$11</f>
        <v>0</v>
      </c>
    </row>
    <row r="202" spans="1:15">
      <c r="A202" s="70"/>
      <c r="B202" s="70"/>
      <c r="D202" s="80" t="s">
        <v>429</v>
      </c>
      <c r="E202" s="81" t="s">
        <v>420</v>
      </c>
      <c r="F202" s="79">
        <f>'EIA Form 923'!T2832-'EIA Form 923'!W2832</f>
        <v>0</v>
      </c>
      <c r="G202" s="79">
        <f>'EIA Form 923'!T2832</f>
        <v>0</v>
      </c>
      <c r="I202" s="79">
        <f>F202*'GWPs &amp; Fuel EFs'!$N17</f>
        <v>0</v>
      </c>
      <c r="K202" s="79">
        <f>G202*'GWPs &amp; Fuel EFs'!$M45</f>
        <v>0</v>
      </c>
      <c r="L202" s="79">
        <f>K202*'GWPs &amp; Fuel EFs'!$D$11</f>
        <v>0</v>
      </c>
      <c r="N202" s="79">
        <f>G202*'GWPs &amp; Fuel EFs'!$M73</f>
        <v>0</v>
      </c>
      <c r="O202" s="79">
        <f>N202*'GWPs &amp; Fuel EFs'!$E$11</f>
        <v>0</v>
      </c>
    </row>
    <row r="203" spans="1:15">
      <c r="A203" s="70"/>
      <c r="B203" s="70"/>
      <c r="D203" s="80"/>
      <c r="F203" s="79"/>
      <c r="G203" s="79"/>
      <c r="I203" s="82">
        <f>SUM(I190:I202)</f>
        <v>10812374.329444598</v>
      </c>
      <c r="K203" s="79"/>
      <c r="L203" s="82">
        <f>SUM(L190:L202)</f>
        <v>17782.541168485499</v>
      </c>
      <c r="N203" s="79"/>
      <c r="O203" s="82">
        <f>SUM(O190:O202)</f>
        <v>41836.001306826409</v>
      </c>
    </row>
    <row r="204" spans="1:15" ht="13">
      <c r="A204" s="73" t="s">
        <v>217</v>
      </c>
      <c r="B204" s="69">
        <f>I213</f>
        <v>1186485573.8615854</v>
      </c>
      <c r="D204" s="65" t="s">
        <v>218</v>
      </c>
      <c r="F204" s="79"/>
      <c r="G204" s="79"/>
      <c r="I204" s="82"/>
      <c r="K204" s="79"/>
      <c r="L204" s="82"/>
      <c r="N204" s="79"/>
      <c r="O204" s="82"/>
    </row>
    <row r="205" spans="1:15">
      <c r="A205" s="70"/>
      <c r="B205" s="72"/>
      <c r="D205" s="80" t="s">
        <v>382</v>
      </c>
      <c r="E205" s="81" t="s">
        <v>63</v>
      </c>
      <c r="F205" s="79">
        <f>'EIA Form 923'!T2834-'EIA Form 923'!W2834</f>
        <v>574461</v>
      </c>
      <c r="G205" s="79">
        <f>'EIA Form 923'!T2834</f>
        <v>574461</v>
      </c>
      <c r="I205" s="79">
        <f>F205*'GWPs &amp; Fuel EFs'!$N20</f>
        <v>65945078.055250183</v>
      </c>
      <c r="K205" s="79">
        <f>G205*'GWPs &amp; Fuel EFs'!$M48</f>
        <v>4052.7030877050242</v>
      </c>
      <c r="L205" s="79">
        <f>K205*'GWPs &amp; Fuel EFs'!$D$11</f>
        <v>101317.57719262561</v>
      </c>
      <c r="N205" s="79">
        <f>G205*'GWPs &amp; Fuel EFs'!$M76</f>
        <v>797.87592039192657</v>
      </c>
      <c r="O205" s="79">
        <f>N205*'GWPs &amp; Fuel EFs'!$E$11</f>
        <v>237767.02427679411</v>
      </c>
    </row>
    <row r="206" spans="1:15">
      <c r="A206" s="70"/>
      <c r="B206" s="70"/>
      <c r="D206" s="80" t="s">
        <v>385</v>
      </c>
      <c r="E206" s="81" t="s">
        <v>16</v>
      </c>
      <c r="F206" s="79">
        <f>'EIA Form 923'!T2835-'EIA Form 923'!W2835</f>
        <v>0</v>
      </c>
      <c r="G206" s="79">
        <f>'EIA Form 923'!T2835</f>
        <v>0</v>
      </c>
      <c r="I206" s="79">
        <f>F206*'GWPs &amp; Fuel EFs'!$N21</f>
        <v>0</v>
      </c>
      <c r="K206" s="79">
        <f>G206*'GWPs &amp; Fuel EFs'!$M49</f>
        <v>0</v>
      </c>
      <c r="L206" s="79">
        <f>K206*'GWPs &amp; Fuel EFs'!$D$11</f>
        <v>0</v>
      </c>
      <c r="N206" s="79">
        <f>G206*'GWPs &amp; Fuel EFs'!$M77</f>
        <v>0</v>
      </c>
      <c r="O206" s="79">
        <f>N206*'GWPs &amp; Fuel EFs'!$E$11</f>
        <v>0</v>
      </c>
    </row>
    <row r="207" spans="1:15">
      <c r="A207" s="70"/>
      <c r="B207" s="70"/>
      <c r="D207" s="80" t="s">
        <v>381</v>
      </c>
      <c r="E207" s="81" t="s">
        <v>151</v>
      </c>
      <c r="F207" s="79">
        <f>'EIA Form 923'!T2836-'EIA Form 923'!W2836</f>
        <v>0</v>
      </c>
      <c r="G207" s="79">
        <f>'EIA Form 923'!T2836</f>
        <v>0</v>
      </c>
      <c r="I207" s="79">
        <f>F207*'GWPs &amp; Fuel EFs'!$N22</f>
        <v>0</v>
      </c>
      <c r="K207" s="79">
        <f>G207*'GWPs &amp; Fuel EFs'!$M50</f>
        <v>0</v>
      </c>
      <c r="L207" s="79">
        <f>K207*'GWPs &amp; Fuel EFs'!$D$11</f>
        <v>0</v>
      </c>
      <c r="N207" s="79">
        <f>G207*'GWPs &amp; Fuel EFs'!$M78</f>
        <v>0</v>
      </c>
      <c r="O207" s="79">
        <f>N207*'GWPs &amp; Fuel EFs'!$E$11</f>
        <v>0</v>
      </c>
    </row>
    <row r="208" spans="1:15">
      <c r="A208" s="70"/>
      <c r="B208" s="70"/>
      <c r="D208" s="80" t="s">
        <v>390</v>
      </c>
      <c r="E208" s="81" t="s">
        <v>69</v>
      </c>
      <c r="F208" s="79">
        <f>'EIA Form 923'!T2837-'EIA Form 923'!W2837</f>
        <v>5418642</v>
      </c>
      <c r="G208" s="79">
        <f>'EIA Form 923'!T2837</f>
        <v>5418642</v>
      </c>
      <c r="I208" s="79">
        <f>F208*'GWPs &amp; Fuel EFs'!$N23</f>
        <v>1120540495.8063352</v>
      </c>
      <c r="K208" s="79">
        <f>G208*'GWPs &amp; Fuel EFs'!$M51</f>
        <v>86011.637204750688</v>
      </c>
      <c r="L208" s="79">
        <f>K208*'GWPs &amp; Fuel EFs'!$D$11</f>
        <v>2150290.9301187671</v>
      </c>
      <c r="N208" s="79">
        <f>G208*'GWPs &amp; Fuel EFs'!$M79</f>
        <v>43005.818602375344</v>
      </c>
      <c r="O208" s="79">
        <f>N208*'GWPs &amp; Fuel EFs'!$E$11</f>
        <v>12815733.943507852</v>
      </c>
    </row>
    <row r="209" spans="1:15">
      <c r="A209" s="70"/>
      <c r="B209" s="71"/>
      <c r="D209" s="80" t="s">
        <v>383</v>
      </c>
      <c r="E209" s="81" t="s">
        <v>152</v>
      </c>
      <c r="F209" s="79">
        <f>'EIA Form 923'!T2838-'EIA Form 923'!W2838</f>
        <v>0</v>
      </c>
      <c r="G209" s="79">
        <f>'EIA Form 923'!T2838</f>
        <v>0</v>
      </c>
      <c r="I209" s="79">
        <f>F209*'GWPs &amp; Fuel EFs'!$N24</f>
        <v>0</v>
      </c>
      <c r="K209" s="79">
        <f>G209*'GWPs &amp; Fuel EFs'!$M52</f>
        <v>0</v>
      </c>
      <c r="L209" s="79">
        <f>K209*'GWPs &amp; Fuel EFs'!$D$11</f>
        <v>0</v>
      </c>
      <c r="N209" s="79">
        <f>G209*'GWPs &amp; Fuel EFs'!$M80</f>
        <v>0</v>
      </c>
      <c r="O209" s="79">
        <f>N209*'GWPs &amp; Fuel EFs'!$E$11</f>
        <v>0</v>
      </c>
    </row>
    <row r="210" spans="1:15">
      <c r="A210" s="70"/>
      <c r="B210" s="71"/>
      <c r="D210" s="80" t="s">
        <v>431</v>
      </c>
      <c r="E210" s="81" t="s">
        <v>413</v>
      </c>
      <c r="F210" s="79">
        <f>'EIA Form 923'!T2839-'EIA Form 923'!W2839</f>
        <v>0</v>
      </c>
      <c r="G210" s="79">
        <f>'EIA Form 923'!T2839</f>
        <v>0</v>
      </c>
      <c r="I210" s="79">
        <f>F210*'GWPs &amp; Fuel EFs'!$N25</f>
        <v>0</v>
      </c>
      <c r="K210" s="79">
        <f>G210*'GWPs &amp; Fuel EFs'!$M53</f>
        <v>0</v>
      </c>
      <c r="L210" s="79">
        <f>K210*'GWPs &amp; Fuel EFs'!$D$11</f>
        <v>0</v>
      </c>
      <c r="N210" s="79">
        <f>G210*'GWPs &amp; Fuel EFs'!$M81</f>
        <v>0</v>
      </c>
      <c r="O210" s="79">
        <f>N210*'GWPs &amp; Fuel EFs'!$E$11</f>
        <v>0</v>
      </c>
    </row>
    <row r="211" spans="1:15">
      <c r="A211" s="70"/>
      <c r="B211" s="71"/>
      <c r="D211" s="80" t="s">
        <v>2456</v>
      </c>
      <c r="E211" s="81" t="s">
        <v>418</v>
      </c>
      <c r="F211" s="79">
        <f>'EIA Form 923'!T2840-'EIA Form 923'!W2840</f>
        <v>0</v>
      </c>
      <c r="G211" s="79">
        <f>'EIA Form 923'!T2840</f>
        <v>0</v>
      </c>
      <c r="H211" s="85"/>
      <c r="I211" s="79">
        <f>F211*'GWPs &amp; Fuel EFs'!$N26</f>
        <v>0</v>
      </c>
      <c r="K211" s="79">
        <f>G211*'GWPs &amp; Fuel EFs'!$M54</f>
        <v>0</v>
      </c>
      <c r="L211" s="79">
        <f>K211*'GWPs &amp; Fuel EFs'!$D$11</f>
        <v>0</v>
      </c>
      <c r="N211" s="79">
        <f>G211*'GWPs &amp; Fuel EFs'!$M82</f>
        <v>0</v>
      </c>
      <c r="O211" s="79">
        <f>N211*'GWPs &amp; Fuel EFs'!$E$11</f>
        <v>0</v>
      </c>
    </row>
    <row r="212" spans="1:15">
      <c r="A212" s="70"/>
      <c r="B212" s="71"/>
      <c r="D212" s="80" t="s">
        <v>430</v>
      </c>
      <c r="E212" s="81" t="s">
        <v>68</v>
      </c>
      <c r="F212" s="79">
        <f>'EIA Form 923'!T2841-'EIA Form 923'!W2841</f>
        <v>0</v>
      </c>
      <c r="G212" s="79">
        <f>'EIA Form 923'!T2841</f>
        <v>0</v>
      </c>
      <c r="I212" s="79">
        <f>F212*'GWPs &amp; Fuel EFs'!$N27</f>
        <v>0</v>
      </c>
      <c r="K212" s="79">
        <f>G212*'GWPs &amp; Fuel EFs'!$M55</f>
        <v>0</v>
      </c>
      <c r="L212" s="79">
        <f>K212*'GWPs &amp; Fuel EFs'!$D$11</f>
        <v>0</v>
      </c>
      <c r="N212" s="79">
        <f>G212*'GWPs &amp; Fuel EFs'!$M83</f>
        <v>0</v>
      </c>
      <c r="O212" s="79">
        <f>N212*'GWPs &amp; Fuel EFs'!$E$11</f>
        <v>0</v>
      </c>
    </row>
    <row r="213" spans="1:15">
      <c r="A213" s="70"/>
      <c r="B213" s="71"/>
      <c r="F213" s="79"/>
      <c r="G213" s="79"/>
      <c r="I213" s="82">
        <f>SUM(I205:I212)</f>
        <v>1186485573.8615854</v>
      </c>
      <c r="L213" s="82">
        <f>SUM(L205:L212)</f>
        <v>2251608.5073113926</v>
      </c>
      <c r="O213" s="82">
        <f>SUM(O205:O212)</f>
        <v>13053500.967784647</v>
      </c>
    </row>
    <row r="214" spans="1:15">
      <c r="A214" s="70"/>
      <c r="B214" s="70"/>
    </row>
    <row r="215" spans="1:15">
      <c r="A215" s="13"/>
      <c r="B215" s="13"/>
      <c r="D215" s="83"/>
      <c r="E215" s="83"/>
      <c r="F215" s="83"/>
      <c r="G215" s="83"/>
      <c r="I215" s="83"/>
      <c r="K215" s="83"/>
      <c r="L215" s="83"/>
      <c r="N215" s="83"/>
      <c r="O215" s="83"/>
    </row>
    <row r="216" spans="1:15" ht="13">
      <c r="A216" s="789" t="s">
        <v>1535</v>
      </c>
      <c r="B216" s="789"/>
      <c r="D216" s="790" t="s">
        <v>225</v>
      </c>
      <c r="E216" s="790"/>
      <c r="F216" s="790"/>
      <c r="G216" s="790"/>
      <c r="I216" s="76" t="s">
        <v>225</v>
      </c>
      <c r="K216" s="790" t="s">
        <v>225</v>
      </c>
      <c r="L216" s="790"/>
      <c r="N216" s="790" t="s">
        <v>225</v>
      </c>
      <c r="O216" s="790"/>
    </row>
    <row r="217" spans="1:15" ht="13">
      <c r="A217" s="789">
        <v>2022</v>
      </c>
      <c r="B217" s="789"/>
      <c r="D217" s="790" t="s">
        <v>75</v>
      </c>
      <c r="E217" s="790"/>
      <c r="F217" s="790"/>
      <c r="G217" s="790"/>
      <c r="I217" s="76" t="s">
        <v>205</v>
      </c>
      <c r="K217" s="86"/>
      <c r="L217" s="86"/>
      <c r="N217" s="86"/>
      <c r="O217" s="86"/>
    </row>
    <row r="218" spans="1:15" s="12" customFormat="1" ht="76.5" customHeight="1">
      <c r="A218" s="66"/>
      <c r="B218" s="67" t="s">
        <v>327</v>
      </c>
      <c r="D218" s="78" t="s">
        <v>208</v>
      </c>
      <c r="E218" s="78" t="s">
        <v>123</v>
      </c>
      <c r="F218" s="78"/>
      <c r="G218" s="78" t="s">
        <v>1776</v>
      </c>
      <c r="H218" s="28"/>
      <c r="I218" s="65" t="s">
        <v>325</v>
      </c>
      <c r="J218" s="77"/>
      <c r="K218" s="65"/>
      <c r="L218" s="65"/>
      <c r="M218" s="77"/>
      <c r="N218" s="65"/>
      <c r="O218" s="65"/>
    </row>
    <row r="219" spans="1:15" ht="13">
      <c r="A219" s="68" t="s">
        <v>211</v>
      </c>
      <c r="B219" s="69">
        <f>E219*2204622.62</f>
        <v>507063202.60000002</v>
      </c>
      <c r="D219" s="65" t="s">
        <v>212</v>
      </c>
      <c r="E219" s="87">
        <v>230</v>
      </c>
      <c r="F219" s="156"/>
      <c r="G219" s="88"/>
      <c r="K219" s="77"/>
      <c r="L219" s="77"/>
      <c r="N219" s="77"/>
      <c r="O219" s="77"/>
    </row>
    <row r="220" spans="1:15" ht="13">
      <c r="A220" s="73" t="s">
        <v>217</v>
      </c>
      <c r="B220" s="69">
        <f>I223</f>
        <v>2488447404.0873065</v>
      </c>
      <c r="D220" s="86" t="s">
        <v>218</v>
      </c>
      <c r="E220" s="106"/>
      <c r="F220" s="88"/>
      <c r="G220" s="106"/>
      <c r="I220" s="79"/>
    </row>
    <row r="221" spans="1:15">
      <c r="A221" s="70"/>
      <c r="B221" s="71"/>
      <c r="D221" s="80" t="s">
        <v>1145</v>
      </c>
      <c r="E221" s="106"/>
      <c r="F221" s="106"/>
      <c r="G221" s="598">
        <v>697909</v>
      </c>
      <c r="I221" s="79">
        <f>G221*'GWPs &amp; Fuel EFs'!J23*'EIA Form 923'!Y2667</f>
        <v>2384297461.0295415</v>
      </c>
      <c r="K221" s="79"/>
      <c r="L221" s="79"/>
      <c r="N221" s="79"/>
      <c r="O221" s="79"/>
    </row>
    <row r="222" spans="1:15">
      <c r="A222" s="70"/>
      <c r="B222" s="71"/>
      <c r="D222" s="80" t="s">
        <v>3269</v>
      </c>
      <c r="E222" s="115"/>
      <c r="F222" s="106"/>
      <c r="G222" s="79">
        <v>78844</v>
      </c>
      <c r="I222" s="79">
        <f>G222*'GWPs &amp; Fuel EFs'!J20*'EIA Form 923'!Y2668</f>
        <v>104149943.05776505</v>
      </c>
      <c r="K222" s="79"/>
      <c r="L222" s="79"/>
      <c r="N222" s="79"/>
      <c r="O222" s="79"/>
    </row>
    <row r="223" spans="1:15">
      <c r="A223" s="70"/>
      <c r="B223" s="71"/>
      <c r="D223" s="80"/>
      <c r="E223" s="106"/>
      <c r="F223" s="106"/>
      <c r="G223" s="88"/>
      <c r="I223" s="82">
        <f>SUM(I221:I222)</f>
        <v>2488447404.0873065</v>
      </c>
      <c r="K223" s="79"/>
      <c r="L223" s="79"/>
      <c r="N223" s="79"/>
      <c r="O223" s="79"/>
    </row>
    <row r="224" spans="1:15">
      <c r="A224" s="70"/>
      <c r="B224" s="70"/>
      <c r="F224" s="89"/>
      <c r="G224" s="89"/>
      <c r="I224" s="79"/>
      <c r="K224" s="79"/>
      <c r="L224" s="79"/>
      <c r="N224" s="79"/>
      <c r="O224" s="79"/>
    </row>
    <row r="225" spans="1:15">
      <c r="A225" s="13"/>
      <c r="B225" s="13"/>
      <c r="D225" s="83"/>
      <c r="E225" s="83"/>
      <c r="F225" s="83"/>
      <c r="G225" s="83"/>
      <c r="I225" s="83"/>
      <c r="K225" s="83"/>
      <c r="L225" s="83"/>
      <c r="N225" s="83"/>
      <c r="O225" s="83"/>
    </row>
    <row r="226" spans="1:15" ht="13">
      <c r="A226" s="789" t="s">
        <v>1536</v>
      </c>
      <c r="B226" s="789"/>
      <c r="D226" s="790" t="s">
        <v>226</v>
      </c>
      <c r="E226" s="790"/>
      <c r="F226" s="790"/>
      <c r="G226" s="790"/>
      <c r="I226" s="76" t="s">
        <v>226</v>
      </c>
      <c r="K226" s="790" t="s">
        <v>226</v>
      </c>
      <c r="L226" s="790"/>
      <c r="N226" s="790" t="s">
        <v>226</v>
      </c>
      <c r="O226" s="790"/>
    </row>
    <row r="227" spans="1:15" ht="13">
      <c r="A227" s="789">
        <v>2022</v>
      </c>
      <c r="B227" s="789"/>
      <c r="D227" s="790" t="s">
        <v>75</v>
      </c>
      <c r="E227" s="790"/>
      <c r="F227" s="790"/>
      <c r="G227" s="790"/>
      <c r="K227" s="86"/>
      <c r="L227" s="86"/>
      <c r="N227" s="86"/>
      <c r="O227" s="86"/>
    </row>
    <row r="228" spans="1:15" ht="63.75" customHeight="1">
      <c r="A228" s="66"/>
      <c r="B228" s="67" t="s">
        <v>327</v>
      </c>
      <c r="D228" s="78"/>
      <c r="E228" s="78" t="s">
        <v>123</v>
      </c>
      <c r="F228" s="78"/>
      <c r="G228" s="78"/>
      <c r="I228" s="65"/>
      <c r="K228" s="65"/>
      <c r="L228" s="65"/>
      <c r="N228" s="65"/>
      <c r="O228" s="65"/>
    </row>
    <row r="229" spans="1:15" ht="13">
      <c r="A229" s="68" t="s">
        <v>211</v>
      </c>
      <c r="B229" s="69">
        <f>E229*2204622.62</f>
        <v>8796444253.8000011</v>
      </c>
      <c r="D229" s="65" t="s">
        <v>212</v>
      </c>
      <c r="E229" s="87">
        <v>3990</v>
      </c>
      <c r="F229" s="156"/>
      <c r="G229" s="156"/>
      <c r="K229" s="77"/>
      <c r="L229" s="77"/>
      <c r="N229" s="77"/>
      <c r="O229" s="77"/>
    </row>
    <row r="230" spans="1:15" ht="13">
      <c r="A230" s="73" t="s">
        <v>217</v>
      </c>
      <c r="B230" s="69">
        <v>0</v>
      </c>
      <c r="D230" s="86"/>
      <c r="F230" s="79"/>
      <c r="G230" s="79"/>
      <c r="I230" s="79"/>
    </row>
    <row r="231" spans="1:15">
      <c r="A231" s="70"/>
      <c r="B231" s="71"/>
      <c r="H231" s="90"/>
      <c r="I231" s="79"/>
      <c r="K231" s="79"/>
      <c r="L231" s="79"/>
      <c r="N231" s="79"/>
      <c r="O231" s="79"/>
    </row>
    <row r="232" spans="1:15" ht="13">
      <c r="A232" s="68"/>
      <c r="B232" s="75"/>
      <c r="I232" s="82"/>
      <c r="K232" s="79"/>
      <c r="L232" s="82"/>
      <c r="N232" s="79"/>
      <c r="O232" s="82"/>
    </row>
    <row r="233" spans="1:15">
      <c r="A233" s="13"/>
      <c r="B233" s="13"/>
      <c r="D233" s="83"/>
      <c r="E233" s="83"/>
      <c r="F233" s="83"/>
      <c r="G233" s="83"/>
      <c r="I233" s="83"/>
      <c r="K233" s="83"/>
      <c r="L233" s="83"/>
      <c r="N233" s="83"/>
      <c r="O233" s="83"/>
    </row>
    <row r="235" spans="1:15">
      <c r="D235" s="453"/>
    </row>
  </sheetData>
  <mergeCells count="66">
    <mergeCell ref="D216:G216"/>
    <mergeCell ref="N216:O216"/>
    <mergeCell ref="A227:B227"/>
    <mergeCell ref="D227:G227"/>
    <mergeCell ref="A217:B217"/>
    <mergeCell ref="D217:G217"/>
    <mergeCell ref="A226:B226"/>
    <mergeCell ref="D226:G226"/>
    <mergeCell ref="N226:O226"/>
    <mergeCell ref="K216:L216"/>
    <mergeCell ref="K226:L226"/>
    <mergeCell ref="A216:B216"/>
    <mergeCell ref="N157:O157"/>
    <mergeCell ref="N186:O186"/>
    <mergeCell ref="A186:B186"/>
    <mergeCell ref="D186:G186"/>
    <mergeCell ref="A187:B187"/>
    <mergeCell ref="D187:G187"/>
    <mergeCell ref="N187:O187"/>
    <mergeCell ref="A157:B157"/>
    <mergeCell ref="D157:G157"/>
    <mergeCell ref="K157:L157"/>
    <mergeCell ref="K186:L186"/>
    <mergeCell ref="K187:L187"/>
    <mergeCell ref="A156:B156"/>
    <mergeCell ref="D156:G156"/>
    <mergeCell ref="K156:L156"/>
    <mergeCell ref="N126:O126"/>
    <mergeCell ref="N127:O127"/>
    <mergeCell ref="N156:O156"/>
    <mergeCell ref="A126:B126"/>
    <mergeCell ref="D126:G126"/>
    <mergeCell ref="A127:B127"/>
    <mergeCell ref="D127:G127"/>
    <mergeCell ref="K126:L126"/>
    <mergeCell ref="K127:L127"/>
    <mergeCell ref="D66:G66"/>
    <mergeCell ref="N66:O66"/>
    <mergeCell ref="N67:O67"/>
    <mergeCell ref="N96:O96"/>
    <mergeCell ref="A97:B97"/>
    <mergeCell ref="D97:G97"/>
    <mergeCell ref="K97:L97"/>
    <mergeCell ref="N97:O97"/>
    <mergeCell ref="A67:B67"/>
    <mergeCell ref="D67:G67"/>
    <mergeCell ref="K67:L67"/>
    <mergeCell ref="A96:B96"/>
    <mergeCell ref="D96:G96"/>
    <mergeCell ref="K96:L96"/>
    <mergeCell ref="A36:B36"/>
    <mergeCell ref="K36:L36"/>
    <mergeCell ref="K66:L66"/>
    <mergeCell ref="D7:F7"/>
    <mergeCell ref="N6:O6"/>
    <mergeCell ref="N7:O7"/>
    <mergeCell ref="N36:O36"/>
    <mergeCell ref="A6:B6"/>
    <mergeCell ref="A7:B7"/>
    <mergeCell ref="K6:L6"/>
    <mergeCell ref="K7:L7"/>
    <mergeCell ref="D6:F6"/>
    <mergeCell ref="A37:B37"/>
    <mergeCell ref="K37:L37"/>
    <mergeCell ref="N37:O37"/>
    <mergeCell ref="A66:B66"/>
  </mergeCells>
  <pageMargins left="0.7" right="0.7" top="0.75" bottom="0.75" header="0.3" footer="0.3"/>
  <pageSetup scale="42" fitToHeight="0" orientation="landscape" r:id="rId1"/>
  <rowBreaks count="3" manualBreakCount="3">
    <brk id="65" max="16383" man="1"/>
    <brk id="125" max="16383" man="1"/>
    <brk id="185" max="16383" man="1"/>
  </rowBreak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filterMode="1">
    <tabColor theme="7" tint="0.79998168889431442"/>
    <pageSetUpPr fitToPage="1"/>
  </sheetPr>
  <dimension ref="A1:AC2848"/>
  <sheetViews>
    <sheetView topLeftCell="E1" zoomScaleNormal="100" workbookViewId="0">
      <pane ySplit="6" topLeftCell="A2669" activePane="bottomLeft" state="frozen"/>
      <selection pane="bottomLeft" activeCell="T2681" sqref="T2681"/>
    </sheetView>
  </sheetViews>
  <sheetFormatPr defaultColWidth="11.1796875" defaultRowHeight="12.5"/>
  <cols>
    <col min="2" max="2" width="6.54296875" customWidth="1"/>
    <col min="3" max="3" width="6.1796875" customWidth="1"/>
    <col min="4" max="4" width="23.26953125" customWidth="1"/>
    <col min="5" max="5" width="21.54296875" customWidth="1"/>
    <col min="6" max="11" width="11.1796875" customWidth="1"/>
    <col min="12" max="12" width="10.54296875" customWidth="1"/>
    <col min="13" max="13" width="10.81640625" customWidth="1"/>
    <col min="17" max="18" width="11.1796875" style="1"/>
    <col min="19" max="19" width="12.54296875" style="1" customWidth="1"/>
    <col min="20" max="20" width="13.1796875" style="1" customWidth="1"/>
    <col min="21" max="21" width="11.1796875" style="1"/>
    <col min="27" max="27" width="11.1796875" style="15"/>
  </cols>
  <sheetData>
    <row r="1" spans="1:28" s="639" customFormat="1" ht="15.5">
      <c r="A1" s="593" t="s">
        <v>1154</v>
      </c>
      <c r="W1" s="744"/>
      <c r="X1" s="593"/>
      <c r="Y1" s="651"/>
    </row>
    <row r="2" spans="1:28" s="639" customFormat="1" ht="15.5">
      <c r="A2" s="593" t="s">
        <v>3594</v>
      </c>
      <c r="W2" s="744"/>
      <c r="X2" s="593"/>
      <c r="Y2" s="22" t="s">
        <v>50</v>
      </c>
    </row>
    <row r="3" spans="1:28" s="639" customFormat="1" ht="15.5">
      <c r="A3" s="593" t="s">
        <v>1155</v>
      </c>
      <c r="W3" s="744"/>
      <c r="X3" s="593"/>
      <c r="Y3" s="22" t="s">
        <v>39</v>
      </c>
    </row>
    <row r="4" spans="1:28" s="22" customFormat="1" ht="15.5">
      <c r="A4" s="626" t="s">
        <v>3931</v>
      </c>
      <c r="B4" s="127"/>
      <c r="C4" s="127"/>
      <c r="D4" s="127"/>
      <c r="E4" s="590" t="s">
        <v>2237</v>
      </c>
      <c r="F4" s="127"/>
      <c r="G4" s="127"/>
      <c r="H4" s="127"/>
      <c r="I4" s="127"/>
      <c r="J4" s="127"/>
      <c r="K4" s="127"/>
      <c r="L4" s="127"/>
      <c r="M4" s="127"/>
      <c r="N4" s="127"/>
      <c r="O4" s="127"/>
      <c r="P4" s="127"/>
      <c r="Q4" s="127"/>
      <c r="R4" s="127"/>
      <c r="S4" s="127"/>
      <c r="T4" s="127"/>
      <c r="U4" s="127"/>
      <c r="V4" s="127"/>
      <c r="W4" s="745"/>
      <c r="Y4" s="22" t="s">
        <v>46</v>
      </c>
      <c r="AA4" s="15"/>
    </row>
    <row r="5" spans="1:28" s="21" customFormat="1" ht="13">
      <c r="A5" s="791" t="s">
        <v>1156</v>
      </c>
      <c r="B5" s="792"/>
      <c r="C5" s="792"/>
      <c r="D5" s="792"/>
      <c r="E5" s="792"/>
      <c r="F5" s="792"/>
      <c r="G5" s="792"/>
      <c r="H5" s="792"/>
      <c r="I5" s="792"/>
      <c r="J5" s="792"/>
      <c r="K5" s="792"/>
      <c r="L5" s="792"/>
      <c r="M5" s="792"/>
      <c r="N5" s="792"/>
      <c r="O5" s="792"/>
      <c r="P5" s="793"/>
      <c r="Q5" s="791" t="s">
        <v>1157</v>
      </c>
      <c r="R5" s="792"/>
      <c r="S5" s="792"/>
      <c r="T5" s="792"/>
      <c r="U5" s="793"/>
      <c r="V5" s="128" t="s">
        <v>1156</v>
      </c>
      <c r="W5" s="20"/>
      <c r="X5" s="20"/>
      <c r="Y5" s="20"/>
      <c r="Z5" s="20"/>
      <c r="AA5" s="15"/>
    </row>
    <row r="6" spans="1:28" s="29" customFormat="1" ht="78">
      <c r="A6" s="128" t="s">
        <v>1158</v>
      </c>
      <c r="B6" s="128" t="s">
        <v>1779</v>
      </c>
      <c r="C6" s="128" t="s">
        <v>1159</v>
      </c>
      <c r="D6" s="128" t="s">
        <v>550</v>
      </c>
      <c r="E6" s="128" t="s">
        <v>139</v>
      </c>
      <c r="F6" s="128" t="s">
        <v>1160</v>
      </c>
      <c r="G6" s="128" t="s">
        <v>1780</v>
      </c>
      <c r="H6" s="128" t="s">
        <v>140</v>
      </c>
      <c r="I6" s="128" t="s">
        <v>141</v>
      </c>
      <c r="J6" s="128" t="s">
        <v>142</v>
      </c>
      <c r="K6" s="128" t="s">
        <v>143</v>
      </c>
      <c r="L6" s="128" t="s">
        <v>144</v>
      </c>
      <c r="M6" s="128" t="s">
        <v>1781</v>
      </c>
      <c r="N6" s="128" t="s">
        <v>1782</v>
      </c>
      <c r="O6" s="128" t="s">
        <v>1783</v>
      </c>
      <c r="P6" s="128" t="s">
        <v>1784</v>
      </c>
      <c r="Q6" s="129" t="s">
        <v>1785</v>
      </c>
      <c r="R6" s="129" t="s">
        <v>1786</v>
      </c>
      <c r="S6" s="129" t="s">
        <v>1787</v>
      </c>
      <c r="T6" s="129" t="s">
        <v>1788</v>
      </c>
      <c r="U6" s="129" t="s">
        <v>1789</v>
      </c>
      <c r="V6" s="128" t="s">
        <v>1161</v>
      </c>
      <c r="W6" s="157" t="s">
        <v>2462</v>
      </c>
      <c r="X6" s="119" t="s">
        <v>1381</v>
      </c>
      <c r="Y6" s="60" t="s">
        <v>1263</v>
      </c>
      <c r="Z6" s="60" t="s">
        <v>1264</v>
      </c>
      <c r="AA6" s="15"/>
      <c r="AB6" s="48"/>
    </row>
    <row r="7" spans="1:28" s="127" customFormat="1" ht="25">
      <c r="A7" s="636">
        <v>88</v>
      </c>
      <c r="B7" s="637" t="s">
        <v>33</v>
      </c>
      <c r="C7" s="636" t="s">
        <v>2725</v>
      </c>
      <c r="D7" s="637" t="s">
        <v>551</v>
      </c>
      <c r="E7" s="637" t="s">
        <v>56</v>
      </c>
      <c r="F7" s="636">
        <v>15296</v>
      </c>
      <c r="G7" s="637" t="s">
        <v>57</v>
      </c>
      <c r="H7" s="637" t="s">
        <v>1162</v>
      </c>
      <c r="I7" s="637" t="s">
        <v>58</v>
      </c>
      <c r="J7" s="636">
        <v>22</v>
      </c>
      <c r="K7" s="636">
        <v>1</v>
      </c>
      <c r="L7" s="637" t="s">
        <v>34</v>
      </c>
      <c r="M7" s="637" t="s">
        <v>35</v>
      </c>
      <c r="N7" s="637" t="s">
        <v>36</v>
      </c>
      <c r="O7" s="637" t="s">
        <v>37</v>
      </c>
      <c r="P7" s="637" t="s">
        <v>1156</v>
      </c>
      <c r="Q7" s="638">
        <v>0</v>
      </c>
      <c r="R7" s="638">
        <v>0</v>
      </c>
      <c r="S7" s="638">
        <v>36994</v>
      </c>
      <c r="T7" s="638">
        <v>36994</v>
      </c>
      <c r="U7" s="638">
        <v>10842</v>
      </c>
      <c r="V7" s="636">
        <v>2022</v>
      </c>
      <c r="W7" s="640"/>
      <c r="X7" s="641">
        <f>IF(OR(K7&gt;3,T7=0,NOT(U7&gt;0)),"",T7/U7)</f>
        <v>3.4121010883600813</v>
      </c>
      <c r="Y7" s="642" t="str">
        <f t="shared" ref="Y7" si="0">IF(AND($M7=$Y$2,$N7=$Y$3,NOT($Q7=$R7),NOT($U7=0)),IF($K7=5,$S7/($U7+(8/5)*$U7),IF($K7=7,$S7/($U7+(29/25)*$U7),"")),"")</f>
        <v/>
      </c>
      <c r="Z7" s="642" t="str">
        <f t="shared" ref="Z7:Z143" si="1">IF(AND($M7=$Y$2,$N7=$Y$4,NOT($Q7=$R7),NOT($U7=0)),IF($K7=5,$S7/($U7+(8/5)*$U7),IF($K7=7,$S7/($U7+(29/25)*$U7),"")),"")</f>
        <v/>
      </c>
    </row>
    <row r="8" spans="1:28" s="127" customFormat="1" ht="25">
      <c r="A8" s="636">
        <v>539</v>
      </c>
      <c r="B8" s="637" t="s">
        <v>33</v>
      </c>
      <c r="C8" s="636" t="s">
        <v>2725</v>
      </c>
      <c r="D8" s="637" t="s">
        <v>1538</v>
      </c>
      <c r="E8" s="637" t="s">
        <v>74</v>
      </c>
      <c r="F8" s="636">
        <v>54895</v>
      </c>
      <c r="G8" s="637" t="s">
        <v>41</v>
      </c>
      <c r="H8" s="637" t="s">
        <v>1163</v>
      </c>
      <c r="I8" s="637" t="s">
        <v>58</v>
      </c>
      <c r="J8" s="636">
        <v>22</v>
      </c>
      <c r="K8" s="636">
        <v>2</v>
      </c>
      <c r="L8" s="637" t="s">
        <v>52</v>
      </c>
      <c r="M8" s="637" t="s">
        <v>59</v>
      </c>
      <c r="N8" s="637" t="s">
        <v>36</v>
      </c>
      <c r="O8" s="637" t="s">
        <v>60</v>
      </c>
      <c r="P8" s="637" t="s">
        <v>2726</v>
      </c>
      <c r="Q8" s="638">
        <v>14838</v>
      </c>
      <c r="R8" s="638">
        <v>14838</v>
      </c>
      <c r="S8" s="638">
        <v>0</v>
      </c>
      <c r="T8" s="638">
        <v>0</v>
      </c>
      <c r="U8" s="638">
        <v>1309</v>
      </c>
      <c r="V8" s="636">
        <v>2022</v>
      </c>
      <c r="W8" s="640"/>
      <c r="X8" s="641" t="str">
        <f t="shared" ref="X8:X71" si="2">IF(OR(K8&gt;3,T8=0,NOT(U8&gt;0)),"",T8/U8)</f>
        <v/>
      </c>
      <c r="Y8" s="642" t="str">
        <f t="shared" ref="Y8:Y71" si="3">IF(AND($M8=$Y$2,$N8=$Y$3,NOT($Q8=$R8),NOT($U8=0)),IF($K8=5,$S8/($U8+(8/5)*$U8),IF($K8=7,$S8/($U8+(29/25)*$U8),"")),"")</f>
        <v/>
      </c>
      <c r="Z8" s="642" t="str">
        <f t="shared" si="1"/>
        <v/>
      </c>
    </row>
    <row r="9" spans="1:28" s="127" customFormat="1" ht="25">
      <c r="A9" s="636">
        <v>540</v>
      </c>
      <c r="B9" s="637" t="s">
        <v>33</v>
      </c>
      <c r="C9" s="636" t="s">
        <v>2725</v>
      </c>
      <c r="D9" s="637" t="s">
        <v>552</v>
      </c>
      <c r="E9" s="637" t="s">
        <v>553</v>
      </c>
      <c r="F9" s="636">
        <v>22379</v>
      </c>
      <c r="G9" s="637" t="s">
        <v>41</v>
      </c>
      <c r="H9" s="637" t="s">
        <v>1163</v>
      </c>
      <c r="I9" s="637" t="s">
        <v>58</v>
      </c>
      <c r="J9" s="636">
        <v>22</v>
      </c>
      <c r="K9" s="636">
        <v>2</v>
      </c>
      <c r="L9" s="637" t="s">
        <v>52</v>
      </c>
      <c r="M9" s="637" t="s">
        <v>50</v>
      </c>
      <c r="N9" s="637" t="s">
        <v>66</v>
      </c>
      <c r="O9" s="637" t="s">
        <v>67</v>
      </c>
      <c r="P9" s="637" t="s">
        <v>47</v>
      </c>
      <c r="Q9" s="638">
        <v>0</v>
      </c>
      <c r="R9" s="638">
        <v>0</v>
      </c>
      <c r="S9" s="638">
        <v>0</v>
      </c>
      <c r="T9" s="638">
        <v>0</v>
      </c>
      <c r="U9" s="638">
        <v>0</v>
      </c>
      <c r="V9" s="636">
        <v>2022</v>
      </c>
      <c r="W9" s="640"/>
      <c r="X9" s="641" t="str">
        <f t="shared" si="2"/>
        <v/>
      </c>
      <c r="Y9" s="642" t="str">
        <f t="shared" si="3"/>
        <v/>
      </c>
      <c r="Z9" s="642" t="str">
        <f t="shared" si="1"/>
        <v/>
      </c>
    </row>
    <row r="10" spans="1:28" s="127" customFormat="1" ht="25">
      <c r="A10" s="636">
        <v>540</v>
      </c>
      <c r="B10" s="637" t="s">
        <v>33</v>
      </c>
      <c r="C10" s="636" t="s">
        <v>2725</v>
      </c>
      <c r="D10" s="637" t="s">
        <v>552</v>
      </c>
      <c r="E10" s="637" t="s">
        <v>553</v>
      </c>
      <c r="F10" s="636">
        <v>22379</v>
      </c>
      <c r="G10" s="637" t="s">
        <v>41</v>
      </c>
      <c r="H10" s="637" t="s">
        <v>1163</v>
      </c>
      <c r="I10" s="637" t="s">
        <v>58</v>
      </c>
      <c r="J10" s="636">
        <v>22</v>
      </c>
      <c r="K10" s="636">
        <v>2</v>
      </c>
      <c r="L10" s="637" t="s">
        <v>52</v>
      </c>
      <c r="M10" s="637" t="s">
        <v>50</v>
      </c>
      <c r="N10" s="637" t="s">
        <v>76</v>
      </c>
      <c r="O10" s="637" t="s">
        <v>67</v>
      </c>
      <c r="P10" s="637" t="s">
        <v>47</v>
      </c>
      <c r="Q10" s="638">
        <v>469</v>
      </c>
      <c r="R10" s="638">
        <v>469</v>
      </c>
      <c r="S10" s="638">
        <v>2625</v>
      </c>
      <c r="T10" s="638">
        <v>2625</v>
      </c>
      <c r="U10" s="638">
        <v>153</v>
      </c>
      <c r="V10" s="636">
        <v>2022</v>
      </c>
      <c r="W10" s="640"/>
      <c r="X10" s="641">
        <f t="shared" si="2"/>
        <v>17.156862745098039</v>
      </c>
      <c r="Y10" s="642" t="str">
        <f t="shared" si="3"/>
        <v/>
      </c>
      <c r="Z10" s="642" t="str">
        <f t="shared" si="1"/>
        <v/>
      </c>
    </row>
    <row r="11" spans="1:28" s="127" customFormat="1" ht="25">
      <c r="A11" s="636">
        <v>541</v>
      </c>
      <c r="B11" s="637" t="s">
        <v>33</v>
      </c>
      <c r="C11" s="636" t="s">
        <v>2725</v>
      </c>
      <c r="D11" s="637" t="s">
        <v>554</v>
      </c>
      <c r="E11" s="637" t="s">
        <v>74</v>
      </c>
      <c r="F11" s="636">
        <v>54895</v>
      </c>
      <c r="G11" s="637" t="s">
        <v>41</v>
      </c>
      <c r="H11" s="637" t="s">
        <v>1163</v>
      </c>
      <c r="I11" s="637" t="s">
        <v>58</v>
      </c>
      <c r="J11" s="636">
        <v>22</v>
      </c>
      <c r="K11" s="636">
        <v>2</v>
      </c>
      <c r="L11" s="637" t="s">
        <v>52</v>
      </c>
      <c r="M11" s="637" t="s">
        <v>35</v>
      </c>
      <c r="N11" s="637" t="s">
        <v>36</v>
      </c>
      <c r="O11" s="637" t="s">
        <v>37</v>
      </c>
      <c r="P11" s="637" t="s">
        <v>1156</v>
      </c>
      <c r="Q11" s="638">
        <v>0</v>
      </c>
      <c r="R11" s="638">
        <v>0</v>
      </c>
      <c r="S11" s="638">
        <v>114478</v>
      </c>
      <c r="T11" s="638">
        <v>114478</v>
      </c>
      <c r="U11" s="638">
        <v>33552</v>
      </c>
      <c r="V11" s="636">
        <v>2022</v>
      </c>
      <c r="W11" s="640"/>
      <c r="X11" s="641">
        <f t="shared" si="2"/>
        <v>3.4119575584167858</v>
      </c>
      <c r="Y11" s="642" t="str">
        <f t="shared" si="3"/>
        <v/>
      </c>
      <c r="Z11" s="642" t="str">
        <f t="shared" si="1"/>
        <v/>
      </c>
    </row>
    <row r="12" spans="1:28" s="127" customFormat="1" ht="25">
      <c r="A12" s="636">
        <v>542</v>
      </c>
      <c r="B12" s="637" t="s">
        <v>33</v>
      </c>
      <c r="C12" s="636" t="s">
        <v>2725</v>
      </c>
      <c r="D12" s="637" t="s">
        <v>555</v>
      </c>
      <c r="E12" s="637" t="s">
        <v>553</v>
      </c>
      <c r="F12" s="636">
        <v>22379</v>
      </c>
      <c r="G12" s="637" t="s">
        <v>41</v>
      </c>
      <c r="H12" s="637" t="s">
        <v>1163</v>
      </c>
      <c r="I12" s="637" t="s">
        <v>58</v>
      </c>
      <c r="J12" s="636">
        <v>22</v>
      </c>
      <c r="K12" s="636">
        <v>2</v>
      </c>
      <c r="L12" s="637" t="s">
        <v>52</v>
      </c>
      <c r="M12" s="637" t="s">
        <v>50</v>
      </c>
      <c r="N12" s="637" t="s">
        <v>66</v>
      </c>
      <c r="O12" s="637" t="s">
        <v>67</v>
      </c>
      <c r="P12" s="637" t="s">
        <v>47</v>
      </c>
      <c r="Q12" s="638">
        <v>0</v>
      </c>
      <c r="R12" s="638">
        <v>0</v>
      </c>
      <c r="S12" s="638">
        <v>0</v>
      </c>
      <c r="T12" s="638">
        <v>0</v>
      </c>
      <c r="U12" s="638">
        <v>0</v>
      </c>
      <c r="V12" s="636">
        <v>2022</v>
      </c>
      <c r="W12" s="640"/>
      <c r="X12" s="641" t="str">
        <f t="shared" si="2"/>
        <v/>
      </c>
      <c r="Y12" s="642" t="str">
        <f t="shared" si="3"/>
        <v/>
      </c>
      <c r="Z12" s="642" t="str">
        <f t="shared" si="1"/>
        <v/>
      </c>
    </row>
    <row r="13" spans="1:28" s="127" customFormat="1" ht="25">
      <c r="A13" s="636">
        <v>542</v>
      </c>
      <c r="B13" s="637" t="s">
        <v>33</v>
      </c>
      <c r="C13" s="636" t="s">
        <v>2725</v>
      </c>
      <c r="D13" s="637" t="s">
        <v>555</v>
      </c>
      <c r="E13" s="637" t="s">
        <v>553</v>
      </c>
      <c r="F13" s="636">
        <v>22379</v>
      </c>
      <c r="G13" s="637" t="s">
        <v>41</v>
      </c>
      <c r="H13" s="637" t="s">
        <v>1163</v>
      </c>
      <c r="I13" s="637" t="s">
        <v>58</v>
      </c>
      <c r="J13" s="636">
        <v>22</v>
      </c>
      <c r="K13" s="636">
        <v>2</v>
      </c>
      <c r="L13" s="637" t="s">
        <v>52</v>
      </c>
      <c r="M13" s="637" t="s">
        <v>50</v>
      </c>
      <c r="N13" s="637" t="s">
        <v>76</v>
      </c>
      <c r="O13" s="637" t="s">
        <v>67</v>
      </c>
      <c r="P13" s="637" t="s">
        <v>47</v>
      </c>
      <c r="Q13" s="638">
        <v>3647</v>
      </c>
      <c r="R13" s="638">
        <v>3647</v>
      </c>
      <c r="S13" s="638">
        <v>20424</v>
      </c>
      <c r="T13" s="638">
        <v>20424</v>
      </c>
      <c r="U13" s="638">
        <v>1418</v>
      </c>
      <c r="V13" s="636">
        <v>2022</v>
      </c>
      <c r="W13" s="640"/>
      <c r="X13" s="641">
        <f t="shared" si="2"/>
        <v>14.403385049365303</v>
      </c>
      <c r="Y13" s="642" t="str">
        <f t="shared" si="3"/>
        <v/>
      </c>
      <c r="Z13" s="642" t="str">
        <f t="shared" si="1"/>
        <v/>
      </c>
    </row>
    <row r="14" spans="1:28" s="127" customFormat="1" ht="25">
      <c r="A14" s="636">
        <v>544</v>
      </c>
      <c r="B14" s="637" t="s">
        <v>33</v>
      </c>
      <c r="C14" s="636" t="s">
        <v>2725</v>
      </c>
      <c r="D14" s="637" t="s">
        <v>77</v>
      </c>
      <c r="E14" s="637" t="s">
        <v>436</v>
      </c>
      <c r="F14" s="636">
        <v>22350</v>
      </c>
      <c r="G14" s="637" t="s">
        <v>41</v>
      </c>
      <c r="H14" s="637" t="s">
        <v>1163</v>
      </c>
      <c r="I14" s="637" t="s">
        <v>58</v>
      </c>
      <c r="J14" s="636">
        <v>22</v>
      </c>
      <c r="K14" s="636">
        <v>2</v>
      </c>
      <c r="L14" s="637" t="s">
        <v>52</v>
      </c>
      <c r="M14" s="637" t="s">
        <v>50</v>
      </c>
      <c r="N14" s="637" t="s">
        <v>46</v>
      </c>
      <c r="O14" s="637" t="s">
        <v>46</v>
      </c>
      <c r="P14" s="637" t="s">
        <v>47</v>
      </c>
      <c r="Q14" s="638">
        <v>0</v>
      </c>
      <c r="R14" s="638">
        <v>0</v>
      </c>
      <c r="S14" s="638">
        <v>0</v>
      </c>
      <c r="T14" s="638">
        <v>0</v>
      </c>
      <c r="U14" s="638">
        <v>0</v>
      </c>
      <c r="V14" s="636">
        <v>2022</v>
      </c>
      <c r="W14" s="640" t="s">
        <v>3934</v>
      </c>
      <c r="X14" s="641" t="str">
        <f t="shared" si="2"/>
        <v/>
      </c>
      <c r="Y14" s="642" t="str">
        <f t="shared" si="3"/>
        <v/>
      </c>
      <c r="Z14" s="642" t="str">
        <f t="shared" si="1"/>
        <v/>
      </c>
    </row>
    <row r="15" spans="1:28" s="127" customFormat="1" ht="25">
      <c r="A15" s="636">
        <v>544</v>
      </c>
      <c r="B15" s="637" t="s">
        <v>33</v>
      </c>
      <c r="C15" s="636" t="s">
        <v>2725</v>
      </c>
      <c r="D15" s="637" t="s">
        <v>77</v>
      </c>
      <c r="E15" s="637" t="s">
        <v>436</v>
      </c>
      <c r="F15" s="636">
        <v>22350</v>
      </c>
      <c r="G15" s="637" t="s">
        <v>41</v>
      </c>
      <c r="H15" s="637" t="s">
        <v>1163</v>
      </c>
      <c r="I15" s="637" t="s">
        <v>58</v>
      </c>
      <c r="J15" s="636">
        <v>22</v>
      </c>
      <c r="K15" s="636">
        <v>2</v>
      </c>
      <c r="L15" s="637" t="s">
        <v>52</v>
      </c>
      <c r="M15" s="637" t="s">
        <v>50</v>
      </c>
      <c r="N15" s="637" t="s">
        <v>66</v>
      </c>
      <c r="O15" s="637" t="s">
        <v>67</v>
      </c>
      <c r="P15" s="637" t="s">
        <v>47</v>
      </c>
      <c r="Q15" s="638">
        <v>0</v>
      </c>
      <c r="R15" s="638">
        <v>0</v>
      </c>
      <c r="S15" s="638">
        <v>0</v>
      </c>
      <c r="T15" s="638">
        <v>0</v>
      </c>
      <c r="U15" s="638">
        <v>0</v>
      </c>
      <c r="V15" s="636">
        <v>2022</v>
      </c>
      <c r="W15" s="640" t="s">
        <v>3934</v>
      </c>
      <c r="X15" s="641" t="str">
        <f t="shared" si="2"/>
        <v/>
      </c>
      <c r="Y15" s="642" t="str">
        <f t="shared" si="3"/>
        <v/>
      </c>
      <c r="Z15" s="642" t="str">
        <f t="shared" si="1"/>
        <v/>
      </c>
    </row>
    <row r="16" spans="1:28" s="127" customFormat="1" ht="25">
      <c r="A16" s="636">
        <v>544</v>
      </c>
      <c r="B16" s="637" t="s">
        <v>33</v>
      </c>
      <c r="C16" s="636" t="s">
        <v>2725</v>
      </c>
      <c r="D16" s="637" t="s">
        <v>77</v>
      </c>
      <c r="E16" s="637" t="s">
        <v>436</v>
      </c>
      <c r="F16" s="636">
        <v>22350</v>
      </c>
      <c r="G16" s="637" t="s">
        <v>41</v>
      </c>
      <c r="H16" s="637" t="s">
        <v>1163</v>
      </c>
      <c r="I16" s="637" t="s">
        <v>58</v>
      </c>
      <c r="J16" s="636">
        <v>22</v>
      </c>
      <c r="K16" s="636">
        <v>2</v>
      </c>
      <c r="L16" s="637" t="s">
        <v>52</v>
      </c>
      <c r="M16" s="637" t="s">
        <v>50</v>
      </c>
      <c r="N16" s="637" t="s">
        <v>76</v>
      </c>
      <c r="O16" s="637" t="s">
        <v>67</v>
      </c>
      <c r="P16" s="637" t="s">
        <v>47</v>
      </c>
      <c r="Q16" s="638">
        <v>6785</v>
      </c>
      <c r="R16" s="638">
        <v>6785</v>
      </c>
      <c r="S16" s="638">
        <v>37899</v>
      </c>
      <c r="T16" s="638">
        <v>37899</v>
      </c>
      <c r="U16" s="638">
        <v>572.779</v>
      </c>
      <c r="V16" s="636">
        <v>2022</v>
      </c>
      <c r="W16" s="640" t="s">
        <v>3934</v>
      </c>
      <c r="X16" s="641">
        <f t="shared" si="2"/>
        <v>66.166881118197423</v>
      </c>
      <c r="Y16" s="642" t="str">
        <f t="shared" si="3"/>
        <v/>
      </c>
      <c r="Z16" s="642" t="str">
        <f t="shared" si="1"/>
        <v/>
      </c>
    </row>
    <row r="17" spans="1:26" s="127" customFormat="1" ht="25">
      <c r="A17" s="636">
        <v>544</v>
      </c>
      <c r="B17" s="637" t="s">
        <v>33</v>
      </c>
      <c r="C17" s="636" t="s">
        <v>2725</v>
      </c>
      <c r="D17" s="637" t="s">
        <v>77</v>
      </c>
      <c r="E17" s="637" t="s">
        <v>436</v>
      </c>
      <c r="F17" s="636">
        <v>22350</v>
      </c>
      <c r="G17" s="637" t="s">
        <v>41</v>
      </c>
      <c r="H17" s="637" t="s">
        <v>1163</v>
      </c>
      <c r="I17" s="637" t="s">
        <v>58</v>
      </c>
      <c r="J17" s="636">
        <v>22</v>
      </c>
      <c r="K17" s="636">
        <v>2</v>
      </c>
      <c r="L17" s="637" t="s">
        <v>52</v>
      </c>
      <c r="M17" s="637" t="s">
        <v>50</v>
      </c>
      <c r="N17" s="637" t="s">
        <v>39</v>
      </c>
      <c r="O17" s="637" t="s">
        <v>39</v>
      </c>
      <c r="P17" s="637" t="s">
        <v>1020</v>
      </c>
      <c r="Q17" s="638">
        <v>4571</v>
      </c>
      <c r="R17" s="638">
        <v>4571</v>
      </c>
      <c r="S17" s="638">
        <v>4712</v>
      </c>
      <c r="T17" s="638">
        <v>4712</v>
      </c>
      <c r="U17" s="638">
        <v>71.221000000000004</v>
      </c>
      <c r="V17" s="636">
        <v>2022</v>
      </c>
      <c r="W17" s="640" t="s">
        <v>3934</v>
      </c>
      <c r="X17" s="641">
        <f t="shared" si="2"/>
        <v>66.160261720559944</v>
      </c>
      <c r="Y17" s="642" t="str">
        <f t="shared" si="3"/>
        <v/>
      </c>
      <c r="Z17" s="642" t="str">
        <f t="shared" si="1"/>
        <v/>
      </c>
    </row>
    <row r="18" spans="1:26" s="127" customFormat="1" ht="25">
      <c r="A18" s="636">
        <v>544</v>
      </c>
      <c r="B18" s="637" t="s">
        <v>33</v>
      </c>
      <c r="C18" s="636" t="s">
        <v>2725</v>
      </c>
      <c r="D18" s="637" t="s">
        <v>77</v>
      </c>
      <c r="E18" s="637" t="s">
        <v>436</v>
      </c>
      <c r="F18" s="636">
        <v>22350</v>
      </c>
      <c r="G18" s="637" t="s">
        <v>41</v>
      </c>
      <c r="H18" s="637" t="s">
        <v>1163</v>
      </c>
      <c r="I18" s="637" t="s">
        <v>58</v>
      </c>
      <c r="J18" s="636">
        <v>22</v>
      </c>
      <c r="K18" s="636">
        <v>2</v>
      </c>
      <c r="L18" s="637" t="s">
        <v>52</v>
      </c>
      <c r="M18" s="637" t="s">
        <v>50</v>
      </c>
      <c r="N18" s="637" t="s">
        <v>61</v>
      </c>
      <c r="O18" s="637" t="s">
        <v>61</v>
      </c>
      <c r="P18" s="637" t="s">
        <v>47</v>
      </c>
      <c r="Q18" s="638">
        <v>0</v>
      </c>
      <c r="R18" s="638">
        <v>0</v>
      </c>
      <c r="S18" s="638">
        <v>0</v>
      </c>
      <c r="T18" s="638">
        <v>0</v>
      </c>
      <c r="U18" s="638">
        <v>0</v>
      </c>
      <c r="V18" s="636">
        <v>2022</v>
      </c>
      <c r="W18" s="640" t="s">
        <v>3934</v>
      </c>
      <c r="X18" s="641" t="str">
        <f t="shared" si="2"/>
        <v/>
      </c>
      <c r="Y18" s="642" t="str">
        <f t="shared" si="3"/>
        <v/>
      </c>
      <c r="Z18" s="642" t="str">
        <f t="shared" si="1"/>
        <v/>
      </c>
    </row>
    <row r="19" spans="1:26" s="127" customFormat="1" ht="25">
      <c r="A19" s="636">
        <v>546</v>
      </c>
      <c r="B19" s="637" t="s">
        <v>33</v>
      </c>
      <c r="C19" s="636" t="s">
        <v>2725</v>
      </c>
      <c r="D19" s="637" t="s">
        <v>78</v>
      </c>
      <c r="E19" s="637" t="s">
        <v>79</v>
      </c>
      <c r="F19" s="636">
        <v>22380</v>
      </c>
      <c r="G19" s="637" t="s">
        <v>41</v>
      </c>
      <c r="H19" s="637" t="s">
        <v>1163</v>
      </c>
      <c r="I19" s="637" t="s">
        <v>58</v>
      </c>
      <c r="J19" s="636">
        <v>22</v>
      </c>
      <c r="K19" s="636">
        <v>2</v>
      </c>
      <c r="L19" s="637" t="s">
        <v>52</v>
      </c>
      <c r="M19" s="637" t="s">
        <v>51</v>
      </c>
      <c r="N19" s="637" t="s">
        <v>46</v>
      </c>
      <c r="O19" s="637" t="s">
        <v>46</v>
      </c>
      <c r="P19" s="637" t="s">
        <v>47</v>
      </c>
      <c r="Q19" s="638">
        <v>316</v>
      </c>
      <c r="R19" s="638">
        <v>316</v>
      </c>
      <c r="S19" s="638">
        <v>1833</v>
      </c>
      <c r="T19" s="638">
        <v>1833</v>
      </c>
      <c r="U19" s="638">
        <v>158</v>
      </c>
      <c r="V19" s="636">
        <v>2022</v>
      </c>
      <c r="W19" s="640"/>
      <c r="X19" s="641">
        <f t="shared" si="2"/>
        <v>11.601265822784811</v>
      </c>
      <c r="Y19" s="642" t="str">
        <f t="shared" si="3"/>
        <v/>
      </c>
      <c r="Z19" s="642" t="str">
        <f t="shared" si="1"/>
        <v/>
      </c>
    </row>
    <row r="20" spans="1:26" s="127" customFormat="1" ht="25">
      <c r="A20" s="636">
        <v>546</v>
      </c>
      <c r="B20" s="637" t="s">
        <v>33</v>
      </c>
      <c r="C20" s="636" t="s">
        <v>2725</v>
      </c>
      <c r="D20" s="637" t="s">
        <v>78</v>
      </c>
      <c r="E20" s="637" t="s">
        <v>79</v>
      </c>
      <c r="F20" s="636">
        <v>22380</v>
      </c>
      <c r="G20" s="637" t="s">
        <v>41</v>
      </c>
      <c r="H20" s="637" t="s">
        <v>1163</v>
      </c>
      <c r="I20" s="637" t="s">
        <v>58</v>
      </c>
      <c r="J20" s="636">
        <v>22</v>
      </c>
      <c r="K20" s="636">
        <v>2</v>
      </c>
      <c r="L20" s="637" t="s">
        <v>52</v>
      </c>
      <c r="M20" s="637" t="s">
        <v>42</v>
      </c>
      <c r="N20" s="637" t="s">
        <v>46</v>
      </c>
      <c r="O20" s="637" t="s">
        <v>46</v>
      </c>
      <c r="P20" s="637" t="s">
        <v>47</v>
      </c>
      <c r="Q20" s="638">
        <v>2749</v>
      </c>
      <c r="R20" s="638">
        <v>2749</v>
      </c>
      <c r="S20" s="638">
        <v>15944</v>
      </c>
      <c r="T20" s="638">
        <v>15944</v>
      </c>
      <c r="U20" s="638">
        <v>267.37299999999999</v>
      </c>
      <c r="V20" s="636">
        <v>2022</v>
      </c>
      <c r="W20" s="640" t="s">
        <v>3934</v>
      </c>
      <c r="X20" s="641">
        <f t="shared" si="2"/>
        <v>59.632049608599225</v>
      </c>
      <c r="Y20" s="642" t="str">
        <f t="shared" si="3"/>
        <v/>
      </c>
      <c r="Z20" s="642" t="str">
        <f t="shared" si="1"/>
        <v/>
      </c>
    </row>
    <row r="21" spans="1:26" s="127" customFormat="1" ht="25">
      <c r="A21" s="636">
        <v>546</v>
      </c>
      <c r="B21" s="637" t="s">
        <v>33</v>
      </c>
      <c r="C21" s="636" t="s">
        <v>2725</v>
      </c>
      <c r="D21" s="637" t="s">
        <v>78</v>
      </c>
      <c r="E21" s="637" t="s">
        <v>79</v>
      </c>
      <c r="F21" s="636">
        <v>22380</v>
      </c>
      <c r="G21" s="637" t="s">
        <v>41</v>
      </c>
      <c r="H21" s="637" t="s">
        <v>1163</v>
      </c>
      <c r="I21" s="637" t="s">
        <v>58</v>
      </c>
      <c r="J21" s="636">
        <v>22</v>
      </c>
      <c r="K21" s="636">
        <v>2</v>
      </c>
      <c r="L21" s="637" t="s">
        <v>52</v>
      </c>
      <c r="M21" s="637" t="s">
        <v>42</v>
      </c>
      <c r="N21" s="637" t="s">
        <v>39</v>
      </c>
      <c r="O21" s="637" t="s">
        <v>39</v>
      </c>
      <c r="P21" s="637" t="s">
        <v>1020</v>
      </c>
      <c r="Q21" s="638">
        <v>393374</v>
      </c>
      <c r="R21" s="638">
        <v>393374</v>
      </c>
      <c r="S21" s="638">
        <v>405176</v>
      </c>
      <c r="T21" s="638">
        <v>405176</v>
      </c>
      <c r="U21" s="638">
        <v>19537.662</v>
      </c>
      <c r="V21" s="636">
        <v>2022</v>
      </c>
      <c r="W21" s="640" t="s">
        <v>3934</v>
      </c>
      <c r="X21" s="641">
        <f t="shared" si="2"/>
        <v>20.738202964100822</v>
      </c>
      <c r="Y21" s="642" t="str">
        <f t="shared" si="3"/>
        <v/>
      </c>
      <c r="Z21" s="642" t="str">
        <f t="shared" si="1"/>
        <v/>
      </c>
    </row>
    <row r="22" spans="1:26" s="127" customFormat="1" ht="25">
      <c r="A22" s="636">
        <v>546</v>
      </c>
      <c r="B22" s="637" t="s">
        <v>33</v>
      </c>
      <c r="C22" s="636" t="s">
        <v>2725</v>
      </c>
      <c r="D22" s="637" t="s">
        <v>78</v>
      </c>
      <c r="E22" s="637" t="s">
        <v>79</v>
      </c>
      <c r="F22" s="636">
        <v>22380</v>
      </c>
      <c r="G22" s="637" t="s">
        <v>41</v>
      </c>
      <c r="H22" s="637" t="s">
        <v>1163</v>
      </c>
      <c r="I22" s="637" t="s">
        <v>58</v>
      </c>
      <c r="J22" s="636">
        <v>22</v>
      </c>
      <c r="K22" s="636">
        <v>2</v>
      </c>
      <c r="L22" s="637" t="s">
        <v>52</v>
      </c>
      <c r="M22" s="637" t="s">
        <v>42</v>
      </c>
      <c r="N22" s="637" t="s">
        <v>61</v>
      </c>
      <c r="O22" s="637" t="s">
        <v>61</v>
      </c>
      <c r="P22" s="637" t="s">
        <v>47</v>
      </c>
      <c r="Q22" s="638">
        <v>185770</v>
      </c>
      <c r="R22" s="638">
        <v>185770</v>
      </c>
      <c r="S22" s="638">
        <v>1170351</v>
      </c>
      <c r="T22" s="638">
        <v>1170351</v>
      </c>
      <c r="U22" s="638">
        <v>77456.964999999997</v>
      </c>
      <c r="V22" s="636">
        <v>2022</v>
      </c>
      <c r="W22" s="640" t="s">
        <v>3934</v>
      </c>
      <c r="X22" s="641">
        <f t="shared" si="2"/>
        <v>15.109693492379931</v>
      </c>
      <c r="Y22" s="642" t="str">
        <f t="shared" si="3"/>
        <v/>
      </c>
      <c r="Z22" s="642" t="str">
        <f t="shared" si="1"/>
        <v/>
      </c>
    </row>
    <row r="23" spans="1:26" s="127" customFormat="1" ht="25">
      <c r="A23" s="636">
        <v>547</v>
      </c>
      <c r="B23" s="637" t="s">
        <v>33</v>
      </c>
      <c r="C23" s="636" t="s">
        <v>2725</v>
      </c>
      <c r="D23" s="637" t="s">
        <v>80</v>
      </c>
      <c r="E23" s="637" t="s">
        <v>1164</v>
      </c>
      <c r="F23" s="636">
        <v>58185</v>
      </c>
      <c r="G23" s="637" t="s">
        <v>81</v>
      </c>
      <c r="H23" s="637" t="s">
        <v>1163</v>
      </c>
      <c r="I23" s="637" t="s">
        <v>58</v>
      </c>
      <c r="J23" s="636">
        <v>22</v>
      </c>
      <c r="K23" s="636">
        <v>2</v>
      </c>
      <c r="L23" s="637" t="s">
        <v>52</v>
      </c>
      <c r="M23" s="637" t="s">
        <v>59</v>
      </c>
      <c r="N23" s="637" t="s">
        <v>36</v>
      </c>
      <c r="O23" s="637" t="s">
        <v>60</v>
      </c>
      <c r="P23" s="637" t="s">
        <v>2726</v>
      </c>
      <c r="Q23" s="638">
        <v>1079095</v>
      </c>
      <c r="R23" s="638">
        <v>1079095</v>
      </c>
      <c r="S23" s="638">
        <v>0</v>
      </c>
      <c r="T23" s="638">
        <v>0</v>
      </c>
      <c r="U23" s="638">
        <v>-270305</v>
      </c>
      <c r="V23" s="636">
        <v>2022</v>
      </c>
      <c r="W23" s="640"/>
      <c r="X23" s="641" t="str">
        <f t="shared" si="2"/>
        <v/>
      </c>
      <c r="Y23" s="642" t="str">
        <f t="shared" si="3"/>
        <v/>
      </c>
      <c r="Z23" s="642" t="str">
        <f t="shared" si="1"/>
        <v/>
      </c>
    </row>
    <row r="24" spans="1:26" s="127" customFormat="1" ht="25">
      <c r="A24" s="636">
        <v>551</v>
      </c>
      <c r="B24" s="637" t="s">
        <v>33</v>
      </c>
      <c r="C24" s="636" t="s">
        <v>2725</v>
      </c>
      <c r="D24" s="637" t="s">
        <v>556</v>
      </c>
      <c r="E24" s="637" t="s">
        <v>74</v>
      </c>
      <c r="F24" s="636">
        <v>54895</v>
      </c>
      <c r="G24" s="637" t="s">
        <v>41</v>
      </c>
      <c r="H24" s="637" t="s">
        <v>1163</v>
      </c>
      <c r="I24" s="637" t="s">
        <v>58</v>
      </c>
      <c r="J24" s="636">
        <v>22</v>
      </c>
      <c r="K24" s="636">
        <v>2</v>
      </c>
      <c r="L24" s="637" t="s">
        <v>52</v>
      </c>
      <c r="M24" s="637" t="s">
        <v>35</v>
      </c>
      <c r="N24" s="637" t="s">
        <v>36</v>
      </c>
      <c r="O24" s="637" t="s">
        <v>37</v>
      </c>
      <c r="P24" s="637" t="s">
        <v>1156</v>
      </c>
      <c r="Q24" s="638">
        <v>0</v>
      </c>
      <c r="R24" s="638">
        <v>0</v>
      </c>
      <c r="S24" s="638">
        <v>19926</v>
      </c>
      <c r="T24" s="638">
        <v>19926</v>
      </c>
      <c r="U24" s="638">
        <v>5840</v>
      </c>
      <c r="V24" s="636">
        <v>2022</v>
      </c>
      <c r="W24" s="640"/>
      <c r="X24" s="641">
        <f t="shared" si="2"/>
        <v>3.411986301369863</v>
      </c>
      <c r="Y24" s="642" t="str">
        <f t="shared" si="3"/>
        <v/>
      </c>
      <c r="Z24" s="642" t="str">
        <f t="shared" si="1"/>
        <v/>
      </c>
    </row>
    <row r="25" spans="1:26" s="127" customFormat="1" ht="25">
      <c r="A25" s="636">
        <v>552</v>
      </c>
      <c r="B25" s="637" t="s">
        <v>33</v>
      </c>
      <c r="C25" s="636" t="s">
        <v>2725</v>
      </c>
      <c r="D25" s="637" t="s">
        <v>557</v>
      </c>
      <c r="E25" s="637" t="s">
        <v>74</v>
      </c>
      <c r="F25" s="636">
        <v>54895</v>
      </c>
      <c r="G25" s="637" t="s">
        <v>41</v>
      </c>
      <c r="H25" s="637" t="s">
        <v>1163</v>
      </c>
      <c r="I25" s="637" t="s">
        <v>58</v>
      </c>
      <c r="J25" s="636">
        <v>22</v>
      </c>
      <c r="K25" s="636">
        <v>2</v>
      </c>
      <c r="L25" s="637" t="s">
        <v>52</v>
      </c>
      <c r="M25" s="637" t="s">
        <v>35</v>
      </c>
      <c r="N25" s="637" t="s">
        <v>36</v>
      </c>
      <c r="O25" s="637" t="s">
        <v>37</v>
      </c>
      <c r="P25" s="637" t="s">
        <v>1156</v>
      </c>
      <c r="Q25" s="638">
        <v>0</v>
      </c>
      <c r="R25" s="638">
        <v>0</v>
      </c>
      <c r="S25" s="638">
        <v>340260</v>
      </c>
      <c r="T25" s="638">
        <v>340260</v>
      </c>
      <c r="U25" s="638">
        <v>99724</v>
      </c>
      <c r="V25" s="636">
        <v>2022</v>
      </c>
      <c r="W25" s="640"/>
      <c r="X25" s="641">
        <f t="shared" si="2"/>
        <v>3.4120171673819741</v>
      </c>
      <c r="Y25" s="642" t="str">
        <f t="shared" si="3"/>
        <v/>
      </c>
      <c r="Z25" s="642" t="str">
        <f t="shared" si="1"/>
        <v/>
      </c>
    </row>
    <row r="26" spans="1:26" s="127" customFormat="1" ht="25">
      <c r="A26" s="636">
        <v>553</v>
      </c>
      <c r="B26" s="637" t="s">
        <v>33</v>
      </c>
      <c r="C26" s="636" t="s">
        <v>2725</v>
      </c>
      <c r="D26" s="637" t="s">
        <v>558</v>
      </c>
      <c r="E26" s="637" t="s">
        <v>74</v>
      </c>
      <c r="F26" s="636">
        <v>54895</v>
      </c>
      <c r="G26" s="637" t="s">
        <v>41</v>
      </c>
      <c r="H26" s="637" t="s">
        <v>1163</v>
      </c>
      <c r="I26" s="637" t="s">
        <v>58</v>
      </c>
      <c r="J26" s="636">
        <v>22</v>
      </c>
      <c r="K26" s="636">
        <v>2</v>
      </c>
      <c r="L26" s="637" t="s">
        <v>52</v>
      </c>
      <c r="M26" s="637" t="s">
        <v>35</v>
      </c>
      <c r="N26" s="637" t="s">
        <v>36</v>
      </c>
      <c r="O26" s="637" t="s">
        <v>37</v>
      </c>
      <c r="P26" s="637" t="s">
        <v>1156</v>
      </c>
      <c r="Q26" s="638">
        <v>0</v>
      </c>
      <c r="R26" s="638">
        <v>0</v>
      </c>
      <c r="S26" s="638">
        <v>210015</v>
      </c>
      <c r="T26" s="638">
        <v>210015</v>
      </c>
      <c r="U26" s="638">
        <v>61552</v>
      </c>
      <c r="V26" s="636">
        <v>2022</v>
      </c>
      <c r="W26" s="640"/>
      <c r="X26" s="641">
        <f t="shared" si="2"/>
        <v>3.4119931115154665</v>
      </c>
      <c r="Y26" s="642" t="str">
        <f t="shared" si="3"/>
        <v/>
      </c>
      <c r="Z26" s="642" t="str">
        <f t="shared" si="1"/>
        <v/>
      </c>
    </row>
    <row r="27" spans="1:26" s="127" customFormat="1" ht="25">
      <c r="A27" s="636">
        <v>554</v>
      </c>
      <c r="B27" s="637" t="s">
        <v>33</v>
      </c>
      <c r="C27" s="636" t="s">
        <v>2725</v>
      </c>
      <c r="D27" s="637" t="s">
        <v>559</v>
      </c>
      <c r="E27" s="637" t="s">
        <v>74</v>
      </c>
      <c r="F27" s="636">
        <v>54895</v>
      </c>
      <c r="G27" s="637" t="s">
        <v>41</v>
      </c>
      <c r="H27" s="637" t="s">
        <v>1163</v>
      </c>
      <c r="I27" s="637" t="s">
        <v>58</v>
      </c>
      <c r="J27" s="636">
        <v>22</v>
      </c>
      <c r="K27" s="636">
        <v>2</v>
      </c>
      <c r="L27" s="637" t="s">
        <v>52</v>
      </c>
      <c r="M27" s="637" t="s">
        <v>35</v>
      </c>
      <c r="N27" s="637" t="s">
        <v>36</v>
      </c>
      <c r="O27" s="637" t="s">
        <v>37</v>
      </c>
      <c r="P27" s="637" t="s">
        <v>1156</v>
      </c>
      <c r="Q27" s="638">
        <v>0</v>
      </c>
      <c r="R27" s="638">
        <v>0</v>
      </c>
      <c r="S27" s="638">
        <v>11632</v>
      </c>
      <c r="T27" s="638">
        <v>11632</v>
      </c>
      <c r="U27" s="638">
        <v>3409</v>
      </c>
      <c r="V27" s="636">
        <v>2022</v>
      </c>
      <c r="W27" s="640"/>
      <c r="X27" s="641">
        <f t="shared" si="2"/>
        <v>3.412144323848636</v>
      </c>
      <c r="Y27" s="642" t="str">
        <f t="shared" si="3"/>
        <v/>
      </c>
      <c r="Z27" s="642" t="str">
        <f t="shared" si="1"/>
        <v/>
      </c>
    </row>
    <row r="28" spans="1:26" s="127" customFormat="1" ht="25">
      <c r="A28" s="636">
        <v>557</v>
      </c>
      <c r="B28" s="637" t="s">
        <v>33</v>
      </c>
      <c r="C28" s="636" t="s">
        <v>2725</v>
      </c>
      <c r="D28" s="637" t="s">
        <v>560</v>
      </c>
      <c r="E28" s="637" t="s">
        <v>74</v>
      </c>
      <c r="F28" s="636">
        <v>54895</v>
      </c>
      <c r="G28" s="637" t="s">
        <v>41</v>
      </c>
      <c r="H28" s="637" t="s">
        <v>1163</v>
      </c>
      <c r="I28" s="637" t="s">
        <v>58</v>
      </c>
      <c r="J28" s="636">
        <v>22</v>
      </c>
      <c r="K28" s="636">
        <v>2</v>
      </c>
      <c r="L28" s="637" t="s">
        <v>52</v>
      </c>
      <c r="M28" s="637" t="s">
        <v>50</v>
      </c>
      <c r="N28" s="637" t="s">
        <v>46</v>
      </c>
      <c r="O28" s="637" t="s">
        <v>46</v>
      </c>
      <c r="P28" s="637" t="s">
        <v>47</v>
      </c>
      <c r="Q28" s="638">
        <v>0</v>
      </c>
      <c r="R28" s="638">
        <v>0</v>
      </c>
      <c r="S28" s="638">
        <v>0</v>
      </c>
      <c r="T28" s="638">
        <v>0</v>
      </c>
      <c r="U28" s="638">
        <v>0</v>
      </c>
      <c r="V28" s="636">
        <v>2022</v>
      </c>
      <c r="W28" s="640"/>
      <c r="X28" s="641" t="str">
        <f t="shared" si="2"/>
        <v/>
      </c>
      <c r="Y28" s="642" t="str">
        <f t="shared" si="3"/>
        <v/>
      </c>
      <c r="Z28" s="642" t="str">
        <f t="shared" si="1"/>
        <v/>
      </c>
    </row>
    <row r="29" spans="1:26" s="127" customFormat="1" ht="25">
      <c r="A29" s="636">
        <v>557</v>
      </c>
      <c r="B29" s="637" t="s">
        <v>33</v>
      </c>
      <c r="C29" s="636" t="s">
        <v>2725</v>
      </c>
      <c r="D29" s="637" t="s">
        <v>560</v>
      </c>
      <c r="E29" s="637" t="s">
        <v>74</v>
      </c>
      <c r="F29" s="636">
        <v>54895</v>
      </c>
      <c r="G29" s="637" t="s">
        <v>41</v>
      </c>
      <c r="H29" s="637" t="s">
        <v>1163</v>
      </c>
      <c r="I29" s="637" t="s">
        <v>58</v>
      </c>
      <c r="J29" s="636">
        <v>22</v>
      </c>
      <c r="K29" s="636">
        <v>2</v>
      </c>
      <c r="L29" s="637" t="s">
        <v>52</v>
      </c>
      <c r="M29" s="637" t="s">
        <v>50</v>
      </c>
      <c r="N29" s="637" t="s">
        <v>66</v>
      </c>
      <c r="O29" s="637" t="s">
        <v>67</v>
      </c>
      <c r="P29" s="637" t="s">
        <v>47</v>
      </c>
      <c r="Q29" s="638">
        <v>380</v>
      </c>
      <c r="R29" s="638">
        <v>380</v>
      </c>
      <c r="S29" s="638">
        <v>2280</v>
      </c>
      <c r="T29" s="638">
        <v>2280</v>
      </c>
      <c r="U29" s="638">
        <v>149</v>
      </c>
      <c r="V29" s="636">
        <v>2022</v>
      </c>
      <c r="W29" s="640"/>
      <c r="X29" s="641">
        <f t="shared" si="2"/>
        <v>15.302013422818792</v>
      </c>
      <c r="Y29" s="642" t="str">
        <f t="shared" si="3"/>
        <v/>
      </c>
      <c r="Z29" s="642" t="str">
        <f t="shared" si="1"/>
        <v/>
      </c>
    </row>
    <row r="30" spans="1:26" s="127" customFormat="1" ht="25">
      <c r="A30" s="636">
        <v>557</v>
      </c>
      <c r="B30" s="637" t="s">
        <v>33</v>
      </c>
      <c r="C30" s="636" t="s">
        <v>2725</v>
      </c>
      <c r="D30" s="637" t="s">
        <v>560</v>
      </c>
      <c r="E30" s="637" t="s">
        <v>74</v>
      </c>
      <c r="F30" s="636">
        <v>54895</v>
      </c>
      <c r="G30" s="637" t="s">
        <v>41</v>
      </c>
      <c r="H30" s="637" t="s">
        <v>1163</v>
      </c>
      <c r="I30" s="637" t="s">
        <v>58</v>
      </c>
      <c r="J30" s="636">
        <v>22</v>
      </c>
      <c r="K30" s="636">
        <v>2</v>
      </c>
      <c r="L30" s="637" t="s">
        <v>52</v>
      </c>
      <c r="M30" s="637" t="s">
        <v>35</v>
      </c>
      <c r="N30" s="637" t="s">
        <v>36</v>
      </c>
      <c r="O30" s="637" t="s">
        <v>37</v>
      </c>
      <c r="P30" s="637" t="s">
        <v>1156</v>
      </c>
      <c r="Q30" s="638">
        <v>0</v>
      </c>
      <c r="R30" s="638">
        <v>0</v>
      </c>
      <c r="S30" s="638">
        <v>24392</v>
      </c>
      <c r="T30" s="638">
        <v>24392</v>
      </c>
      <c r="U30" s="638">
        <v>7149</v>
      </c>
      <c r="V30" s="636">
        <v>2022</v>
      </c>
      <c r="W30" s="640"/>
      <c r="X30" s="641">
        <f t="shared" si="2"/>
        <v>3.4119457266750595</v>
      </c>
      <c r="Y30" s="642" t="str">
        <f t="shared" si="3"/>
        <v/>
      </c>
      <c r="Z30" s="642" t="str">
        <f t="shared" si="1"/>
        <v/>
      </c>
    </row>
    <row r="31" spans="1:26" s="127" customFormat="1" ht="25">
      <c r="A31" s="636">
        <v>559</v>
      </c>
      <c r="B31" s="637" t="s">
        <v>33</v>
      </c>
      <c r="C31" s="636" t="s">
        <v>2725</v>
      </c>
      <c r="D31" s="637" t="s">
        <v>1539</v>
      </c>
      <c r="E31" s="637" t="s">
        <v>561</v>
      </c>
      <c r="F31" s="636">
        <v>6207</v>
      </c>
      <c r="G31" s="637" t="s">
        <v>41</v>
      </c>
      <c r="H31" s="637" t="s">
        <v>1163</v>
      </c>
      <c r="I31" s="637" t="s">
        <v>58</v>
      </c>
      <c r="J31" s="636">
        <v>22</v>
      </c>
      <c r="K31" s="636">
        <v>1</v>
      </c>
      <c r="L31" s="637" t="s">
        <v>34</v>
      </c>
      <c r="M31" s="637" t="s">
        <v>35</v>
      </c>
      <c r="N31" s="637" t="s">
        <v>36</v>
      </c>
      <c r="O31" s="637" t="s">
        <v>37</v>
      </c>
      <c r="P31" s="637" t="s">
        <v>1156</v>
      </c>
      <c r="Q31" s="638">
        <v>0</v>
      </c>
      <c r="R31" s="638">
        <v>0</v>
      </c>
      <c r="S31" s="638">
        <v>86013</v>
      </c>
      <c r="T31" s="638">
        <v>86013</v>
      </c>
      <c r="U31" s="638">
        <v>25209.360000000001</v>
      </c>
      <c r="V31" s="636">
        <v>2022</v>
      </c>
      <c r="W31" s="640"/>
      <c r="X31" s="641">
        <f t="shared" si="2"/>
        <v>3.4119469911175848</v>
      </c>
      <c r="Y31" s="642" t="str">
        <f t="shared" si="3"/>
        <v/>
      </c>
      <c r="Z31" s="642" t="str">
        <f t="shared" si="1"/>
        <v/>
      </c>
    </row>
    <row r="32" spans="1:26" s="127" customFormat="1" ht="25">
      <c r="A32" s="636">
        <v>560</v>
      </c>
      <c r="B32" s="637" t="s">
        <v>33</v>
      </c>
      <c r="C32" s="636" t="s">
        <v>2725</v>
      </c>
      <c r="D32" s="637" t="s">
        <v>562</v>
      </c>
      <c r="E32" s="637" t="s">
        <v>74</v>
      </c>
      <c r="F32" s="636">
        <v>54895</v>
      </c>
      <c r="G32" s="637" t="s">
        <v>41</v>
      </c>
      <c r="H32" s="637" t="s">
        <v>1163</v>
      </c>
      <c r="I32" s="637" t="s">
        <v>58</v>
      </c>
      <c r="J32" s="636">
        <v>22</v>
      </c>
      <c r="K32" s="636">
        <v>2</v>
      </c>
      <c r="L32" s="637" t="s">
        <v>52</v>
      </c>
      <c r="M32" s="637" t="s">
        <v>35</v>
      </c>
      <c r="N32" s="637" t="s">
        <v>36</v>
      </c>
      <c r="O32" s="637" t="s">
        <v>37</v>
      </c>
      <c r="P32" s="637" t="s">
        <v>1156</v>
      </c>
      <c r="Q32" s="638">
        <v>0</v>
      </c>
      <c r="R32" s="638">
        <v>0</v>
      </c>
      <c r="S32" s="638">
        <v>124010</v>
      </c>
      <c r="T32" s="638">
        <v>124010</v>
      </c>
      <c r="U32" s="638">
        <v>36345</v>
      </c>
      <c r="V32" s="636">
        <v>2022</v>
      </c>
      <c r="W32" s="640"/>
      <c r="X32" s="641">
        <f t="shared" si="2"/>
        <v>3.4120236621268401</v>
      </c>
      <c r="Y32" s="642" t="str">
        <f t="shared" si="3"/>
        <v/>
      </c>
      <c r="Z32" s="642" t="str">
        <f t="shared" si="1"/>
        <v/>
      </c>
    </row>
    <row r="33" spans="1:26" s="127" customFormat="1" ht="25">
      <c r="A33" s="636">
        <v>561</v>
      </c>
      <c r="B33" s="637" t="s">
        <v>33</v>
      </c>
      <c r="C33" s="636" t="s">
        <v>2725</v>
      </c>
      <c r="D33" s="637" t="s">
        <v>563</v>
      </c>
      <c r="E33" s="637" t="s">
        <v>553</v>
      </c>
      <c r="F33" s="636">
        <v>22379</v>
      </c>
      <c r="G33" s="637" t="s">
        <v>41</v>
      </c>
      <c r="H33" s="637" t="s">
        <v>1163</v>
      </c>
      <c r="I33" s="637" t="s">
        <v>58</v>
      </c>
      <c r="J33" s="636">
        <v>22</v>
      </c>
      <c r="K33" s="636">
        <v>2</v>
      </c>
      <c r="L33" s="637" t="s">
        <v>52</v>
      </c>
      <c r="M33" s="637" t="s">
        <v>50</v>
      </c>
      <c r="N33" s="637" t="s">
        <v>66</v>
      </c>
      <c r="O33" s="637" t="s">
        <v>67</v>
      </c>
      <c r="P33" s="637" t="s">
        <v>47</v>
      </c>
      <c r="Q33" s="638">
        <v>0</v>
      </c>
      <c r="R33" s="638">
        <v>0</v>
      </c>
      <c r="S33" s="638">
        <v>0</v>
      </c>
      <c r="T33" s="638">
        <v>0</v>
      </c>
      <c r="U33" s="638">
        <v>0</v>
      </c>
      <c r="V33" s="636">
        <v>2022</v>
      </c>
      <c r="W33" s="640"/>
      <c r="X33" s="641" t="str">
        <f t="shared" si="2"/>
        <v/>
      </c>
      <c r="Y33" s="642" t="str">
        <f t="shared" si="3"/>
        <v/>
      </c>
      <c r="Z33" s="642" t="str">
        <f t="shared" si="1"/>
        <v/>
      </c>
    </row>
    <row r="34" spans="1:26" s="127" customFormat="1" ht="25">
      <c r="A34" s="636">
        <v>561</v>
      </c>
      <c r="B34" s="637" t="s">
        <v>33</v>
      </c>
      <c r="C34" s="636" t="s">
        <v>2725</v>
      </c>
      <c r="D34" s="637" t="s">
        <v>563</v>
      </c>
      <c r="E34" s="637" t="s">
        <v>553</v>
      </c>
      <c r="F34" s="636">
        <v>22379</v>
      </c>
      <c r="G34" s="637" t="s">
        <v>41</v>
      </c>
      <c r="H34" s="637" t="s">
        <v>1163</v>
      </c>
      <c r="I34" s="637" t="s">
        <v>58</v>
      </c>
      <c r="J34" s="636">
        <v>22</v>
      </c>
      <c r="K34" s="636">
        <v>2</v>
      </c>
      <c r="L34" s="637" t="s">
        <v>52</v>
      </c>
      <c r="M34" s="637" t="s">
        <v>50</v>
      </c>
      <c r="N34" s="637" t="s">
        <v>76</v>
      </c>
      <c r="O34" s="637" t="s">
        <v>67</v>
      </c>
      <c r="P34" s="637" t="s">
        <v>47</v>
      </c>
      <c r="Q34" s="638">
        <v>1086</v>
      </c>
      <c r="R34" s="638">
        <v>1086</v>
      </c>
      <c r="S34" s="638">
        <v>6082</v>
      </c>
      <c r="T34" s="638">
        <v>6082</v>
      </c>
      <c r="U34" s="638">
        <v>319</v>
      </c>
      <c r="V34" s="636">
        <v>2022</v>
      </c>
      <c r="W34" s="640"/>
      <c r="X34" s="641">
        <f t="shared" si="2"/>
        <v>19.065830721003135</v>
      </c>
      <c r="Y34" s="642" t="str">
        <f t="shared" si="3"/>
        <v/>
      </c>
      <c r="Z34" s="642" t="str">
        <f t="shared" si="1"/>
        <v/>
      </c>
    </row>
    <row r="35" spans="1:26" s="127" customFormat="1" ht="25">
      <c r="A35" s="636">
        <v>562</v>
      </c>
      <c r="B35" s="637" t="s">
        <v>33</v>
      </c>
      <c r="C35" s="636" t="s">
        <v>2725</v>
      </c>
      <c r="D35" s="637" t="s">
        <v>83</v>
      </c>
      <c r="E35" s="637" t="s">
        <v>84</v>
      </c>
      <c r="F35" s="636">
        <v>12490</v>
      </c>
      <c r="G35" s="637" t="s">
        <v>41</v>
      </c>
      <c r="H35" s="637" t="s">
        <v>1163</v>
      </c>
      <c r="I35" s="637" t="s">
        <v>58</v>
      </c>
      <c r="J35" s="636">
        <v>22</v>
      </c>
      <c r="K35" s="636">
        <v>2</v>
      </c>
      <c r="L35" s="637" t="s">
        <v>52</v>
      </c>
      <c r="M35" s="637" t="s">
        <v>50</v>
      </c>
      <c r="N35" s="637" t="s">
        <v>46</v>
      </c>
      <c r="O35" s="637" t="s">
        <v>46</v>
      </c>
      <c r="P35" s="637" t="s">
        <v>47</v>
      </c>
      <c r="Q35" s="638">
        <v>1440</v>
      </c>
      <c r="R35" s="638">
        <v>1440</v>
      </c>
      <c r="S35" s="638">
        <v>8164</v>
      </c>
      <c r="T35" s="638">
        <v>8164</v>
      </c>
      <c r="U35" s="638">
        <v>84</v>
      </c>
      <c r="V35" s="636">
        <v>2022</v>
      </c>
      <c r="W35" s="640" t="s">
        <v>3934</v>
      </c>
      <c r="X35" s="641">
        <f t="shared" si="2"/>
        <v>97.19047619047619</v>
      </c>
      <c r="Y35" s="642" t="str">
        <f t="shared" si="3"/>
        <v/>
      </c>
      <c r="Z35" s="642" t="str">
        <f t="shared" si="1"/>
        <v/>
      </c>
    </row>
    <row r="36" spans="1:26" s="127" customFormat="1" ht="25">
      <c r="A36" s="636">
        <v>562</v>
      </c>
      <c r="B36" s="637" t="s">
        <v>33</v>
      </c>
      <c r="C36" s="636" t="s">
        <v>2725</v>
      </c>
      <c r="D36" s="637" t="s">
        <v>83</v>
      </c>
      <c r="E36" s="637" t="s">
        <v>84</v>
      </c>
      <c r="F36" s="636">
        <v>12490</v>
      </c>
      <c r="G36" s="637" t="s">
        <v>41</v>
      </c>
      <c r="H36" s="637" t="s">
        <v>1163</v>
      </c>
      <c r="I36" s="637" t="s">
        <v>58</v>
      </c>
      <c r="J36" s="636">
        <v>22</v>
      </c>
      <c r="K36" s="636">
        <v>2</v>
      </c>
      <c r="L36" s="637" t="s">
        <v>52</v>
      </c>
      <c r="M36" s="637" t="s">
        <v>50</v>
      </c>
      <c r="N36" s="637" t="s">
        <v>76</v>
      </c>
      <c r="O36" s="637" t="s">
        <v>67</v>
      </c>
      <c r="P36" s="637" t="s">
        <v>47</v>
      </c>
      <c r="Q36" s="638">
        <v>0</v>
      </c>
      <c r="R36" s="638">
        <v>0</v>
      </c>
      <c r="S36" s="638">
        <v>0</v>
      </c>
      <c r="T36" s="638">
        <v>0</v>
      </c>
      <c r="U36" s="638">
        <v>0</v>
      </c>
      <c r="V36" s="636">
        <v>2022</v>
      </c>
      <c r="W36" s="640" t="s">
        <v>3934</v>
      </c>
      <c r="X36" s="641" t="str">
        <f t="shared" si="2"/>
        <v/>
      </c>
      <c r="Y36" s="642" t="str">
        <f t="shared" si="3"/>
        <v/>
      </c>
      <c r="Z36" s="642" t="str">
        <f t="shared" si="1"/>
        <v/>
      </c>
    </row>
    <row r="37" spans="1:26" s="127" customFormat="1" ht="25">
      <c r="A37" s="636">
        <v>562</v>
      </c>
      <c r="B37" s="637" t="s">
        <v>33</v>
      </c>
      <c r="C37" s="636" t="s">
        <v>2725</v>
      </c>
      <c r="D37" s="637" t="s">
        <v>83</v>
      </c>
      <c r="E37" s="637" t="s">
        <v>84</v>
      </c>
      <c r="F37" s="636">
        <v>12490</v>
      </c>
      <c r="G37" s="637" t="s">
        <v>41</v>
      </c>
      <c r="H37" s="637" t="s">
        <v>1163</v>
      </c>
      <c r="I37" s="637" t="s">
        <v>58</v>
      </c>
      <c r="J37" s="636">
        <v>22</v>
      </c>
      <c r="K37" s="636">
        <v>2</v>
      </c>
      <c r="L37" s="637" t="s">
        <v>52</v>
      </c>
      <c r="M37" s="637" t="s">
        <v>42</v>
      </c>
      <c r="N37" s="637" t="s">
        <v>46</v>
      </c>
      <c r="O37" s="637" t="s">
        <v>46</v>
      </c>
      <c r="P37" s="637" t="s">
        <v>47</v>
      </c>
      <c r="Q37" s="638">
        <v>288</v>
      </c>
      <c r="R37" s="638">
        <v>288</v>
      </c>
      <c r="S37" s="638">
        <v>1577</v>
      </c>
      <c r="T37" s="638">
        <v>1577</v>
      </c>
      <c r="U37" s="638">
        <v>88.212999999999994</v>
      </c>
      <c r="V37" s="636">
        <v>2022</v>
      </c>
      <c r="W37" s="640" t="s">
        <v>3934</v>
      </c>
      <c r="X37" s="641">
        <f t="shared" si="2"/>
        <v>17.877183635065126</v>
      </c>
      <c r="Y37" s="642" t="str">
        <f t="shared" si="3"/>
        <v/>
      </c>
      <c r="Z37" s="642" t="str">
        <f t="shared" si="1"/>
        <v/>
      </c>
    </row>
    <row r="38" spans="1:26" s="127" customFormat="1" ht="25">
      <c r="A38" s="636">
        <v>562</v>
      </c>
      <c r="B38" s="637" t="s">
        <v>33</v>
      </c>
      <c r="C38" s="636" t="s">
        <v>2725</v>
      </c>
      <c r="D38" s="637" t="s">
        <v>83</v>
      </c>
      <c r="E38" s="637" t="s">
        <v>84</v>
      </c>
      <c r="F38" s="636">
        <v>12490</v>
      </c>
      <c r="G38" s="637" t="s">
        <v>41</v>
      </c>
      <c r="H38" s="637" t="s">
        <v>1163</v>
      </c>
      <c r="I38" s="637" t="s">
        <v>58</v>
      </c>
      <c r="J38" s="636">
        <v>22</v>
      </c>
      <c r="K38" s="636">
        <v>2</v>
      </c>
      <c r="L38" s="637" t="s">
        <v>52</v>
      </c>
      <c r="M38" s="637" t="s">
        <v>42</v>
      </c>
      <c r="N38" s="637" t="s">
        <v>76</v>
      </c>
      <c r="O38" s="637" t="s">
        <v>67</v>
      </c>
      <c r="P38" s="637" t="s">
        <v>47</v>
      </c>
      <c r="Q38" s="638">
        <v>0</v>
      </c>
      <c r="R38" s="638">
        <v>0</v>
      </c>
      <c r="S38" s="638">
        <v>0</v>
      </c>
      <c r="T38" s="638">
        <v>0</v>
      </c>
      <c r="U38" s="638">
        <v>0</v>
      </c>
      <c r="V38" s="636">
        <v>2022</v>
      </c>
      <c r="W38" s="640" t="s">
        <v>3934</v>
      </c>
      <c r="X38" s="641" t="str">
        <f t="shared" si="2"/>
        <v/>
      </c>
      <c r="Y38" s="642" t="str">
        <f t="shared" si="3"/>
        <v/>
      </c>
      <c r="Z38" s="642" t="str">
        <f t="shared" si="1"/>
        <v/>
      </c>
    </row>
    <row r="39" spans="1:26" s="127" customFormat="1" ht="25">
      <c r="A39" s="636">
        <v>562</v>
      </c>
      <c r="B39" s="637" t="s">
        <v>33</v>
      </c>
      <c r="C39" s="636" t="s">
        <v>2725</v>
      </c>
      <c r="D39" s="637" t="s">
        <v>83</v>
      </c>
      <c r="E39" s="637" t="s">
        <v>84</v>
      </c>
      <c r="F39" s="636">
        <v>12490</v>
      </c>
      <c r="G39" s="637" t="s">
        <v>41</v>
      </c>
      <c r="H39" s="637" t="s">
        <v>1163</v>
      </c>
      <c r="I39" s="637" t="s">
        <v>58</v>
      </c>
      <c r="J39" s="636">
        <v>22</v>
      </c>
      <c r="K39" s="636">
        <v>2</v>
      </c>
      <c r="L39" s="637" t="s">
        <v>52</v>
      </c>
      <c r="M39" s="637" t="s">
        <v>42</v>
      </c>
      <c r="N39" s="637" t="s">
        <v>39</v>
      </c>
      <c r="O39" s="637" t="s">
        <v>39</v>
      </c>
      <c r="P39" s="637" t="s">
        <v>1020</v>
      </c>
      <c r="Q39" s="638">
        <v>930318</v>
      </c>
      <c r="R39" s="638">
        <v>930318</v>
      </c>
      <c r="S39" s="638">
        <v>954505</v>
      </c>
      <c r="T39" s="638">
        <v>954505</v>
      </c>
      <c r="U39" s="638">
        <v>52968.682999999997</v>
      </c>
      <c r="V39" s="636">
        <v>2022</v>
      </c>
      <c r="W39" s="640" t="s">
        <v>3934</v>
      </c>
      <c r="X39" s="641">
        <f t="shared" si="2"/>
        <v>18.020176185992771</v>
      </c>
      <c r="Y39" s="642" t="str">
        <f t="shared" si="3"/>
        <v/>
      </c>
      <c r="Z39" s="642" t="str">
        <f t="shared" si="1"/>
        <v/>
      </c>
    </row>
    <row r="40" spans="1:26" s="127" customFormat="1" ht="25">
      <c r="A40" s="636">
        <v>562</v>
      </c>
      <c r="B40" s="637" t="s">
        <v>33</v>
      </c>
      <c r="C40" s="636" t="s">
        <v>2725</v>
      </c>
      <c r="D40" s="637" t="s">
        <v>83</v>
      </c>
      <c r="E40" s="637" t="s">
        <v>84</v>
      </c>
      <c r="F40" s="636">
        <v>12490</v>
      </c>
      <c r="G40" s="637" t="s">
        <v>41</v>
      </c>
      <c r="H40" s="637" t="s">
        <v>1163</v>
      </c>
      <c r="I40" s="637" t="s">
        <v>58</v>
      </c>
      <c r="J40" s="636">
        <v>22</v>
      </c>
      <c r="K40" s="636">
        <v>2</v>
      </c>
      <c r="L40" s="637" t="s">
        <v>52</v>
      </c>
      <c r="M40" s="637" t="s">
        <v>42</v>
      </c>
      <c r="N40" s="637" t="s">
        <v>61</v>
      </c>
      <c r="O40" s="637" t="s">
        <v>61</v>
      </c>
      <c r="P40" s="637" t="s">
        <v>47</v>
      </c>
      <c r="Q40" s="638">
        <v>247088</v>
      </c>
      <c r="R40" s="638">
        <v>247088</v>
      </c>
      <c r="S40" s="638">
        <v>1519003</v>
      </c>
      <c r="T40" s="638">
        <v>1519003</v>
      </c>
      <c r="U40" s="638">
        <v>135099.1</v>
      </c>
      <c r="V40" s="636">
        <v>2022</v>
      </c>
      <c r="W40" s="640" t="s">
        <v>3934</v>
      </c>
      <c r="X40" s="641">
        <f t="shared" si="2"/>
        <v>11.243620423822216</v>
      </c>
      <c r="Y40" s="642" t="str">
        <f t="shared" si="3"/>
        <v/>
      </c>
      <c r="Z40" s="642" t="str">
        <f t="shared" si="1"/>
        <v/>
      </c>
    </row>
    <row r="41" spans="1:26" s="127" customFormat="1" ht="25">
      <c r="A41" s="636">
        <v>563</v>
      </c>
      <c r="B41" s="637" t="s">
        <v>33</v>
      </c>
      <c r="C41" s="636" t="s">
        <v>2725</v>
      </c>
      <c r="D41" s="637" t="s">
        <v>564</v>
      </c>
      <c r="E41" s="637" t="s">
        <v>1093</v>
      </c>
      <c r="F41" s="636">
        <v>4426</v>
      </c>
      <c r="G41" s="637" t="s">
        <v>41</v>
      </c>
      <c r="H41" s="637" t="s">
        <v>1163</v>
      </c>
      <c r="I41" s="637" t="s">
        <v>58</v>
      </c>
      <c r="J41" s="636">
        <v>22</v>
      </c>
      <c r="K41" s="636">
        <v>2</v>
      </c>
      <c r="L41" s="637" t="s">
        <v>52</v>
      </c>
      <c r="M41" s="637" t="s">
        <v>50</v>
      </c>
      <c r="N41" s="637" t="s">
        <v>76</v>
      </c>
      <c r="O41" s="637" t="s">
        <v>67</v>
      </c>
      <c r="P41" s="637" t="s">
        <v>47</v>
      </c>
      <c r="Q41" s="638">
        <v>4896</v>
      </c>
      <c r="R41" s="638">
        <v>4896</v>
      </c>
      <c r="S41" s="638">
        <v>27038</v>
      </c>
      <c r="T41" s="638">
        <v>27038</v>
      </c>
      <c r="U41" s="638">
        <v>1489</v>
      </c>
      <c r="V41" s="636">
        <v>2022</v>
      </c>
      <c r="W41" s="640" t="s">
        <v>3934</v>
      </c>
      <c r="X41" s="641">
        <f t="shared" si="2"/>
        <v>18.15849563465413</v>
      </c>
      <c r="Y41" s="642" t="str">
        <f t="shared" si="3"/>
        <v/>
      </c>
      <c r="Z41" s="642" t="str">
        <f t="shared" si="1"/>
        <v/>
      </c>
    </row>
    <row r="42" spans="1:26" s="127" customFormat="1" ht="25">
      <c r="A42" s="636">
        <v>565</v>
      </c>
      <c r="B42" s="637" t="s">
        <v>33</v>
      </c>
      <c r="C42" s="636" t="s">
        <v>2725</v>
      </c>
      <c r="D42" s="637" t="s">
        <v>565</v>
      </c>
      <c r="E42" s="637" t="s">
        <v>553</v>
      </c>
      <c r="F42" s="636">
        <v>22379</v>
      </c>
      <c r="G42" s="637" t="s">
        <v>41</v>
      </c>
      <c r="H42" s="637" t="s">
        <v>1163</v>
      </c>
      <c r="I42" s="637" t="s">
        <v>58</v>
      </c>
      <c r="J42" s="636">
        <v>22</v>
      </c>
      <c r="K42" s="636">
        <v>2</v>
      </c>
      <c r="L42" s="637" t="s">
        <v>52</v>
      </c>
      <c r="M42" s="637" t="s">
        <v>50</v>
      </c>
      <c r="N42" s="637" t="s">
        <v>66</v>
      </c>
      <c r="O42" s="637" t="s">
        <v>67</v>
      </c>
      <c r="P42" s="637" t="s">
        <v>47</v>
      </c>
      <c r="Q42" s="638">
        <v>0</v>
      </c>
      <c r="R42" s="638">
        <v>0</v>
      </c>
      <c r="S42" s="638">
        <v>0</v>
      </c>
      <c r="T42" s="638">
        <v>0</v>
      </c>
      <c r="U42" s="638">
        <v>0</v>
      </c>
      <c r="V42" s="636">
        <v>2022</v>
      </c>
      <c r="W42" s="640"/>
      <c r="X42" s="641" t="str">
        <f t="shared" si="2"/>
        <v/>
      </c>
      <c r="Y42" s="642" t="str">
        <f t="shared" si="3"/>
        <v/>
      </c>
      <c r="Z42" s="642" t="str">
        <f t="shared" si="1"/>
        <v/>
      </c>
    </row>
    <row r="43" spans="1:26" s="127" customFormat="1" ht="25">
      <c r="A43" s="636">
        <v>565</v>
      </c>
      <c r="B43" s="637" t="s">
        <v>33</v>
      </c>
      <c r="C43" s="636" t="s">
        <v>2725</v>
      </c>
      <c r="D43" s="637" t="s">
        <v>565</v>
      </c>
      <c r="E43" s="637" t="s">
        <v>553</v>
      </c>
      <c r="F43" s="636">
        <v>22379</v>
      </c>
      <c r="G43" s="637" t="s">
        <v>41</v>
      </c>
      <c r="H43" s="637" t="s">
        <v>1163</v>
      </c>
      <c r="I43" s="637" t="s">
        <v>58</v>
      </c>
      <c r="J43" s="636">
        <v>22</v>
      </c>
      <c r="K43" s="636">
        <v>2</v>
      </c>
      <c r="L43" s="637" t="s">
        <v>52</v>
      </c>
      <c r="M43" s="637" t="s">
        <v>50</v>
      </c>
      <c r="N43" s="637" t="s">
        <v>76</v>
      </c>
      <c r="O43" s="637" t="s">
        <v>67</v>
      </c>
      <c r="P43" s="637" t="s">
        <v>47</v>
      </c>
      <c r="Q43" s="638">
        <v>571</v>
      </c>
      <c r="R43" s="638">
        <v>571</v>
      </c>
      <c r="S43" s="638">
        <v>3198</v>
      </c>
      <c r="T43" s="638">
        <v>3198</v>
      </c>
      <c r="U43" s="638">
        <v>182</v>
      </c>
      <c r="V43" s="636">
        <v>2022</v>
      </c>
      <c r="W43" s="640"/>
      <c r="X43" s="641">
        <f t="shared" si="2"/>
        <v>17.571428571428573</v>
      </c>
      <c r="Y43" s="642" t="str">
        <f t="shared" si="3"/>
        <v/>
      </c>
      <c r="Z43" s="642" t="str">
        <f t="shared" si="1"/>
        <v/>
      </c>
    </row>
    <row r="44" spans="1:26" s="127" customFormat="1" ht="25">
      <c r="A44" s="636">
        <v>566</v>
      </c>
      <c r="B44" s="637" t="s">
        <v>33</v>
      </c>
      <c r="C44" s="636">
        <v>3</v>
      </c>
      <c r="D44" s="637" t="s">
        <v>85</v>
      </c>
      <c r="E44" s="637" t="s">
        <v>2082</v>
      </c>
      <c r="F44" s="636">
        <v>5221</v>
      </c>
      <c r="G44" s="637" t="s">
        <v>41</v>
      </c>
      <c r="H44" s="637" t="s">
        <v>1163</v>
      </c>
      <c r="I44" s="637" t="s">
        <v>58</v>
      </c>
      <c r="J44" s="636">
        <v>22</v>
      </c>
      <c r="K44" s="636">
        <v>2</v>
      </c>
      <c r="L44" s="637" t="s">
        <v>52</v>
      </c>
      <c r="M44" s="637" t="s">
        <v>42</v>
      </c>
      <c r="N44" s="637" t="s">
        <v>53</v>
      </c>
      <c r="O44" s="637" t="s">
        <v>53</v>
      </c>
      <c r="P44" s="637" t="s">
        <v>1156</v>
      </c>
      <c r="Q44" s="638">
        <v>0</v>
      </c>
      <c r="R44" s="638">
        <v>0</v>
      </c>
      <c r="S44" s="638">
        <v>0</v>
      </c>
      <c r="T44" s="638">
        <v>0</v>
      </c>
      <c r="U44" s="638">
        <v>9035085</v>
      </c>
      <c r="V44" s="636">
        <v>2022</v>
      </c>
      <c r="W44" s="640"/>
      <c r="X44" s="641" t="str">
        <f t="shared" si="2"/>
        <v/>
      </c>
      <c r="Y44" s="642" t="str">
        <f t="shared" si="3"/>
        <v/>
      </c>
      <c r="Z44" s="642" t="str">
        <f t="shared" si="1"/>
        <v/>
      </c>
    </row>
    <row r="45" spans="1:26" s="127" customFormat="1" ht="25">
      <c r="A45" s="636">
        <v>566</v>
      </c>
      <c r="B45" s="637" t="s">
        <v>33</v>
      </c>
      <c r="C45" s="636">
        <v>2</v>
      </c>
      <c r="D45" s="637" t="s">
        <v>85</v>
      </c>
      <c r="E45" s="637" t="s">
        <v>2082</v>
      </c>
      <c r="F45" s="636">
        <v>5221</v>
      </c>
      <c r="G45" s="637" t="s">
        <v>41</v>
      </c>
      <c r="H45" s="637" t="s">
        <v>1163</v>
      </c>
      <c r="I45" s="637" t="s">
        <v>58</v>
      </c>
      <c r="J45" s="636">
        <v>22</v>
      </c>
      <c r="K45" s="636">
        <v>2</v>
      </c>
      <c r="L45" s="637" t="s">
        <v>52</v>
      </c>
      <c r="M45" s="637" t="s">
        <v>42</v>
      </c>
      <c r="N45" s="637" t="s">
        <v>53</v>
      </c>
      <c r="O45" s="637" t="s">
        <v>53</v>
      </c>
      <c r="P45" s="637" t="s">
        <v>1156</v>
      </c>
      <c r="Q45" s="638">
        <v>0</v>
      </c>
      <c r="R45" s="638">
        <v>0</v>
      </c>
      <c r="S45" s="638">
        <v>0</v>
      </c>
      <c r="T45" s="638">
        <v>0</v>
      </c>
      <c r="U45" s="638">
        <v>7429082</v>
      </c>
      <c r="V45" s="636">
        <v>2022</v>
      </c>
      <c r="W45" s="640"/>
      <c r="X45" s="641" t="str">
        <f t="shared" si="2"/>
        <v/>
      </c>
      <c r="Y45" s="642" t="str">
        <f t="shared" si="3"/>
        <v/>
      </c>
      <c r="Z45" s="642" t="str">
        <f t="shared" si="1"/>
        <v/>
      </c>
    </row>
    <row r="46" spans="1:26" s="127" customFormat="1" ht="25">
      <c r="A46" s="636">
        <v>568</v>
      </c>
      <c r="B46" s="637" t="s">
        <v>33</v>
      </c>
      <c r="C46" s="636" t="s">
        <v>2725</v>
      </c>
      <c r="D46" s="637" t="s">
        <v>86</v>
      </c>
      <c r="E46" s="637" t="s">
        <v>3595</v>
      </c>
      <c r="F46" s="636">
        <v>65448</v>
      </c>
      <c r="G46" s="637" t="s">
        <v>41</v>
      </c>
      <c r="H46" s="637" t="s">
        <v>1163</v>
      </c>
      <c r="I46" s="637" t="s">
        <v>58</v>
      </c>
      <c r="J46" s="636">
        <v>22</v>
      </c>
      <c r="K46" s="636">
        <v>2</v>
      </c>
      <c r="L46" s="637" t="s">
        <v>52</v>
      </c>
      <c r="M46" s="637" t="s">
        <v>38</v>
      </c>
      <c r="N46" s="637" t="s">
        <v>39</v>
      </c>
      <c r="O46" s="637" t="s">
        <v>39</v>
      </c>
      <c r="P46" s="637" t="s">
        <v>1020</v>
      </c>
      <c r="Q46" s="638">
        <v>5996222</v>
      </c>
      <c r="R46" s="638">
        <v>5996222</v>
      </c>
      <c r="S46" s="638">
        <v>6188425</v>
      </c>
      <c r="T46" s="638">
        <v>6188425</v>
      </c>
      <c r="U46" s="638">
        <v>705332</v>
      </c>
      <c r="V46" s="636">
        <v>2022</v>
      </c>
      <c r="W46" s="640" t="s">
        <v>3934</v>
      </c>
      <c r="X46" s="641">
        <f t="shared" si="2"/>
        <v>8.7737760373838132</v>
      </c>
      <c r="Y46" s="642" t="str">
        <f t="shared" si="3"/>
        <v/>
      </c>
      <c r="Z46" s="642" t="str">
        <f t="shared" si="1"/>
        <v/>
      </c>
    </row>
    <row r="47" spans="1:26" s="127" customFormat="1" ht="25">
      <c r="A47" s="636">
        <v>568</v>
      </c>
      <c r="B47" s="637" t="s">
        <v>33</v>
      </c>
      <c r="C47" s="636" t="s">
        <v>2725</v>
      </c>
      <c r="D47" s="637" t="s">
        <v>86</v>
      </c>
      <c r="E47" s="637" t="s">
        <v>3595</v>
      </c>
      <c r="F47" s="636">
        <v>65448</v>
      </c>
      <c r="G47" s="637" t="s">
        <v>41</v>
      </c>
      <c r="H47" s="637" t="s">
        <v>1163</v>
      </c>
      <c r="I47" s="637" t="s">
        <v>58</v>
      </c>
      <c r="J47" s="636">
        <v>22</v>
      </c>
      <c r="K47" s="636">
        <v>2</v>
      </c>
      <c r="L47" s="637" t="s">
        <v>52</v>
      </c>
      <c r="M47" s="637" t="s">
        <v>41</v>
      </c>
      <c r="N47" s="637" t="s">
        <v>46</v>
      </c>
      <c r="O47" s="637" t="s">
        <v>46</v>
      </c>
      <c r="P47" s="637" t="s">
        <v>47</v>
      </c>
      <c r="Q47" s="638">
        <v>0</v>
      </c>
      <c r="R47" s="638">
        <v>0</v>
      </c>
      <c r="S47" s="638">
        <v>0</v>
      </c>
      <c r="T47" s="638">
        <v>0</v>
      </c>
      <c r="U47" s="638">
        <v>0</v>
      </c>
      <c r="V47" s="636">
        <v>2022</v>
      </c>
      <c r="W47" s="640" t="s">
        <v>3934</v>
      </c>
      <c r="X47" s="641" t="str">
        <f t="shared" si="2"/>
        <v/>
      </c>
      <c r="Y47" s="642" t="str">
        <f t="shared" si="3"/>
        <v/>
      </c>
      <c r="Z47" s="642" t="str">
        <f t="shared" si="1"/>
        <v/>
      </c>
    </row>
    <row r="48" spans="1:26" s="127" customFormat="1" ht="25">
      <c r="A48" s="636">
        <v>568</v>
      </c>
      <c r="B48" s="637" t="s">
        <v>33</v>
      </c>
      <c r="C48" s="636" t="s">
        <v>2725</v>
      </c>
      <c r="D48" s="637" t="s">
        <v>86</v>
      </c>
      <c r="E48" s="637" t="s">
        <v>3595</v>
      </c>
      <c r="F48" s="636">
        <v>65448</v>
      </c>
      <c r="G48" s="637" t="s">
        <v>41</v>
      </c>
      <c r="H48" s="637" t="s">
        <v>1163</v>
      </c>
      <c r="I48" s="637" t="s">
        <v>58</v>
      </c>
      <c r="J48" s="636">
        <v>22</v>
      </c>
      <c r="K48" s="636">
        <v>2</v>
      </c>
      <c r="L48" s="637" t="s">
        <v>52</v>
      </c>
      <c r="M48" s="637" t="s">
        <v>41</v>
      </c>
      <c r="N48" s="637" t="s">
        <v>39</v>
      </c>
      <c r="O48" s="637" t="s">
        <v>39</v>
      </c>
      <c r="P48" s="637" t="s">
        <v>1020</v>
      </c>
      <c r="Q48" s="638">
        <v>14751624</v>
      </c>
      <c r="R48" s="638">
        <v>14751624</v>
      </c>
      <c r="S48" s="638">
        <v>15192384</v>
      </c>
      <c r="T48" s="638">
        <v>15192384</v>
      </c>
      <c r="U48" s="638">
        <v>2479582</v>
      </c>
      <c r="V48" s="636">
        <v>2022</v>
      </c>
      <c r="W48" s="640" t="s">
        <v>3934</v>
      </c>
      <c r="X48" s="641">
        <f t="shared" si="2"/>
        <v>6.1269939852765507</v>
      </c>
      <c r="Y48" s="642" t="str">
        <f t="shared" si="3"/>
        <v/>
      </c>
      <c r="Z48" s="642" t="str">
        <f t="shared" si="1"/>
        <v/>
      </c>
    </row>
    <row r="49" spans="1:26" s="127" customFormat="1" ht="25">
      <c r="A49" s="636">
        <v>568</v>
      </c>
      <c r="B49" s="637" t="s">
        <v>33</v>
      </c>
      <c r="C49" s="636" t="s">
        <v>2725</v>
      </c>
      <c r="D49" s="637" t="s">
        <v>86</v>
      </c>
      <c r="E49" s="637" t="s">
        <v>3595</v>
      </c>
      <c r="F49" s="636">
        <v>65448</v>
      </c>
      <c r="G49" s="637" t="s">
        <v>41</v>
      </c>
      <c r="H49" s="637" t="s">
        <v>1163</v>
      </c>
      <c r="I49" s="637" t="s">
        <v>58</v>
      </c>
      <c r="J49" s="636">
        <v>22</v>
      </c>
      <c r="K49" s="636">
        <v>2</v>
      </c>
      <c r="L49" s="637" t="s">
        <v>52</v>
      </c>
      <c r="M49" s="637" t="s">
        <v>41</v>
      </c>
      <c r="N49" s="637" t="s">
        <v>61</v>
      </c>
      <c r="O49" s="637" t="s">
        <v>61</v>
      </c>
      <c r="P49" s="637" t="s">
        <v>47</v>
      </c>
      <c r="Q49" s="638">
        <v>0</v>
      </c>
      <c r="R49" s="638">
        <v>0</v>
      </c>
      <c r="S49" s="638">
        <v>0</v>
      </c>
      <c r="T49" s="638">
        <v>0</v>
      </c>
      <c r="U49" s="638">
        <v>0</v>
      </c>
      <c r="V49" s="636">
        <v>2022</v>
      </c>
      <c r="W49" s="640" t="s">
        <v>3934</v>
      </c>
      <c r="X49" s="641" t="str">
        <f t="shared" si="2"/>
        <v/>
      </c>
      <c r="Y49" s="642" t="str">
        <f t="shared" si="3"/>
        <v/>
      </c>
      <c r="Z49" s="642" t="str">
        <f t="shared" si="1"/>
        <v/>
      </c>
    </row>
    <row r="50" spans="1:26" s="127" customFormat="1" ht="25">
      <c r="A50" s="636">
        <v>568</v>
      </c>
      <c r="B50" s="637" t="s">
        <v>33</v>
      </c>
      <c r="C50" s="636" t="s">
        <v>2725</v>
      </c>
      <c r="D50" s="637" t="s">
        <v>86</v>
      </c>
      <c r="E50" s="637" t="s">
        <v>3595</v>
      </c>
      <c r="F50" s="636">
        <v>65448</v>
      </c>
      <c r="G50" s="637" t="s">
        <v>41</v>
      </c>
      <c r="H50" s="637" t="s">
        <v>1163</v>
      </c>
      <c r="I50" s="637" t="s">
        <v>58</v>
      </c>
      <c r="J50" s="636">
        <v>22</v>
      </c>
      <c r="K50" s="636">
        <v>2</v>
      </c>
      <c r="L50" s="637" t="s">
        <v>52</v>
      </c>
      <c r="M50" s="637" t="s">
        <v>50</v>
      </c>
      <c r="N50" s="637" t="s">
        <v>46</v>
      </c>
      <c r="O50" s="637" t="s">
        <v>46</v>
      </c>
      <c r="P50" s="637" t="s">
        <v>47</v>
      </c>
      <c r="Q50" s="638">
        <v>0</v>
      </c>
      <c r="R50" s="638">
        <v>0</v>
      </c>
      <c r="S50" s="638">
        <v>0</v>
      </c>
      <c r="T50" s="638">
        <v>0</v>
      </c>
      <c r="U50" s="638">
        <v>0</v>
      </c>
      <c r="V50" s="636">
        <v>2022</v>
      </c>
      <c r="W50" s="640" t="s">
        <v>3934</v>
      </c>
      <c r="X50" s="641" t="str">
        <f t="shared" si="2"/>
        <v/>
      </c>
      <c r="Y50" s="642" t="str">
        <f t="shared" si="3"/>
        <v/>
      </c>
      <c r="Z50" s="642" t="str">
        <f t="shared" si="1"/>
        <v/>
      </c>
    </row>
    <row r="51" spans="1:26" s="127" customFormat="1" ht="25">
      <c r="A51" s="636">
        <v>568</v>
      </c>
      <c r="B51" s="637" t="s">
        <v>33</v>
      </c>
      <c r="C51" s="636" t="s">
        <v>2725</v>
      </c>
      <c r="D51" s="637" t="s">
        <v>86</v>
      </c>
      <c r="E51" s="637" t="s">
        <v>3595</v>
      </c>
      <c r="F51" s="636">
        <v>65448</v>
      </c>
      <c r="G51" s="637" t="s">
        <v>41</v>
      </c>
      <c r="H51" s="637" t="s">
        <v>1163</v>
      </c>
      <c r="I51" s="637" t="s">
        <v>58</v>
      </c>
      <c r="J51" s="636">
        <v>22</v>
      </c>
      <c r="K51" s="636">
        <v>2</v>
      </c>
      <c r="L51" s="637" t="s">
        <v>52</v>
      </c>
      <c r="M51" s="637" t="s">
        <v>50</v>
      </c>
      <c r="N51" s="637" t="s">
        <v>76</v>
      </c>
      <c r="O51" s="637" t="s">
        <v>67</v>
      </c>
      <c r="P51" s="637" t="s">
        <v>47</v>
      </c>
      <c r="Q51" s="638">
        <v>0</v>
      </c>
      <c r="R51" s="638">
        <v>0</v>
      </c>
      <c r="S51" s="638">
        <v>0</v>
      </c>
      <c r="T51" s="638">
        <v>0</v>
      </c>
      <c r="U51" s="638">
        <v>0</v>
      </c>
      <c r="V51" s="636">
        <v>2022</v>
      </c>
      <c r="W51" s="640" t="s">
        <v>3934</v>
      </c>
      <c r="X51" s="641" t="str">
        <f t="shared" si="2"/>
        <v/>
      </c>
      <c r="Y51" s="642" t="str">
        <f t="shared" si="3"/>
        <v/>
      </c>
      <c r="Z51" s="642" t="str">
        <f t="shared" si="1"/>
        <v/>
      </c>
    </row>
    <row r="52" spans="1:26" s="127" customFormat="1" ht="25">
      <c r="A52" s="636">
        <v>579</v>
      </c>
      <c r="B52" s="637" t="s">
        <v>33</v>
      </c>
      <c r="C52" s="636" t="s">
        <v>2725</v>
      </c>
      <c r="D52" s="637" t="s">
        <v>1021</v>
      </c>
      <c r="E52" s="637" t="s">
        <v>566</v>
      </c>
      <c r="F52" s="636">
        <v>3249</v>
      </c>
      <c r="G52" s="637" t="s">
        <v>57</v>
      </c>
      <c r="H52" s="637" t="s">
        <v>1162</v>
      </c>
      <c r="I52" s="637" t="s">
        <v>58</v>
      </c>
      <c r="J52" s="636">
        <v>22</v>
      </c>
      <c r="K52" s="636">
        <v>1</v>
      </c>
      <c r="L52" s="637" t="s">
        <v>34</v>
      </c>
      <c r="M52" s="637" t="s">
        <v>35</v>
      </c>
      <c r="N52" s="637" t="s">
        <v>36</v>
      </c>
      <c r="O52" s="637" t="s">
        <v>37</v>
      </c>
      <c r="P52" s="637" t="s">
        <v>1156</v>
      </c>
      <c r="Q52" s="638">
        <v>0</v>
      </c>
      <c r="R52" s="638">
        <v>0</v>
      </c>
      <c r="S52" s="638">
        <v>25898</v>
      </c>
      <c r="T52" s="638">
        <v>25898</v>
      </c>
      <c r="U52" s="638">
        <v>7591</v>
      </c>
      <c r="V52" s="636">
        <v>2022</v>
      </c>
      <c r="W52" s="640"/>
      <c r="X52" s="641">
        <f t="shared" si="2"/>
        <v>3.411671716506389</v>
      </c>
      <c r="Y52" s="642" t="str">
        <f t="shared" si="3"/>
        <v/>
      </c>
      <c r="Z52" s="642" t="str">
        <f t="shared" si="1"/>
        <v/>
      </c>
    </row>
    <row r="53" spans="1:26" s="127" customFormat="1" ht="25">
      <c r="A53" s="636">
        <v>581</v>
      </c>
      <c r="B53" s="637" t="s">
        <v>33</v>
      </c>
      <c r="C53" s="636" t="s">
        <v>2725</v>
      </c>
      <c r="D53" s="637" t="s">
        <v>567</v>
      </c>
      <c r="E53" s="637" t="s">
        <v>1022</v>
      </c>
      <c r="F53" s="636">
        <v>13831</v>
      </c>
      <c r="G53" s="637" t="s">
        <v>41</v>
      </c>
      <c r="H53" s="637" t="s">
        <v>1163</v>
      </c>
      <c r="I53" s="637" t="s">
        <v>58</v>
      </c>
      <c r="J53" s="636">
        <v>22</v>
      </c>
      <c r="K53" s="636">
        <v>1</v>
      </c>
      <c r="L53" s="637" t="s">
        <v>34</v>
      </c>
      <c r="M53" s="637" t="s">
        <v>50</v>
      </c>
      <c r="N53" s="637" t="s">
        <v>46</v>
      </c>
      <c r="O53" s="637" t="s">
        <v>46</v>
      </c>
      <c r="P53" s="637" t="s">
        <v>47</v>
      </c>
      <c r="Q53" s="638">
        <v>930</v>
      </c>
      <c r="R53" s="638">
        <v>930</v>
      </c>
      <c r="S53" s="638">
        <v>5410</v>
      </c>
      <c r="T53" s="638">
        <v>5410</v>
      </c>
      <c r="U53" s="638">
        <v>341</v>
      </c>
      <c r="V53" s="636">
        <v>2022</v>
      </c>
      <c r="W53" s="640"/>
      <c r="X53" s="641">
        <f t="shared" si="2"/>
        <v>15.865102639296188</v>
      </c>
      <c r="Y53" s="642" t="str">
        <f t="shared" si="3"/>
        <v/>
      </c>
      <c r="Z53" s="642" t="str">
        <f t="shared" si="1"/>
        <v/>
      </c>
    </row>
    <row r="54" spans="1:26" s="127" customFormat="1" ht="25">
      <c r="A54" s="636">
        <v>583</v>
      </c>
      <c r="B54" s="637" t="s">
        <v>33</v>
      </c>
      <c r="C54" s="636" t="s">
        <v>2725</v>
      </c>
      <c r="D54" s="637" t="s">
        <v>568</v>
      </c>
      <c r="E54" s="637" t="s">
        <v>1022</v>
      </c>
      <c r="F54" s="636">
        <v>13831</v>
      </c>
      <c r="G54" s="637" t="s">
        <v>41</v>
      </c>
      <c r="H54" s="637" t="s">
        <v>1163</v>
      </c>
      <c r="I54" s="637" t="s">
        <v>58</v>
      </c>
      <c r="J54" s="636">
        <v>22</v>
      </c>
      <c r="K54" s="636">
        <v>1</v>
      </c>
      <c r="L54" s="637" t="s">
        <v>34</v>
      </c>
      <c r="M54" s="637" t="s">
        <v>35</v>
      </c>
      <c r="N54" s="637" t="s">
        <v>36</v>
      </c>
      <c r="O54" s="637" t="s">
        <v>37</v>
      </c>
      <c r="P54" s="637" t="s">
        <v>1156</v>
      </c>
      <c r="Q54" s="638">
        <v>0</v>
      </c>
      <c r="R54" s="638">
        <v>0</v>
      </c>
      <c r="S54" s="638">
        <v>12314</v>
      </c>
      <c r="T54" s="638">
        <v>12314</v>
      </c>
      <c r="U54" s="638">
        <v>3609</v>
      </c>
      <c r="V54" s="636">
        <v>2022</v>
      </c>
      <c r="W54" s="640"/>
      <c r="X54" s="641">
        <f t="shared" si="2"/>
        <v>3.4120254918259905</v>
      </c>
      <c r="Y54" s="642" t="str">
        <f t="shared" si="3"/>
        <v/>
      </c>
      <c r="Z54" s="642" t="str">
        <f t="shared" si="1"/>
        <v/>
      </c>
    </row>
    <row r="55" spans="1:26" s="127" customFormat="1" ht="25">
      <c r="A55" s="636">
        <v>589</v>
      </c>
      <c r="B55" s="637" t="s">
        <v>33</v>
      </c>
      <c r="C55" s="636" t="s">
        <v>2725</v>
      </c>
      <c r="D55" s="637" t="s">
        <v>88</v>
      </c>
      <c r="E55" s="637" t="s">
        <v>1080</v>
      </c>
      <c r="F55" s="636">
        <v>2548</v>
      </c>
      <c r="G55" s="637" t="s">
        <v>89</v>
      </c>
      <c r="H55" s="637" t="s">
        <v>1163</v>
      </c>
      <c r="I55" s="637" t="s">
        <v>58</v>
      </c>
      <c r="J55" s="636">
        <v>22</v>
      </c>
      <c r="K55" s="636">
        <v>1</v>
      </c>
      <c r="L55" s="637" t="s">
        <v>34</v>
      </c>
      <c r="M55" s="637" t="s">
        <v>42</v>
      </c>
      <c r="N55" s="637" t="s">
        <v>46</v>
      </c>
      <c r="O55" s="637" t="s">
        <v>46</v>
      </c>
      <c r="P55" s="637" t="s">
        <v>47</v>
      </c>
      <c r="Q55" s="638">
        <v>0</v>
      </c>
      <c r="R55" s="638">
        <v>0</v>
      </c>
      <c r="S55" s="638">
        <v>0</v>
      </c>
      <c r="T55" s="638">
        <v>0</v>
      </c>
      <c r="U55" s="638">
        <v>0</v>
      </c>
      <c r="V55" s="636">
        <v>2022</v>
      </c>
      <c r="W55" s="640"/>
      <c r="X55" s="641" t="str">
        <f t="shared" si="2"/>
        <v/>
      </c>
      <c r="Y55" s="642" t="str">
        <f t="shared" si="3"/>
        <v/>
      </c>
      <c r="Z55" s="642" t="str">
        <f t="shared" si="1"/>
        <v/>
      </c>
    </row>
    <row r="56" spans="1:26" s="127" customFormat="1" ht="25">
      <c r="A56" s="636">
        <v>589</v>
      </c>
      <c r="B56" s="637" t="s">
        <v>33</v>
      </c>
      <c r="C56" s="636" t="s">
        <v>2725</v>
      </c>
      <c r="D56" s="637" t="s">
        <v>88</v>
      </c>
      <c r="E56" s="637" t="s">
        <v>1080</v>
      </c>
      <c r="F56" s="636">
        <v>2548</v>
      </c>
      <c r="G56" s="637" t="s">
        <v>89</v>
      </c>
      <c r="H56" s="637" t="s">
        <v>1163</v>
      </c>
      <c r="I56" s="637" t="s">
        <v>58</v>
      </c>
      <c r="J56" s="636">
        <v>22</v>
      </c>
      <c r="K56" s="636">
        <v>1</v>
      </c>
      <c r="L56" s="637" t="s">
        <v>34</v>
      </c>
      <c r="M56" s="637" t="s">
        <v>42</v>
      </c>
      <c r="N56" s="637" t="s">
        <v>39</v>
      </c>
      <c r="O56" s="637" t="s">
        <v>39</v>
      </c>
      <c r="P56" s="637" t="s">
        <v>1020</v>
      </c>
      <c r="Q56" s="638">
        <v>8138</v>
      </c>
      <c r="R56" s="638">
        <v>8138</v>
      </c>
      <c r="S56" s="638">
        <v>8487</v>
      </c>
      <c r="T56" s="638">
        <v>8487</v>
      </c>
      <c r="U56" s="638">
        <v>579.05399999999997</v>
      </c>
      <c r="V56" s="636">
        <v>2022</v>
      </c>
      <c r="W56" s="640"/>
      <c r="X56" s="641">
        <f t="shared" si="2"/>
        <v>14.656664145312874</v>
      </c>
      <c r="Y56" s="642" t="str">
        <f t="shared" si="3"/>
        <v/>
      </c>
      <c r="Z56" s="642" t="str">
        <f t="shared" si="1"/>
        <v/>
      </c>
    </row>
    <row r="57" spans="1:26" s="127" customFormat="1" ht="25">
      <c r="A57" s="636">
        <v>589</v>
      </c>
      <c r="B57" s="637" t="s">
        <v>33</v>
      </c>
      <c r="C57" s="636" t="s">
        <v>2725</v>
      </c>
      <c r="D57" s="637" t="s">
        <v>88</v>
      </c>
      <c r="E57" s="637" t="s">
        <v>1080</v>
      </c>
      <c r="F57" s="636">
        <v>2548</v>
      </c>
      <c r="G57" s="637" t="s">
        <v>89</v>
      </c>
      <c r="H57" s="637" t="s">
        <v>1163</v>
      </c>
      <c r="I57" s="637" t="s">
        <v>58</v>
      </c>
      <c r="J57" s="636">
        <v>22</v>
      </c>
      <c r="K57" s="636">
        <v>1</v>
      </c>
      <c r="L57" s="637" t="s">
        <v>34</v>
      </c>
      <c r="M57" s="637" t="s">
        <v>42</v>
      </c>
      <c r="N57" s="637" t="s">
        <v>69</v>
      </c>
      <c r="O57" s="637" t="s">
        <v>70</v>
      </c>
      <c r="P57" s="637" t="s">
        <v>45</v>
      </c>
      <c r="Q57" s="638">
        <v>352264</v>
      </c>
      <c r="R57" s="638">
        <v>352264</v>
      </c>
      <c r="S57" s="638">
        <v>3346510</v>
      </c>
      <c r="T57" s="638">
        <v>3346510</v>
      </c>
      <c r="U57" s="638">
        <v>228401.95</v>
      </c>
      <c r="V57" s="636">
        <v>2022</v>
      </c>
      <c r="W57" s="640"/>
      <c r="X57" s="641">
        <f t="shared" si="2"/>
        <v>14.651845135297663</v>
      </c>
      <c r="Y57" s="642" t="str">
        <f t="shared" si="3"/>
        <v/>
      </c>
      <c r="Z57" s="642" t="str">
        <f t="shared" si="1"/>
        <v/>
      </c>
    </row>
    <row r="58" spans="1:26" s="127" customFormat="1" ht="25">
      <c r="A58" s="636">
        <v>625</v>
      </c>
      <c r="B58" s="637" t="s">
        <v>33</v>
      </c>
      <c r="C58" s="636" t="s">
        <v>2725</v>
      </c>
      <c r="D58" s="637" t="s">
        <v>569</v>
      </c>
      <c r="E58" s="637" t="s">
        <v>570</v>
      </c>
      <c r="F58" s="636">
        <v>13511</v>
      </c>
      <c r="G58" s="637" t="s">
        <v>57</v>
      </c>
      <c r="H58" s="637" t="s">
        <v>1162</v>
      </c>
      <c r="I58" s="637" t="s">
        <v>58</v>
      </c>
      <c r="J58" s="636">
        <v>22</v>
      </c>
      <c r="K58" s="636">
        <v>1</v>
      </c>
      <c r="L58" s="637" t="s">
        <v>34</v>
      </c>
      <c r="M58" s="637" t="s">
        <v>35</v>
      </c>
      <c r="N58" s="637" t="s">
        <v>36</v>
      </c>
      <c r="O58" s="637" t="s">
        <v>37</v>
      </c>
      <c r="P58" s="637" t="s">
        <v>1156</v>
      </c>
      <c r="Q58" s="638">
        <v>0</v>
      </c>
      <c r="R58" s="638">
        <v>0</v>
      </c>
      <c r="S58" s="638">
        <v>141712</v>
      </c>
      <c r="T58" s="638">
        <v>141712</v>
      </c>
      <c r="U58" s="638">
        <v>41533</v>
      </c>
      <c r="V58" s="636">
        <v>2022</v>
      </c>
      <c r="W58" s="640"/>
      <c r="X58" s="641">
        <f t="shared" si="2"/>
        <v>3.4120338044446585</v>
      </c>
      <c r="Y58" s="642" t="str">
        <f t="shared" si="3"/>
        <v/>
      </c>
      <c r="Z58" s="642" t="str">
        <f t="shared" si="1"/>
        <v/>
      </c>
    </row>
    <row r="59" spans="1:26" s="127" customFormat="1" ht="25">
      <c r="A59" s="636">
        <v>678</v>
      </c>
      <c r="B59" s="637" t="s">
        <v>33</v>
      </c>
      <c r="C59" s="636" t="s">
        <v>2725</v>
      </c>
      <c r="D59" s="637" t="s">
        <v>571</v>
      </c>
      <c r="E59" s="637" t="s">
        <v>1540</v>
      </c>
      <c r="F59" s="636">
        <v>12989</v>
      </c>
      <c r="G59" s="637" t="s">
        <v>89</v>
      </c>
      <c r="H59" s="637" t="s">
        <v>1163</v>
      </c>
      <c r="I59" s="637" t="s">
        <v>58</v>
      </c>
      <c r="J59" s="636">
        <v>22</v>
      </c>
      <c r="K59" s="636">
        <v>1</v>
      </c>
      <c r="L59" s="637" t="s">
        <v>34</v>
      </c>
      <c r="M59" s="637" t="s">
        <v>35</v>
      </c>
      <c r="N59" s="637" t="s">
        <v>36</v>
      </c>
      <c r="O59" s="637" t="s">
        <v>37</v>
      </c>
      <c r="P59" s="637" t="s">
        <v>1156</v>
      </c>
      <c r="Q59" s="638">
        <v>0</v>
      </c>
      <c r="R59" s="638">
        <v>0</v>
      </c>
      <c r="S59" s="638">
        <v>3022</v>
      </c>
      <c r="T59" s="638">
        <v>3022</v>
      </c>
      <c r="U59" s="638">
        <v>886</v>
      </c>
      <c r="V59" s="636">
        <v>2022</v>
      </c>
      <c r="W59" s="640"/>
      <c r="X59" s="641">
        <f t="shared" si="2"/>
        <v>3.4108352144469527</v>
      </c>
      <c r="Y59" s="642" t="str">
        <f t="shared" si="3"/>
        <v/>
      </c>
      <c r="Z59" s="642" t="str">
        <f t="shared" si="1"/>
        <v/>
      </c>
    </row>
    <row r="60" spans="1:26" s="127" customFormat="1" ht="25">
      <c r="A60" s="636">
        <v>788</v>
      </c>
      <c r="B60" s="637" t="s">
        <v>33</v>
      </c>
      <c r="C60" s="636" t="s">
        <v>2725</v>
      </c>
      <c r="D60" s="637" t="s">
        <v>572</v>
      </c>
      <c r="E60" s="637" t="s">
        <v>131</v>
      </c>
      <c r="F60" s="636">
        <v>7601</v>
      </c>
      <c r="G60" s="637" t="s">
        <v>89</v>
      </c>
      <c r="H60" s="637" t="s">
        <v>1163</v>
      </c>
      <c r="I60" s="637" t="s">
        <v>58</v>
      </c>
      <c r="J60" s="636">
        <v>22</v>
      </c>
      <c r="K60" s="636">
        <v>1</v>
      </c>
      <c r="L60" s="637" t="s">
        <v>34</v>
      </c>
      <c r="M60" s="637" t="s">
        <v>35</v>
      </c>
      <c r="N60" s="637" t="s">
        <v>36</v>
      </c>
      <c r="O60" s="637" t="s">
        <v>37</v>
      </c>
      <c r="P60" s="637" t="s">
        <v>1156</v>
      </c>
      <c r="Q60" s="638">
        <v>0</v>
      </c>
      <c r="R60" s="638">
        <v>0</v>
      </c>
      <c r="S60" s="638">
        <v>16335</v>
      </c>
      <c r="T60" s="638">
        <v>16335</v>
      </c>
      <c r="U60" s="638">
        <v>4787</v>
      </c>
      <c r="V60" s="636">
        <v>2022</v>
      </c>
      <c r="W60" s="640"/>
      <c r="X60" s="641">
        <f t="shared" si="2"/>
        <v>3.4123668268226446</v>
      </c>
      <c r="Y60" s="642" t="str">
        <f t="shared" si="3"/>
        <v/>
      </c>
      <c r="Z60" s="642" t="str">
        <f t="shared" si="1"/>
        <v/>
      </c>
    </row>
    <row r="61" spans="1:26" s="127" customFormat="1" ht="25">
      <c r="A61" s="636">
        <v>805</v>
      </c>
      <c r="B61" s="637" t="s">
        <v>33</v>
      </c>
      <c r="C61" s="636" t="s">
        <v>2725</v>
      </c>
      <c r="D61" s="637" t="s">
        <v>573</v>
      </c>
      <c r="E61" s="637" t="s">
        <v>1165</v>
      </c>
      <c r="F61" s="636">
        <v>39006</v>
      </c>
      <c r="G61" s="637" t="s">
        <v>90</v>
      </c>
      <c r="H61" s="637" t="s">
        <v>1163</v>
      </c>
      <c r="I61" s="637" t="s">
        <v>58</v>
      </c>
      <c r="J61" s="636">
        <v>22</v>
      </c>
      <c r="K61" s="636">
        <v>2</v>
      </c>
      <c r="L61" s="637" t="s">
        <v>52</v>
      </c>
      <c r="M61" s="637" t="s">
        <v>35</v>
      </c>
      <c r="N61" s="637" t="s">
        <v>36</v>
      </c>
      <c r="O61" s="637" t="s">
        <v>37</v>
      </c>
      <c r="P61" s="637" t="s">
        <v>1156</v>
      </c>
      <c r="Q61" s="638">
        <v>0</v>
      </c>
      <c r="R61" s="638">
        <v>0</v>
      </c>
      <c r="S61" s="638">
        <v>456268</v>
      </c>
      <c r="T61" s="638">
        <v>456268</v>
      </c>
      <c r="U61" s="638">
        <v>133725</v>
      </c>
      <c r="V61" s="636">
        <v>2022</v>
      </c>
      <c r="W61" s="640"/>
      <c r="X61" s="641">
        <f t="shared" si="2"/>
        <v>3.4119872873434285</v>
      </c>
      <c r="Y61" s="642" t="str">
        <f t="shared" si="3"/>
        <v/>
      </c>
      <c r="Z61" s="642" t="str">
        <f t="shared" si="1"/>
        <v/>
      </c>
    </row>
    <row r="62" spans="1:26" s="127" customFormat="1" ht="25">
      <c r="A62" s="636">
        <v>808</v>
      </c>
      <c r="B62" s="637" t="s">
        <v>33</v>
      </c>
      <c r="C62" s="636" t="s">
        <v>2725</v>
      </c>
      <c r="D62" s="637" t="s">
        <v>574</v>
      </c>
      <c r="E62" s="637" t="s">
        <v>56</v>
      </c>
      <c r="F62" s="636">
        <v>15296</v>
      </c>
      <c r="G62" s="637" t="s">
        <v>57</v>
      </c>
      <c r="H62" s="637" t="s">
        <v>1162</v>
      </c>
      <c r="I62" s="637" t="s">
        <v>58</v>
      </c>
      <c r="J62" s="636">
        <v>22</v>
      </c>
      <c r="K62" s="636">
        <v>1</v>
      </c>
      <c r="L62" s="637" t="s">
        <v>34</v>
      </c>
      <c r="M62" s="637" t="s">
        <v>35</v>
      </c>
      <c r="N62" s="637" t="s">
        <v>36</v>
      </c>
      <c r="O62" s="637" t="s">
        <v>37</v>
      </c>
      <c r="P62" s="637" t="s">
        <v>1156</v>
      </c>
      <c r="Q62" s="638">
        <v>0</v>
      </c>
      <c r="R62" s="638">
        <v>0</v>
      </c>
      <c r="S62" s="638">
        <v>105550</v>
      </c>
      <c r="T62" s="638">
        <v>105550</v>
      </c>
      <c r="U62" s="638">
        <v>30935</v>
      </c>
      <c r="V62" s="636">
        <v>2022</v>
      </c>
      <c r="W62" s="640"/>
      <c r="X62" s="641">
        <f t="shared" si="2"/>
        <v>3.4119928883142072</v>
      </c>
      <c r="Y62" s="642" t="str">
        <f t="shared" si="3"/>
        <v/>
      </c>
      <c r="Z62" s="642" t="str">
        <f t="shared" si="1"/>
        <v/>
      </c>
    </row>
    <row r="63" spans="1:26" s="127" customFormat="1" ht="25">
      <c r="A63" s="636">
        <v>1469</v>
      </c>
      <c r="B63" s="637" t="s">
        <v>33</v>
      </c>
      <c r="C63" s="636" t="s">
        <v>2725</v>
      </c>
      <c r="D63" s="637" t="s">
        <v>1166</v>
      </c>
      <c r="E63" s="637" t="s">
        <v>1541</v>
      </c>
      <c r="F63" s="636">
        <v>59178</v>
      </c>
      <c r="G63" s="637" t="s">
        <v>90</v>
      </c>
      <c r="H63" s="637" t="s">
        <v>1163</v>
      </c>
      <c r="I63" s="637" t="s">
        <v>58</v>
      </c>
      <c r="J63" s="636">
        <v>22</v>
      </c>
      <c r="K63" s="636">
        <v>2</v>
      </c>
      <c r="L63" s="637" t="s">
        <v>52</v>
      </c>
      <c r="M63" s="637" t="s">
        <v>35</v>
      </c>
      <c r="N63" s="637" t="s">
        <v>36</v>
      </c>
      <c r="O63" s="637" t="s">
        <v>37</v>
      </c>
      <c r="P63" s="637" t="s">
        <v>1156</v>
      </c>
      <c r="Q63" s="638">
        <v>0</v>
      </c>
      <c r="R63" s="638">
        <v>0</v>
      </c>
      <c r="S63" s="638">
        <v>96616</v>
      </c>
      <c r="T63" s="638">
        <v>96616</v>
      </c>
      <c r="U63" s="638">
        <v>28317</v>
      </c>
      <c r="V63" s="636">
        <v>2022</v>
      </c>
      <c r="W63" s="640"/>
      <c r="X63" s="641">
        <f t="shared" si="2"/>
        <v>3.4119433555814527</v>
      </c>
      <c r="Y63" s="642" t="str">
        <f t="shared" si="3"/>
        <v/>
      </c>
      <c r="Z63" s="642" t="str">
        <f t="shared" si="1"/>
        <v/>
      </c>
    </row>
    <row r="64" spans="1:26" s="127" customFormat="1" ht="25">
      <c r="A64" s="636">
        <v>1475</v>
      </c>
      <c r="B64" s="637" t="s">
        <v>33</v>
      </c>
      <c r="C64" s="636" t="s">
        <v>2725</v>
      </c>
      <c r="D64" s="637" t="s">
        <v>1167</v>
      </c>
      <c r="E64" s="637" t="s">
        <v>1541</v>
      </c>
      <c r="F64" s="636">
        <v>59178</v>
      </c>
      <c r="G64" s="637" t="s">
        <v>90</v>
      </c>
      <c r="H64" s="637" t="s">
        <v>1163</v>
      </c>
      <c r="I64" s="637" t="s">
        <v>58</v>
      </c>
      <c r="J64" s="636">
        <v>22</v>
      </c>
      <c r="K64" s="636">
        <v>2</v>
      </c>
      <c r="L64" s="637" t="s">
        <v>52</v>
      </c>
      <c r="M64" s="637" t="s">
        <v>35</v>
      </c>
      <c r="N64" s="637" t="s">
        <v>36</v>
      </c>
      <c r="O64" s="637" t="s">
        <v>37</v>
      </c>
      <c r="P64" s="637" t="s">
        <v>1156</v>
      </c>
      <c r="Q64" s="638">
        <v>0</v>
      </c>
      <c r="R64" s="638">
        <v>0</v>
      </c>
      <c r="S64" s="638">
        <v>143098</v>
      </c>
      <c r="T64" s="638">
        <v>143098</v>
      </c>
      <c r="U64" s="638">
        <v>41940</v>
      </c>
      <c r="V64" s="636">
        <v>2022</v>
      </c>
      <c r="W64" s="640"/>
      <c r="X64" s="641">
        <f t="shared" si="2"/>
        <v>3.4119694802098235</v>
      </c>
      <c r="Y64" s="642" t="str">
        <f t="shared" si="3"/>
        <v/>
      </c>
      <c r="Z64" s="642" t="str">
        <f t="shared" si="1"/>
        <v/>
      </c>
    </row>
    <row r="65" spans="1:26" s="127" customFormat="1" ht="25">
      <c r="A65" s="636">
        <v>1478</v>
      </c>
      <c r="B65" s="637" t="s">
        <v>33</v>
      </c>
      <c r="C65" s="636" t="s">
        <v>2725</v>
      </c>
      <c r="D65" s="637" t="s">
        <v>1168</v>
      </c>
      <c r="E65" s="637" t="s">
        <v>1541</v>
      </c>
      <c r="F65" s="636">
        <v>59178</v>
      </c>
      <c r="G65" s="637" t="s">
        <v>90</v>
      </c>
      <c r="H65" s="637" t="s">
        <v>1163</v>
      </c>
      <c r="I65" s="637" t="s">
        <v>58</v>
      </c>
      <c r="J65" s="636">
        <v>22</v>
      </c>
      <c r="K65" s="636">
        <v>2</v>
      </c>
      <c r="L65" s="637" t="s">
        <v>52</v>
      </c>
      <c r="M65" s="637" t="s">
        <v>35</v>
      </c>
      <c r="N65" s="637" t="s">
        <v>36</v>
      </c>
      <c r="O65" s="637" t="s">
        <v>37</v>
      </c>
      <c r="P65" s="637" t="s">
        <v>1156</v>
      </c>
      <c r="Q65" s="638">
        <v>0</v>
      </c>
      <c r="R65" s="638">
        <v>0</v>
      </c>
      <c r="S65" s="638">
        <v>33454</v>
      </c>
      <c r="T65" s="638">
        <v>33454</v>
      </c>
      <c r="U65" s="638">
        <v>9804</v>
      </c>
      <c r="V65" s="636">
        <v>2022</v>
      </c>
      <c r="W65" s="640"/>
      <c r="X65" s="641">
        <f t="shared" si="2"/>
        <v>3.4122807017543861</v>
      </c>
      <c r="Y65" s="642" t="str">
        <f t="shared" si="3"/>
        <v/>
      </c>
      <c r="Z65" s="642" t="str">
        <f t="shared" si="1"/>
        <v/>
      </c>
    </row>
    <row r="66" spans="1:26" s="127" customFormat="1" ht="25">
      <c r="A66" s="636">
        <v>1482</v>
      </c>
      <c r="B66" s="637" t="s">
        <v>33</v>
      </c>
      <c r="C66" s="636" t="s">
        <v>2725</v>
      </c>
      <c r="D66" s="637" t="s">
        <v>575</v>
      </c>
      <c r="E66" s="637" t="s">
        <v>1165</v>
      </c>
      <c r="F66" s="636">
        <v>39006</v>
      </c>
      <c r="G66" s="637" t="s">
        <v>90</v>
      </c>
      <c r="H66" s="637" t="s">
        <v>1163</v>
      </c>
      <c r="I66" s="637" t="s">
        <v>58</v>
      </c>
      <c r="J66" s="636">
        <v>22</v>
      </c>
      <c r="K66" s="636">
        <v>2</v>
      </c>
      <c r="L66" s="637" t="s">
        <v>52</v>
      </c>
      <c r="M66" s="637" t="s">
        <v>35</v>
      </c>
      <c r="N66" s="637" t="s">
        <v>36</v>
      </c>
      <c r="O66" s="637" t="s">
        <v>37</v>
      </c>
      <c r="P66" s="637" t="s">
        <v>1156</v>
      </c>
      <c r="Q66" s="638">
        <v>0</v>
      </c>
      <c r="R66" s="638">
        <v>0</v>
      </c>
      <c r="S66" s="638">
        <v>135837</v>
      </c>
      <c r="T66" s="638">
        <v>135837</v>
      </c>
      <c r="U66" s="638">
        <v>39811</v>
      </c>
      <c r="V66" s="636">
        <v>2022</v>
      </c>
      <c r="W66" s="640"/>
      <c r="X66" s="641">
        <f t="shared" si="2"/>
        <v>3.4120469217050564</v>
      </c>
      <c r="Y66" s="642" t="str">
        <f t="shared" si="3"/>
        <v/>
      </c>
      <c r="Z66" s="642" t="str">
        <f t="shared" si="1"/>
        <v/>
      </c>
    </row>
    <row r="67" spans="1:26" s="127" customFormat="1" ht="25">
      <c r="A67" s="636">
        <v>1483</v>
      </c>
      <c r="B67" s="637" t="s">
        <v>33</v>
      </c>
      <c r="C67" s="636" t="s">
        <v>2725</v>
      </c>
      <c r="D67" s="637" t="s">
        <v>1542</v>
      </c>
      <c r="E67" s="637" t="s">
        <v>1165</v>
      </c>
      <c r="F67" s="636">
        <v>39006</v>
      </c>
      <c r="G67" s="637" t="s">
        <v>90</v>
      </c>
      <c r="H67" s="637" t="s">
        <v>1163</v>
      </c>
      <c r="I67" s="637" t="s">
        <v>58</v>
      </c>
      <c r="J67" s="636">
        <v>22</v>
      </c>
      <c r="K67" s="636">
        <v>2</v>
      </c>
      <c r="L67" s="637" t="s">
        <v>52</v>
      </c>
      <c r="M67" s="637" t="s">
        <v>35</v>
      </c>
      <c r="N67" s="637" t="s">
        <v>36</v>
      </c>
      <c r="O67" s="637" t="s">
        <v>37</v>
      </c>
      <c r="P67" s="637" t="s">
        <v>1156</v>
      </c>
      <c r="Q67" s="638">
        <v>0</v>
      </c>
      <c r="R67" s="638">
        <v>0</v>
      </c>
      <c r="S67" s="638">
        <v>296834</v>
      </c>
      <c r="T67" s="638">
        <v>296834</v>
      </c>
      <c r="U67" s="638">
        <v>86997</v>
      </c>
      <c r="V67" s="636">
        <v>2022</v>
      </c>
      <c r="W67" s="640"/>
      <c r="X67" s="641">
        <f t="shared" si="2"/>
        <v>3.412002712737221</v>
      </c>
      <c r="Y67" s="642" t="str">
        <f t="shared" si="3"/>
        <v/>
      </c>
      <c r="Z67" s="642" t="str">
        <f t="shared" si="1"/>
        <v/>
      </c>
    </row>
    <row r="68" spans="1:26" s="127" customFormat="1" ht="25">
      <c r="A68" s="636">
        <v>1484</v>
      </c>
      <c r="B68" s="637" t="s">
        <v>33</v>
      </c>
      <c r="C68" s="636" t="s">
        <v>2725</v>
      </c>
      <c r="D68" s="637" t="s">
        <v>576</v>
      </c>
      <c r="E68" s="637" t="s">
        <v>577</v>
      </c>
      <c r="F68" s="636">
        <v>14876</v>
      </c>
      <c r="G68" s="637" t="s">
        <v>90</v>
      </c>
      <c r="H68" s="637" t="s">
        <v>1163</v>
      </c>
      <c r="I68" s="637" t="s">
        <v>58</v>
      </c>
      <c r="J68" s="636">
        <v>22</v>
      </c>
      <c r="K68" s="636">
        <v>2</v>
      </c>
      <c r="L68" s="637" t="s">
        <v>52</v>
      </c>
      <c r="M68" s="637" t="s">
        <v>50</v>
      </c>
      <c r="N68" s="637" t="s">
        <v>46</v>
      </c>
      <c r="O68" s="637" t="s">
        <v>46</v>
      </c>
      <c r="P68" s="637" t="s">
        <v>47</v>
      </c>
      <c r="Q68" s="638">
        <v>1022</v>
      </c>
      <c r="R68" s="638">
        <v>1022</v>
      </c>
      <c r="S68" s="638">
        <v>5825</v>
      </c>
      <c r="T68" s="638">
        <v>5825</v>
      </c>
      <c r="U68" s="638">
        <v>281</v>
      </c>
      <c r="V68" s="636">
        <v>2022</v>
      </c>
      <c r="W68" s="640"/>
      <c r="X68" s="641">
        <f t="shared" si="2"/>
        <v>20.729537366548044</v>
      </c>
      <c r="Y68" s="642" t="str">
        <f t="shared" si="3"/>
        <v/>
      </c>
      <c r="Z68" s="642" t="str">
        <f t="shared" si="1"/>
        <v/>
      </c>
    </row>
    <row r="69" spans="1:26" s="127" customFormat="1" ht="25">
      <c r="A69" s="636">
        <v>1484</v>
      </c>
      <c r="B69" s="637" t="s">
        <v>33</v>
      </c>
      <c r="C69" s="636" t="s">
        <v>2725</v>
      </c>
      <c r="D69" s="637" t="s">
        <v>576</v>
      </c>
      <c r="E69" s="637" t="s">
        <v>577</v>
      </c>
      <c r="F69" s="636">
        <v>14876</v>
      </c>
      <c r="G69" s="637" t="s">
        <v>90</v>
      </c>
      <c r="H69" s="637" t="s">
        <v>1163</v>
      </c>
      <c r="I69" s="637" t="s">
        <v>58</v>
      </c>
      <c r="J69" s="636">
        <v>22</v>
      </c>
      <c r="K69" s="636">
        <v>2</v>
      </c>
      <c r="L69" s="637" t="s">
        <v>52</v>
      </c>
      <c r="M69" s="637" t="s">
        <v>50</v>
      </c>
      <c r="N69" s="637" t="s">
        <v>66</v>
      </c>
      <c r="O69" s="637" t="s">
        <v>67</v>
      </c>
      <c r="P69" s="637" t="s">
        <v>47</v>
      </c>
      <c r="Q69" s="638">
        <v>0</v>
      </c>
      <c r="R69" s="638">
        <v>0</v>
      </c>
      <c r="S69" s="638">
        <v>0</v>
      </c>
      <c r="T69" s="638">
        <v>0</v>
      </c>
      <c r="U69" s="638">
        <v>0</v>
      </c>
      <c r="V69" s="636">
        <v>2022</v>
      </c>
      <c r="W69" s="640"/>
      <c r="X69" s="641" t="str">
        <f t="shared" si="2"/>
        <v/>
      </c>
      <c r="Y69" s="642" t="str">
        <f t="shared" si="3"/>
        <v/>
      </c>
      <c r="Z69" s="642" t="str">
        <f t="shared" si="1"/>
        <v/>
      </c>
    </row>
    <row r="70" spans="1:26" s="127" customFormat="1" ht="25">
      <c r="A70" s="636">
        <v>1486</v>
      </c>
      <c r="B70" s="637" t="s">
        <v>33</v>
      </c>
      <c r="C70" s="636" t="s">
        <v>2725</v>
      </c>
      <c r="D70" s="637" t="s">
        <v>1543</v>
      </c>
      <c r="E70" s="637" t="s">
        <v>1165</v>
      </c>
      <c r="F70" s="636">
        <v>39006</v>
      </c>
      <c r="G70" s="637" t="s">
        <v>90</v>
      </c>
      <c r="H70" s="637" t="s">
        <v>1163</v>
      </c>
      <c r="I70" s="637" t="s">
        <v>58</v>
      </c>
      <c r="J70" s="636">
        <v>22</v>
      </c>
      <c r="K70" s="636">
        <v>2</v>
      </c>
      <c r="L70" s="637" t="s">
        <v>52</v>
      </c>
      <c r="M70" s="637" t="s">
        <v>35</v>
      </c>
      <c r="N70" s="637" t="s">
        <v>36</v>
      </c>
      <c r="O70" s="637" t="s">
        <v>37</v>
      </c>
      <c r="P70" s="637" t="s">
        <v>1156</v>
      </c>
      <c r="Q70" s="638">
        <v>0</v>
      </c>
      <c r="R70" s="638">
        <v>0</v>
      </c>
      <c r="S70" s="638">
        <v>0</v>
      </c>
      <c r="T70" s="638">
        <v>0</v>
      </c>
      <c r="U70" s="638">
        <v>0</v>
      </c>
      <c r="V70" s="636">
        <v>2022</v>
      </c>
      <c r="W70" s="640"/>
      <c r="X70" s="641" t="str">
        <f t="shared" si="2"/>
        <v/>
      </c>
      <c r="Y70" s="642" t="str">
        <f t="shared" si="3"/>
        <v/>
      </c>
      <c r="Z70" s="642" t="str">
        <f t="shared" si="1"/>
        <v/>
      </c>
    </row>
    <row r="71" spans="1:26" s="127" customFormat="1" ht="25">
      <c r="A71" s="636">
        <v>1488</v>
      </c>
      <c r="B71" s="637" t="s">
        <v>33</v>
      </c>
      <c r="C71" s="636" t="s">
        <v>2725</v>
      </c>
      <c r="D71" s="637" t="s">
        <v>578</v>
      </c>
      <c r="E71" s="637" t="s">
        <v>1165</v>
      </c>
      <c r="F71" s="636">
        <v>39006</v>
      </c>
      <c r="G71" s="637" t="s">
        <v>90</v>
      </c>
      <c r="H71" s="637" t="s">
        <v>1163</v>
      </c>
      <c r="I71" s="637" t="s">
        <v>58</v>
      </c>
      <c r="J71" s="636">
        <v>22</v>
      </c>
      <c r="K71" s="636">
        <v>2</v>
      </c>
      <c r="L71" s="637" t="s">
        <v>52</v>
      </c>
      <c r="M71" s="637" t="s">
        <v>35</v>
      </c>
      <c r="N71" s="637" t="s">
        <v>36</v>
      </c>
      <c r="O71" s="637" t="s">
        <v>37</v>
      </c>
      <c r="P71" s="637" t="s">
        <v>1156</v>
      </c>
      <c r="Q71" s="638">
        <v>0</v>
      </c>
      <c r="R71" s="638">
        <v>0</v>
      </c>
      <c r="S71" s="638">
        <v>191679</v>
      </c>
      <c r="T71" s="638">
        <v>191679</v>
      </c>
      <c r="U71" s="638">
        <v>56178</v>
      </c>
      <c r="V71" s="636">
        <v>2022</v>
      </c>
      <c r="W71" s="640"/>
      <c r="X71" s="641">
        <f t="shared" si="2"/>
        <v>3.4119940190110007</v>
      </c>
      <c r="Y71" s="642" t="str">
        <f t="shared" si="3"/>
        <v/>
      </c>
      <c r="Z71" s="642" t="str">
        <f t="shared" si="1"/>
        <v/>
      </c>
    </row>
    <row r="72" spans="1:26" s="127" customFormat="1" ht="25">
      <c r="A72" s="636">
        <v>1491</v>
      </c>
      <c r="B72" s="637" t="s">
        <v>33</v>
      </c>
      <c r="C72" s="636" t="s">
        <v>2725</v>
      </c>
      <c r="D72" s="637" t="s">
        <v>579</v>
      </c>
      <c r="E72" s="637" t="s">
        <v>1165</v>
      </c>
      <c r="F72" s="636">
        <v>39006</v>
      </c>
      <c r="G72" s="637" t="s">
        <v>90</v>
      </c>
      <c r="H72" s="637" t="s">
        <v>1163</v>
      </c>
      <c r="I72" s="637" t="s">
        <v>58</v>
      </c>
      <c r="J72" s="636">
        <v>22</v>
      </c>
      <c r="K72" s="636">
        <v>2</v>
      </c>
      <c r="L72" s="637" t="s">
        <v>52</v>
      </c>
      <c r="M72" s="637" t="s">
        <v>35</v>
      </c>
      <c r="N72" s="637" t="s">
        <v>36</v>
      </c>
      <c r="O72" s="637" t="s">
        <v>37</v>
      </c>
      <c r="P72" s="637" t="s">
        <v>1156</v>
      </c>
      <c r="Q72" s="638">
        <v>0</v>
      </c>
      <c r="R72" s="638">
        <v>0</v>
      </c>
      <c r="S72" s="638">
        <v>431029</v>
      </c>
      <c r="T72" s="638">
        <v>431029</v>
      </c>
      <c r="U72" s="638">
        <v>126327</v>
      </c>
      <c r="V72" s="636">
        <v>2022</v>
      </c>
      <c r="W72" s="640"/>
      <c r="X72" s="641">
        <f t="shared" ref="X72:X135" si="4">IF(OR(K72&gt;3,T72=0,NOT(U72&gt;0)),"",T72/U72)</f>
        <v>3.4120101007702233</v>
      </c>
      <c r="Y72" s="642" t="str">
        <f t="shared" ref="Y72:Y135" si="5">IF(AND($M72=$Y$2,$N72=$Y$3,NOT($Q72=$R72),NOT($U72=0)),IF($K72=5,$S72/($U72+(8/5)*$U72),IF($K72=7,$S72/($U72+(29/25)*$U72),"")),"")</f>
        <v/>
      </c>
      <c r="Z72" s="642" t="str">
        <f t="shared" si="1"/>
        <v/>
      </c>
    </row>
    <row r="73" spans="1:26" s="127" customFormat="1" ht="25">
      <c r="A73" s="636">
        <v>1492</v>
      </c>
      <c r="B73" s="637" t="s">
        <v>33</v>
      </c>
      <c r="C73" s="636" t="s">
        <v>2725</v>
      </c>
      <c r="D73" s="637" t="s">
        <v>1544</v>
      </c>
      <c r="E73" s="637" t="s">
        <v>1165</v>
      </c>
      <c r="F73" s="636">
        <v>39006</v>
      </c>
      <c r="G73" s="637" t="s">
        <v>90</v>
      </c>
      <c r="H73" s="637" t="s">
        <v>1163</v>
      </c>
      <c r="I73" s="637" t="s">
        <v>58</v>
      </c>
      <c r="J73" s="636">
        <v>22</v>
      </c>
      <c r="K73" s="636">
        <v>2</v>
      </c>
      <c r="L73" s="637" t="s">
        <v>52</v>
      </c>
      <c r="M73" s="637" t="s">
        <v>35</v>
      </c>
      <c r="N73" s="637" t="s">
        <v>36</v>
      </c>
      <c r="O73" s="637" t="s">
        <v>37</v>
      </c>
      <c r="P73" s="637" t="s">
        <v>1156</v>
      </c>
      <c r="Q73" s="638">
        <v>0</v>
      </c>
      <c r="R73" s="638">
        <v>0</v>
      </c>
      <c r="S73" s="638">
        <v>721894</v>
      </c>
      <c r="T73" s="638">
        <v>721894</v>
      </c>
      <c r="U73" s="638">
        <v>211575</v>
      </c>
      <c r="V73" s="636">
        <v>2022</v>
      </c>
      <c r="W73" s="640"/>
      <c r="X73" s="641">
        <f t="shared" si="4"/>
        <v>3.4120004726456341</v>
      </c>
      <c r="Y73" s="642" t="str">
        <f t="shared" si="5"/>
        <v/>
      </c>
      <c r="Z73" s="642" t="str">
        <f t="shared" si="1"/>
        <v/>
      </c>
    </row>
    <row r="74" spans="1:26" s="127" customFormat="1" ht="25">
      <c r="A74" s="636">
        <v>1493</v>
      </c>
      <c r="B74" s="637" t="s">
        <v>33</v>
      </c>
      <c r="C74" s="636" t="s">
        <v>2725</v>
      </c>
      <c r="D74" s="637" t="s">
        <v>580</v>
      </c>
      <c r="E74" s="637" t="s">
        <v>1165</v>
      </c>
      <c r="F74" s="636">
        <v>39006</v>
      </c>
      <c r="G74" s="637" t="s">
        <v>90</v>
      </c>
      <c r="H74" s="637" t="s">
        <v>1163</v>
      </c>
      <c r="I74" s="637" t="s">
        <v>58</v>
      </c>
      <c r="J74" s="636">
        <v>22</v>
      </c>
      <c r="K74" s="636">
        <v>2</v>
      </c>
      <c r="L74" s="637" t="s">
        <v>52</v>
      </c>
      <c r="M74" s="637" t="s">
        <v>35</v>
      </c>
      <c r="N74" s="637" t="s">
        <v>36</v>
      </c>
      <c r="O74" s="637" t="s">
        <v>37</v>
      </c>
      <c r="P74" s="637" t="s">
        <v>1156</v>
      </c>
      <c r="Q74" s="638">
        <v>0</v>
      </c>
      <c r="R74" s="638">
        <v>0</v>
      </c>
      <c r="S74" s="638">
        <v>128276</v>
      </c>
      <c r="T74" s="638">
        <v>128276</v>
      </c>
      <c r="U74" s="638">
        <v>37596</v>
      </c>
      <c r="V74" s="636">
        <v>2022</v>
      </c>
      <c r="W74" s="640"/>
      <c r="X74" s="641">
        <f t="shared" si="4"/>
        <v>3.4119587190126608</v>
      </c>
      <c r="Y74" s="642" t="str">
        <f t="shared" si="5"/>
        <v/>
      </c>
      <c r="Z74" s="642" t="str">
        <f t="shared" si="1"/>
        <v/>
      </c>
    </row>
    <row r="75" spans="1:26" s="127" customFormat="1" ht="25">
      <c r="A75" s="636">
        <v>1497</v>
      </c>
      <c r="B75" s="637" t="s">
        <v>33</v>
      </c>
      <c r="C75" s="636" t="s">
        <v>2725</v>
      </c>
      <c r="D75" s="637" t="s">
        <v>581</v>
      </c>
      <c r="E75" s="637" t="s">
        <v>1023</v>
      </c>
      <c r="F75" s="636">
        <v>56854</v>
      </c>
      <c r="G75" s="637" t="s">
        <v>90</v>
      </c>
      <c r="H75" s="637" t="s">
        <v>1163</v>
      </c>
      <c r="I75" s="637" t="s">
        <v>58</v>
      </c>
      <c r="J75" s="636">
        <v>22</v>
      </c>
      <c r="K75" s="636">
        <v>2</v>
      </c>
      <c r="L75" s="637" t="s">
        <v>52</v>
      </c>
      <c r="M75" s="637" t="s">
        <v>35</v>
      </c>
      <c r="N75" s="637" t="s">
        <v>36</v>
      </c>
      <c r="O75" s="637" t="s">
        <v>37</v>
      </c>
      <c r="P75" s="637" t="s">
        <v>1156</v>
      </c>
      <c r="Q75" s="638">
        <v>0</v>
      </c>
      <c r="R75" s="638">
        <v>0</v>
      </c>
      <c r="S75" s="638">
        <v>29857</v>
      </c>
      <c r="T75" s="638">
        <v>29857</v>
      </c>
      <c r="U75" s="638">
        <v>8751</v>
      </c>
      <c r="V75" s="636">
        <v>2022</v>
      </c>
      <c r="W75" s="640"/>
      <c r="X75" s="641">
        <f t="shared" si="4"/>
        <v>3.4118386470117699</v>
      </c>
      <c r="Y75" s="642" t="str">
        <f t="shared" si="5"/>
        <v/>
      </c>
      <c r="Z75" s="642" t="str">
        <f t="shared" si="1"/>
        <v/>
      </c>
    </row>
    <row r="76" spans="1:26" s="127" customFormat="1" ht="25">
      <c r="A76" s="636">
        <v>1498</v>
      </c>
      <c r="B76" s="637" t="s">
        <v>33</v>
      </c>
      <c r="C76" s="636" t="s">
        <v>2725</v>
      </c>
      <c r="D76" s="637" t="s">
        <v>582</v>
      </c>
      <c r="E76" s="637" t="s">
        <v>1023</v>
      </c>
      <c r="F76" s="636">
        <v>56854</v>
      </c>
      <c r="G76" s="637" t="s">
        <v>90</v>
      </c>
      <c r="H76" s="637" t="s">
        <v>1163</v>
      </c>
      <c r="I76" s="637" t="s">
        <v>58</v>
      </c>
      <c r="J76" s="636">
        <v>22</v>
      </c>
      <c r="K76" s="636">
        <v>2</v>
      </c>
      <c r="L76" s="637" t="s">
        <v>52</v>
      </c>
      <c r="M76" s="637" t="s">
        <v>35</v>
      </c>
      <c r="N76" s="637" t="s">
        <v>36</v>
      </c>
      <c r="O76" s="637" t="s">
        <v>37</v>
      </c>
      <c r="P76" s="637" t="s">
        <v>1156</v>
      </c>
      <c r="Q76" s="638">
        <v>0</v>
      </c>
      <c r="R76" s="638">
        <v>0</v>
      </c>
      <c r="S76" s="638">
        <v>16497</v>
      </c>
      <c r="T76" s="638">
        <v>16497</v>
      </c>
      <c r="U76" s="638">
        <v>4835</v>
      </c>
      <c r="V76" s="636">
        <v>2022</v>
      </c>
      <c r="W76" s="640"/>
      <c r="X76" s="641">
        <f t="shared" si="4"/>
        <v>3.4119958634953464</v>
      </c>
      <c r="Y76" s="642" t="str">
        <f t="shared" si="5"/>
        <v/>
      </c>
      <c r="Z76" s="642" t="str">
        <f t="shared" si="1"/>
        <v/>
      </c>
    </row>
    <row r="77" spans="1:26" s="127" customFormat="1" ht="25">
      <c r="A77" s="636">
        <v>1500</v>
      </c>
      <c r="B77" s="637" t="s">
        <v>33</v>
      </c>
      <c r="C77" s="636" t="s">
        <v>2725</v>
      </c>
      <c r="D77" s="637" t="s">
        <v>1024</v>
      </c>
      <c r="E77" s="637" t="s">
        <v>1023</v>
      </c>
      <c r="F77" s="636">
        <v>56854</v>
      </c>
      <c r="G77" s="637" t="s">
        <v>90</v>
      </c>
      <c r="H77" s="637" t="s">
        <v>1163</v>
      </c>
      <c r="I77" s="637" t="s">
        <v>58</v>
      </c>
      <c r="J77" s="636">
        <v>22</v>
      </c>
      <c r="K77" s="636">
        <v>2</v>
      </c>
      <c r="L77" s="637" t="s">
        <v>52</v>
      </c>
      <c r="M77" s="637" t="s">
        <v>35</v>
      </c>
      <c r="N77" s="637" t="s">
        <v>36</v>
      </c>
      <c r="O77" s="637" t="s">
        <v>37</v>
      </c>
      <c r="P77" s="637" t="s">
        <v>1156</v>
      </c>
      <c r="Q77" s="638">
        <v>0</v>
      </c>
      <c r="R77" s="638">
        <v>0</v>
      </c>
      <c r="S77" s="638">
        <v>14754</v>
      </c>
      <c r="T77" s="638">
        <v>14754</v>
      </c>
      <c r="U77" s="638">
        <v>4324</v>
      </c>
      <c r="V77" s="636">
        <v>2022</v>
      </c>
      <c r="W77" s="640"/>
      <c r="X77" s="641">
        <f t="shared" si="4"/>
        <v>3.4121184088806662</v>
      </c>
      <c r="Y77" s="642" t="str">
        <f t="shared" si="5"/>
        <v/>
      </c>
      <c r="Z77" s="642" t="str">
        <f t="shared" si="1"/>
        <v/>
      </c>
    </row>
    <row r="78" spans="1:26" s="127" customFormat="1" ht="25">
      <c r="A78" s="636">
        <v>1501</v>
      </c>
      <c r="B78" s="637" t="s">
        <v>33</v>
      </c>
      <c r="C78" s="636" t="s">
        <v>2725</v>
      </c>
      <c r="D78" s="637" t="s">
        <v>583</v>
      </c>
      <c r="E78" s="637" t="s">
        <v>1165</v>
      </c>
      <c r="F78" s="636">
        <v>39006</v>
      </c>
      <c r="G78" s="637" t="s">
        <v>90</v>
      </c>
      <c r="H78" s="637" t="s">
        <v>1163</v>
      </c>
      <c r="I78" s="637" t="s">
        <v>58</v>
      </c>
      <c r="J78" s="636">
        <v>22</v>
      </c>
      <c r="K78" s="636">
        <v>2</v>
      </c>
      <c r="L78" s="637" t="s">
        <v>52</v>
      </c>
      <c r="M78" s="637" t="s">
        <v>35</v>
      </c>
      <c r="N78" s="637" t="s">
        <v>36</v>
      </c>
      <c r="O78" s="637" t="s">
        <v>37</v>
      </c>
      <c r="P78" s="637" t="s">
        <v>1156</v>
      </c>
      <c r="Q78" s="638">
        <v>0</v>
      </c>
      <c r="R78" s="638">
        <v>0</v>
      </c>
      <c r="S78" s="638">
        <v>29425</v>
      </c>
      <c r="T78" s="638">
        <v>29425</v>
      </c>
      <c r="U78" s="638">
        <v>8624</v>
      </c>
      <c r="V78" s="636">
        <v>2022</v>
      </c>
      <c r="W78" s="640"/>
      <c r="X78" s="641">
        <f t="shared" si="4"/>
        <v>3.4119897959183674</v>
      </c>
      <c r="Y78" s="642" t="str">
        <f t="shared" si="5"/>
        <v/>
      </c>
      <c r="Z78" s="642" t="str">
        <f t="shared" si="1"/>
        <v/>
      </c>
    </row>
    <row r="79" spans="1:26" s="127" customFormat="1" ht="25">
      <c r="A79" s="636">
        <v>1504</v>
      </c>
      <c r="B79" s="637" t="s">
        <v>33</v>
      </c>
      <c r="C79" s="636" t="s">
        <v>2725</v>
      </c>
      <c r="D79" s="637" t="s">
        <v>584</v>
      </c>
      <c r="E79" s="637" t="s">
        <v>1165</v>
      </c>
      <c r="F79" s="636">
        <v>39006</v>
      </c>
      <c r="G79" s="637" t="s">
        <v>90</v>
      </c>
      <c r="H79" s="637" t="s">
        <v>1163</v>
      </c>
      <c r="I79" s="637" t="s">
        <v>58</v>
      </c>
      <c r="J79" s="636">
        <v>22</v>
      </c>
      <c r="K79" s="636">
        <v>2</v>
      </c>
      <c r="L79" s="637" t="s">
        <v>52</v>
      </c>
      <c r="M79" s="637" t="s">
        <v>35</v>
      </c>
      <c r="N79" s="637" t="s">
        <v>36</v>
      </c>
      <c r="O79" s="637" t="s">
        <v>37</v>
      </c>
      <c r="P79" s="637" t="s">
        <v>1156</v>
      </c>
      <c r="Q79" s="638">
        <v>0</v>
      </c>
      <c r="R79" s="638">
        <v>0</v>
      </c>
      <c r="S79" s="638">
        <v>138813</v>
      </c>
      <c r="T79" s="638">
        <v>138813</v>
      </c>
      <c r="U79" s="638">
        <v>40684</v>
      </c>
      <c r="V79" s="636">
        <v>2022</v>
      </c>
      <c r="W79" s="640"/>
      <c r="X79" s="641">
        <f t="shared" si="4"/>
        <v>3.4119801396126239</v>
      </c>
      <c r="Y79" s="642" t="str">
        <f t="shared" si="5"/>
        <v/>
      </c>
      <c r="Z79" s="642" t="str">
        <f t="shared" si="1"/>
        <v/>
      </c>
    </row>
    <row r="80" spans="1:26" s="127" customFormat="1" ht="25">
      <c r="A80" s="636">
        <v>1505</v>
      </c>
      <c r="B80" s="637" t="s">
        <v>33</v>
      </c>
      <c r="C80" s="636" t="s">
        <v>2725</v>
      </c>
      <c r="D80" s="637" t="s">
        <v>585</v>
      </c>
      <c r="E80" s="637" t="s">
        <v>1165</v>
      </c>
      <c r="F80" s="636">
        <v>39006</v>
      </c>
      <c r="G80" s="637" t="s">
        <v>90</v>
      </c>
      <c r="H80" s="637" t="s">
        <v>1163</v>
      </c>
      <c r="I80" s="637" t="s">
        <v>58</v>
      </c>
      <c r="J80" s="636">
        <v>22</v>
      </c>
      <c r="K80" s="636">
        <v>2</v>
      </c>
      <c r="L80" s="637" t="s">
        <v>52</v>
      </c>
      <c r="M80" s="637" t="s">
        <v>35</v>
      </c>
      <c r="N80" s="637" t="s">
        <v>36</v>
      </c>
      <c r="O80" s="637" t="s">
        <v>37</v>
      </c>
      <c r="P80" s="637" t="s">
        <v>1156</v>
      </c>
      <c r="Q80" s="638">
        <v>0</v>
      </c>
      <c r="R80" s="638">
        <v>0</v>
      </c>
      <c r="S80" s="638">
        <v>368041</v>
      </c>
      <c r="T80" s="638">
        <v>368041</v>
      </c>
      <c r="U80" s="638">
        <v>107867</v>
      </c>
      <c r="V80" s="636">
        <v>2022</v>
      </c>
      <c r="W80" s="640"/>
      <c r="X80" s="641">
        <f t="shared" si="4"/>
        <v>3.4119888381061863</v>
      </c>
      <c r="Y80" s="642" t="str">
        <f t="shared" si="5"/>
        <v/>
      </c>
      <c r="Z80" s="642" t="str">
        <f t="shared" si="1"/>
        <v/>
      </c>
    </row>
    <row r="81" spans="1:26" s="127" customFormat="1" ht="25">
      <c r="A81" s="636">
        <v>1507</v>
      </c>
      <c r="B81" s="637" t="s">
        <v>33</v>
      </c>
      <c r="C81" s="636" t="s">
        <v>2725</v>
      </c>
      <c r="D81" s="637" t="s">
        <v>2727</v>
      </c>
      <c r="E81" s="637" t="s">
        <v>5</v>
      </c>
      <c r="F81" s="636">
        <v>31719</v>
      </c>
      <c r="G81" s="637" t="s">
        <v>90</v>
      </c>
      <c r="H81" s="637" t="s">
        <v>1163</v>
      </c>
      <c r="I81" s="637" t="s">
        <v>58</v>
      </c>
      <c r="J81" s="636">
        <v>22</v>
      </c>
      <c r="K81" s="636">
        <v>2</v>
      </c>
      <c r="L81" s="637" t="s">
        <v>52</v>
      </c>
      <c r="M81" s="637" t="s">
        <v>1852</v>
      </c>
      <c r="N81" s="637" t="s">
        <v>1035</v>
      </c>
      <c r="O81" s="637" t="s">
        <v>82</v>
      </c>
      <c r="P81" s="637" t="s">
        <v>2726</v>
      </c>
      <c r="Q81" s="638">
        <v>8257</v>
      </c>
      <c r="R81" s="638">
        <v>8257</v>
      </c>
      <c r="S81" s="638">
        <v>0</v>
      </c>
      <c r="T81" s="638">
        <v>0</v>
      </c>
      <c r="U81" s="638">
        <v>-1604</v>
      </c>
      <c r="V81" s="636">
        <v>2022</v>
      </c>
      <c r="W81" s="640"/>
      <c r="X81" s="641" t="str">
        <f t="shared" si="4"/>
        <v/>
      </c>
      <c r="Y81" s="642" t="str">
        <f t="shared" si="5"/>
        <v/>
      </c>
      <c r="Z81" s="642" t="str">
        <f t="shared" si="1"/>
        <v/>
      </c>
    </row>
    <row r="82" spans="1:26" s="127" customFormat="1" ht="25">
      <c r="A82" s="636">
        <v>1507</v>
      </c>
      <c r="B82" s="637" t="s">
        <v>33</v>
      </c>
      <c r="C82" s="636" t="s">
        <v>2725</v>
      </c>
      <c r="D82" s="637" t="s">
        <v>2727</v>
      </c>
      <c r="E82" s="637" t="s">
        <v>5</v>
      </c>
      <c r="F82" s="636">
        <v>31719</v>
      </c>
      <c r="G82" s="637" t="s">
        <v>90</v>
      </c>
      <c r="H82" s="637" t="s">
        <v>1163</v>
      </c>
      <c r="I82" s="637" t="s">
        <v>58</v>
      </c>
      <c r="J82" s="636">
        <v>22</v>
      </c>
      <c r="K82" s="636">
        <v>2</v>
      </c>
      <c r="L82" s="637" t="s">
        <v>52</v>
      </c>
      <c r="M82" s="637" t="s">
        <v>42</v>
      </c>
      <c r="N82" s="637" t="s">
        <v>46</v>
      </c>
      <c r="O82" s="637" t="s">
        <v>46</v>
      </c>
      <c r="P82" s="637" t="s">
        <v>47</v>
      </c>
      <c r="Q82" s="638">
        <v>2805</v>
      </c>
      <c r="R82" s="638">
        <v>2805</v>
      </c>
      <c r="S82" s="638">
        <v>16338</v>
      </c>
      <c r="T82" s="638">
        <v>16338</v>
      </c>
      <c r="U82" s="638">
        <v>1093.8440000000001</v>
      </c>
      <c r="V82" s="636">
        <v>2022</v>
      </c>
      <c r="W82" s="640" t="s">
        <v>3934</v>
      </c>
      <c r="X82" s="641">
        <f t="shared" si="4"/>
        <v>14.936316330299384</v>
      </c>
      <c r="Y82" s="642" t="str">
        <f t="shared" si="5"/>
        <v/>
      </c>
      <c r="Z82" s="642" t="str">
        <f t="shared" si="1"/>
        <v/>
      </c>
    </row>
    <row r="83" spans="1:26" s="127" customFormat="1" ht="25">
      <c r="A83" s="636">
        <v>1507</v>
      </c>
      <c r="B83" s="637" t="s">
        <v>33</v>
      </c>
      <c r="C83" s="636" t="s">
        <v>2725</v>
      </c>
      <c r="D83" s="637" t="s">
        <v>2727</v>
      </c>
      <c r="E83" s="637" t="s">
        <v>5</v>
      </c>
      <c r="F83" s="636">
        <v>31719</v>
      </c>
      <c r="G83" s="637" t="s">
        <v>90</v>
      </c>
      <c r="H83" s="637" t="s">
        <v>1163</v>
      </c>
      <c r="I83" s="637" t="s">
        <v>58</v>
      </c>
      <c r="J83" s="636">
        <v>22</v>
      </c>
      <c r="K83" s="636">
        <v>2</v>
      </c>
      <c r="L83" s="637" t="s">
        <v>52</v>
      </c>
      <c r="M83" s="637" t="s">
        <v>42</v>
      </c>
      <c r="N83" s="637" t="s">
        <v>61</v>
      </c>
      <c r="O83" s="637" t="s">
        <v>61</v>
      </c>
      <c r="P83" s="637" t="s">
        <v>47</v>
      </c>
      <c r="Q83" s="638">
        <v>414391</v>
      </c>
      <c r="R83" s="638">
        <v>414391</v>
      </c>
      <c r="S83" s="638">
        <v>2572901</v>
      </c>
      <c r="T83" s="638">
        <v>2572901</v>
      </c>
      <c r="U83" s="638">
        <v>234599.16</v>
      </c>
      <c r="V83" s="636">
        <v>2022</v>
      </c>
      <c r="W83" s="640" t="s">
        <v>3934</v>
      </c>
      <c r="X83" s="641">
        <f t="shared" si="4"/>
        <v>10.967221707017195</v>
      </c>
      <c r="Y83" s="642" t="str">
        <f t="shared" si="5"/>
        <v/>
      </c>
      <c r="Z83" s="642" t="str">
        <f t="shared" si="1"/>
        <v/>
      </c>
    </row>
    <row r="84" spans="1:26" s="127" customFormat="1" ht="25">
      <c r="A84" s="636">
        <v>1508</v>
      </c>
      <c r="B84" s="637" t="s">
        <v>33</v>
      </c>
      <c r="C84" s="636" t="s">
        <v>2725</v>
      </c>
      <c r="D84" s="637" t="s">
        <v>586</v>
      </c>
      <c r="E84" s="637" t="s">
        <v>1165</v>
      </c>
      <c r="F84" s="636">
        <v>39006</v>
      </c>
      <c r="G84" s="637" t="s">
        <v>90</v>
      </c>
      <c r="H84" s="637" t="s">
        <v>1163</v>
      </c>
      <c r="I84" s="637" t="s">
        <v>58</v>
      </c>
      <c r="J84" s="636">
        <v>22</v>
      </c>
      <c r="K84" s="636">
        <v>2</v>
      </c>
      <c r="L84" s="637" t="s">
        <v>52</v>
      </c>
      <c r="M84" s="637" t="s">
        <v>35</v>
      </c>
      <c r="N84" s="637" t="s">
        <v>36</v>
      </c>
      <c r="O84" s="637" t="s">
        <v>37</v>
      </c>
      <c r="P84" s="637" t="s">
        <v>1156</v>
      </c>
      <c r="Q84" s="638">
        <v>0</v>
      </c>
      <c r="R84" s="638">
        <v>0</v>
      </c>
      <c r="S84" s="638">
        <v>75225</v>
      </c>
      <c r="T84" s="638">
        <v>75225</v>
      </c>
      <c r="U84" s="638">
        <v>22047</v>
      </c>
      <c r="V84" s="636">
        <v>2022</v>
      </c>
      <c r="W84" s="640"/>
      <c r="X84" s="641">
        <f t="shared" si="4"/>
        <v>3.4120288474622398</v>
      </c>
      <c r="Y84" s="642" t="str">
        <f t="shared" si="5"/>
        <v/>
      </c>
      <c r="Z84" s="642" t="str">
        <f t="shared" si="1"/>
        <v/>
      </c>
    </row>
    <row r="85" spans="1:26" s="127" customFormat="1" ht="25">
      <c r="A85" s="636">
        <v>1509</v>
      </c>
      <c r="B85" s="637" t="s">
        <v>33</v>
      </c>
      <c r="C85" s="636" t="s">
        <v>2725</v>
      </c>
      <c r="D85" s="637" t="s">
        <v>1545</v>
      </c>
      <c r="E85" s="637" t="s">
        <v>1165</v>
      </c>
      <c r="F85" s="636">
        <v>39006</v>
      </c>
      <c r="G85" s="637" t="s">
        <v>90</v>
      </c>
      <c r="H85" s="637" t="s">
        <v>1163</v>
      </c>
      <c r="I85" s="637" t="s">
        <v>58</v>
      </c>
      <c r="J85" s="636">
        <v>22</v>
      </c>
      <c r="K85" s="636">
        <v>2</v>
      </c>
      <c r="L85" s="637" t="s">
        <v>52</v>
      </c>
      <c r="M85" s="637" t="s">
        <v>35</v>
      </c>
      <c r="N85" s="637" t="s">
        <v>36</v>
      </c>
      <c r="O85" s="637" t="s">
        <v>37</v>
      </c>
      <c r="P85" s="637" t="s">
        <v>1156</v>
      </c>
      <c r="Q85" s="638">
        <v>0</v>
      </c>
      <c r="R85" s="638">
        <v>0</v>
      </c>
      <c r="S85" s="638">
        <v>270780</v>
      </c>
      <c r="T85" s="638">
        <v>270780</v>
      </c>
      <c r="U85" s="638">
        <v>79361</v>
      </c>
      <c r="V85" s="636">
        <v>2022</v>
      </c>
      <c r="W85" s="640"/>
      <c r="X85" s="641">
        <f t="shared" si="4"/>
        <v>3.4120033769735763</v>
      </c>
      <c r="Y85" s="642" t="str">
        <f t="shared" si="5"/>
        <v/>
      </c>
      <c r="Z85" s="642" t="str">
        <f t="shared" si="1"/>
        <v/>
      </c>
    </row>
    <row r="86" spans="1:26" s="127" customFormat="1" ht="25">
      <c r="A86" s="636">
        <v>1510</v>
      </c>
      <c r="B86" s="637" t="s">
        <v>33</v>
      </c>
      <c r="C86" s="636" t="s">
        <v>2725</v>
      </c>
      <c r="D86" s="637" t="s">
        <v>1546</v>
      </c>
      <c r="E86" s="637" t="s">
        <v>1165</v>
      </c>
      <c r="F86" s="636">
        <v>39006</v>
      </c>
      <c r="G86" s="637" t="s">
        <v>90</v>
      </c>
      <c r="H86" s="637" t="s">
        <v>1163</v>
      </c>
      <c r="I86" s="637" t="s">
        <v>58</v>
      </c>
      <c r="J86" s="636">
        <v>22</v>
      </c>
      <c r="K86" s="636">
        <v>2</v>
      </c>
      <c r="L86" s="637" t="s">
        <v>52</v>
      </c>
      <c r="M86" s="637" t="s">
        <v>35</v>
      </c>
      <c r="N86" s="637" t="s">
        <v>36</v>
      </c>
      <c r="O86" s="637" t="s">
        <v>37</v>
      </c>
      <c r="P86" s="637" t="s">
        <v>1156</v>
      </c>
      <c r="Q86" s="638">
        <v>0</v>
      </c>
      <c r="R86" s="638">
        <v>0</v>
      </c>
      <c r="S86" s="638">
        <v>228443</v>
      </c>
      <c r="T86" s="638">
        <v>228443</v>
      </c>
      <c r="U86" s="638">
        <v>66953</v>
      </c>
      <c r="V86" s="636">
        <v>2022</v>
      </c>
      <c r="W86" s="640"/>
      <c r="X86" s="641">
        <f t="shared" si="4"/>
        <v>3.4119905007990678</v>
      </c>
      <c r="Y86" s="642" t="str">
        <f t="shared" si="5"/>
        <v/>
      </c>
      <c r="Z86" s="642" t="str">
        <f t="shared" si="1"/>
        <v/>
      </c>
    </row>
    <row r="87" spans="1:26" s="127" customFormat="1" ht="25">
      <c r="A87" s="636">
        <v>1511</v>
      </c>
      <c r="B87" s="637" t="s">
        <v>33</v>
      </c>
      <c r="C87" s="636" t="s">
        <v>2725</v>
      </c>
      <c r="D87" s="637" t="s">
        <v>6</v>
      </c>
      <c r="E87" s="637" t="s">
        <v>1165</v>
      </c>
      <c r="F87" s="636">
        <v>39006</v>
      </c>
      <c r="G87" s="637" t="s">
        <v>90</v>
      </c>
      <c r="H87" s="637" t="s">
        <v>1163</v>
      </c>
      <c r="I87" s="637" t="s">
        <v>58</v>
      </c>
      <c r="J87" s="636">
        <v>22</v>
      </c>
      <c r="K87" s="636">
        <v>2</v>
      </c>
      <c r="L87" s="637" t="s">
        <v>52</v>
      </c>
      <c r="M87" s="637" t="s">
        <v>35</v>
      </c>
      <c r="N87" s="637" t="s">
        <v>36</v>
      </c>
      <c r="O87" s="637" t="s">
        <v>37</v>
      </c>
      <c r="P87" s="637" t="s">
        <v>1156</v>
      </c>
      <c r="Q87" s="638">
        <v>0</v>
      </c>
      <c r="R87" s="638">
        <v>0</v>
      </c>
      <c r="S87" s="638">
        <v>1312161</v>
      </c>
      <c r="T87" s="638">
        <v>1312161</v>
      </c>
      <c r="U87" s="638">
        <v>384573</v>
      </c>
      <c r="V87" s="636">
        <v>2022</v>
      </c>
      <c r="W87" s="640"/>
      <c r="X87" s="641">
        <f t="shared" si="4"/>
        <v>3.411994601805119</v>
      </c>
      <c r="Y87" s="642" t="str">
        <f t="shared" si="5"/>
        <v/>
      </c>
      <c r="Z87" s="642" t="str">
        <f t="shared" si="1"/>
        <v/>
      </c>
    </row>
    <row r="88" spans="1:26" s="127" customFormat="1" ht="25">
      <c r="A88" s="636">
        <v>1516</v>
      </c>
      <c r="B88" s="637" t="s">
        <v>33</v>
      </c>
      <c r="C88" s="636" t="s">
        <v>2725</v>
      </c>
      <c r="D88" s="637" t="s">
        <v>587</v>
      </c>
      <c r="E88" s="637" t="s">
        <v>1025</v>
      </c>
      <c r="F88" s="636">
        <v>14597</v>
      </c>
      <c r="G88" s="637" t="s">
        <v>90</v>
      </c>
      <c r="H88" s="637" t="s">
        <v>1163</v>
      </c>
      <c r="I88" s="637" t="s">
        <v>58</v>
      </c>
      <c r="J88" s="636">
        <v>22</v>
      </c>
      <c r="K88" s="636">
        <v>2</v>
      </c>
      <c r="L88" s="637" t="s">
        <v>52</v>
      </c>
      <c r="M88" s="637" t="s">
        <v>35</v>
      </c>
      <c r="N88" s="637" t="s">
        <v>36</v>
      </c>
      <c r="O88" s="637" t="s">
        <v>37</v>
      </c>
      <c r="P88" s="637" t="s">
        <v>1156</v>
      </c>
      <c r="Q88" s="638">
        <v>0</v>
      </c>
      <c r="R88" s="638">
        <v>0</v>
      </c>
      <c r="S88" s="638">
        <v>2878</v>
      </c>
      <c r="T88" s="638">
        <v>2878</v>
      </c>
      <c r="U88" s="638">
        <v>843</v>
      </c>
      <c r="V88" s="636">
        <v>2022</v>
      </c>
      <c r="W88" s="640"/>
      <c r="X88" s="641">
        <f t="shared" si="4"/>
        <v>3.4139976275207591</v>
      </c>
      <c r="Y88" s="642" t="str">
        <f t="shared" si="5"/>
        <v/>
      </c>
      <c r="Z88" s="642" t="str">
        <f t="shared" si="1"/>
        <v/>
      </c>
    </row>
    <row r="89" spans="1:26" s="127" customFormat="1" ht="25">
      <c r="A89" s="636">
        <v>1586</v>
      </c>
      <c r="B89" s="637" t="s">
        <v>33</v>
      </c>
      <c r="C89" s="636" t="s">
        <v>2725</v>
      </c>
      <c r="D89" s="637" t="s">
        <v>588</v>
      </c>
      <c r="E89" s="637" t="s">
        <v>3596</v>
      </c>
      <c r="F89" s="636">
        <v>6035</v>
      </c>
      <c r="G89" s="637" t="s">
        <v>81</v>
      </c>
      <c r="H89" s="637" t="s">
        <v>1163</v>
      </c>
      <c r="I89" s="637" t="s">
        <v>58</v>
      </c>
      <c r="J89" s="636">
        <v>22</v>
      </c>
      <c r="K89" s="636">
        <v>2</v>
      </c>
      <c r="L89" s="637" t="s">
        <v>52</v>
      </c>
      <c r="M89" s="637" t="s">
        <v>50</v>
      </c>
      <c r="N89" s="637" t="s">
        <v>46</v>
      </c>
      <c r="O89" s="637" t="s">
        <v>46</v>
      </c>
      <c r="P89" s="637" t="s">
        <v>47</v>
      </c>
      <c r="Q89" s="638">
        <v>2980</v>
      </c>
      <c r="R89" s="638">
        <v>2980</v>
      </c>
      <c r="S89" s="638">
        <v>17730</v>
      </c>
      <c r="T89" s="638">
        <v>17730</v>
      </c>
      <c r="U89" s="638">
        <v>915</v>
      </c>
      <c r="V89" s="636">
        <v>2022</v>
      </c>
      <c r="W89" s="640"/>
      <c r="X89" s="641">
        <f t="shared" si="4"/>
        <v>19.377049180327869</v>
      </c>
      <c r="Y89" s="642" t="str">
        <f t="shared" si="5"/>
        <v/>
      </c>
      <c r="Z89" s="642" t="str">
        <f t="shared" si="1"/>
        <v/>
      </c>
    </row>
    <row r="90" spans="1:26" s="127" customFormat="1" ht="25">
      <c r="A90" s="636">
        <v>1588</v>
      </c>
      <c r="B90" s="637" t="s">
        <v>33</v>
      </c>
      <c r="C90" s="636" t="s">
        <v>2725</v>
      </c>
      <c r="D90" s="637" t="s">
        <v>7</v>
      </c>
      <c r="E90" s="637" t="s">
        <v>1081</v>
      </c>
      <c r="F90" s="636">
        <v>49965</v>
      </c>
      <c r="G90" s="637" t="s">
        <v>81</v>
      </c>
      <c r="H90" s="637" t="s">
        <v>1163</v>
      </c>
      <c r="I90" s="637" t="s">
        <v>58</v>
      </c>
      <c r="J90" s="636">
        <v>22</v>
      </c>
      <c r="K90" s="636">
        <v>2</v>
      </c>
      <c r="L90" s="637" t="s">
        <v>52</v>
      </c>
      <c r="M90" s="637" t="s">
        <v>38</v>
      </c>
      <c r="N90" s="637" t="s">
        <v>39</v>
      </c>
      <c r="O90" s="637" t="s">
        <v>39</v>
      </c>
      <c r="P90" s="637" t="s">
        <v>1020</v>
      </c>
      <c r="Q90" s="638">
        <v>3494299</v>
      </c>
      <c r="R90" s="638">
        <v>3494299</v>
      </c>
      <c r="S90" s="638">
        <v>3601693</v>
      </c>
      <c r="T90" s="638">
        <v>3601693</v>
      </c>
      <c r="U90" s="638">
        <v>556397</v>
      </c>
      <c r="V90" s="636">
        <v>2022</v>
      </c>
      <c r="W90" s="640" t="s">
        <v>3934</v>
      </c>
      <c r="X90" s="641">
        <f t="shared" si="4"/>
        <v>6.4732430261126499</v>
      </c>
      <c r="Y90" s="642" t="str">
        <f t="shared" si="5"/>
        <v/>
      </c>
      <c r="Z90" s="642" t="str">
        <f t="shared" si="1"/>
        <v/>
      </c>
    </row>
    <row r="91" spans="1:26" s="127" customFormat="1" ht="25">
      <c r="A91" s="636">
        <v>1588</v>
      </c>
      <c r="B91" s="637" t="s">
        <v>33</v>
      </c>
      <c r="C91" s="636" t="s">
        <v>2725</v>
      </c>
      <c r="D91" s="637" t="s">
        <v>7</v>
      </c>
      <c r="E91" s="637" t="s">
        <v>1081</v>
      </c>
      <c r="F91" s="636">
        <v>49965</v>
      </c>
      <c r="G91" s="637" t="s">
        <v>81</v>
      </c>
      <c r="H91" s="637" t="s">
        <v>1163</v>
      </c>
      <c r="I91" s="637" t="s">
        <v>58</v>
      </c>
      <c r="J91" s="636">
        <v>22</v>
      </c>
      <c r="K91" s="636">
        <v>2</v>
      </c>
      <c r="L91" s="637" t="s">
        <v>52</v>
      </c>
      <c r="M91" s="637" t="s">
        <v>41</v>
      </c>
      <c r="N91" s="637" t="s">
        <v>39</v>
      </c>
      <c r="O91" s="637" t="s">
        <v>39</v>
      </c>
      <c r="P91" s="637" t="s">
        <v>1020</v>
      </c>
      <c r="Q91" s="638">
        <v>8413427</v>
      </c>
      <c r="R91" s="638">
        <v>8413427</v>
      </c>
      <c r="S91" s="638">
        <v>8669859</v>
      </c>
      <c r="T91" s="638">
        <v>8669859</v>
      </c>
      <c r="U91" s="638">
        <v>1060445</v>
      </c>
      <c r="V91" s="636">
        <v>2022</v>
      </c>
      <c r="W91" s="640" t="s">
        <v>3934</v>
      </c>
      <c r="X91" s="641">
        <f t="shared" si="4"/>
        <v>8.1756800211232079</v>
      </c>
      <c r="Y91" s="642" t="str">
        <f t="shared" si="5"/>
        <v/>
      </c>
      <c r="Z91" s="642" t="str">
        <f t="shared" si="1"/>
        <v/>
      </c>
    </row>
    <row r="92" spans="1:26" s="127" customFormat="1" ht="25">
      <c r="A92" s="636">
        <v>1588</v>
      </c>
      <c r="B92" s="637" t="s">
        <v>33</v>
      </c>
      <c r="C92" s="636" t="s">
        <v>2725</v>
      </c>
      <c r="D92" s="637" t="s">
        <v>7</v>
      </c>
      <c r="E92" s="637" t="s">
        <v>1081</v>
      </c>
      <c r="F92" s="636">
        <v>49965</v>
      </c>
      <c r="G92" s="637" t="s">
        <v>81</v>
      </c>
      <c r="H92" s="637" t="s">
        <v>1163</v>
      </c>
      <c r="I92" s="637" t="s">
        <v>58</v>
      </c>
      <c r="J92" s="636">
        <v>22</v>
      </c>
      <c r="K92" s="636">
        <v>2</v>
      </c>
      <c r="L92" s="637" t="s">
        <v>52</v>
      </c>
      <c r="M92" s="637" t="s">
        <v>50</v>
      </c>
      <c r="N92" s="637" t="s">
        <v>46</v>
      </c>
      <c r="O92" s="637" t="s">
        <v>46</v>
      </c>
      <c r="P92" s="637" t="s">
        <v>47</v>
      </c>
      <c r="Q92" s="638">
        <v>0</v>
      </c>
      <c r="R92" s="638">
        <v>0</v>
      </c>
      <c r="S92" s="638">
        <v>0</v>
      </c>
      <c r="T92" s="638">
        <v>0</v>
      </c>
      <c r="U92" s="638">
        <v>0</v>
      </c>
      <c r="V92" s="636">
        <v>2022</v>
      </c>
      <c r="W92" s="640" t="s">
        <v>3934</v>
      </c>
      <c r="X92" s="641" t="str">
        <f t="shared" si="4"/>
        <v/>
      </c>
      <c r="Y92" s="642" t="str">
        <f t="shared" si="5"/>
        <v/>
      </c>
      <c r="Z92" s="642" t="str">
        <f t="shared" si="1"/>
        <v/>
      </c>
    </row>
    <row r="93" spans="1:26" s="127" customFormat="1" ht="25">
      <c r="A93" s="636">
        <v>1592</v>
      </c>
      <c r="B93" s="637" t="s">
        <v>33</v>
      </c>
      <c r="C93" s="636" t="s">
        <v>2725</v>
      </c>
      <c r="D93" s="637" t="s">
        <v>589</v>
      </c>
      <c r="E93" s="637" t="s">
        <v>3596</v>
      </c>
      <c r="F93" s="636">
        <v>6035</v>
      </c>
      <c r="G93" s="637" t="s">
        <v>81</v>
      </c>
      <c r="H93" s="637" t="s">
        <v>1163</v>
      </c>
      <c r="I93" s="637" t="s">
        <v>58</v>
      </c>
      <c r="J93" s="636">
        <v>22</v>
      </c>
      <c r="K93" s="636">
        <v>2</v>
      </c>
      <c r="L93" s="637" t="s">
        <v>52</v>
      </c>
      <c r="M93" s="637" t="s">
        <v>50</v>
      </c>
      <c r="N93" s="637" t="s">
        <v>46</v>
      </c>
      <c r="O93" s="637" t="s">
        <v>46</v>
      </c>
      <c r="P93" s="637" t="s">
        <v>47</v>
      </c>
      <c r="Q93" s="638">
        <v>8802</v>
      </c>
      <c r="R93" s="638">
        <v>8802</v>
      </c>
      <c r="S93" s="638">
        <v>51668</v>
      </c>
      <c r="T93" s="638">
        <v>51668</v>
      </c>
      <c r="U93" s="638">
        <v>2863</v>
      </c>
      <c r="V93" s="636">
        <v>2022</v>
      </c>
      <c r="W93" s="640" t="s">
        <v>3934</v>
      </c>
      <c r="X93" s="641">
        <f t="shared" si="4"/>
        <v>18.046804051694028</v>
      </c>
      <c r="Y93" s="642" t="str">
        <f t="shared" si="5"/>
        <v/>
      </c>
      <c r="Z93" s="642" t="str">
        <f t="shared" si="1"/>
        <v/>
      </c>
    </row>
    <row r="94" spans="1:26" s="127" customFormat="1" ht="25">
      <c r="A94" s="636">
        <v>1595</v>
      </c>
      <c r="B94" s="637" t="s">
        <v>54</v>
      </c>
      <c r="C94" s="636" t="s">
        <v>2725</v>
      </c>
      <c r="D94" s="637" t="s">
        <v>8</v>
      </c>
      <c r="E94" s="637" t="s">
        <v>2728</v>
      </c>
      <c r="F94" s="636">
        <v>59528</v>
      </c>
      <c r="G94" s="637" t="s">
        <v>81</v>
      </c>
      <c r="H94" s="637" t="s">
        <v>1163</v>
      </c>
      <c r="I94" s="637" t="s">
        <v>58</v>
      </c>
      <c r="J94" s="636">
        <v>22</v>
      </c>
      <c r="K94" s="636">
        <v>3</v>
      </c>
      <c r="L94" s="637" t="s">
        <v>55</v>
      </c>
      <c r="M94" s="637" t="s">
        <v>38</v>
      </c>
      <c r="N94" s="637" t="s">
        <v>46</v>
      </c>
      <c r="O94" s="637" t="s">
        <v>46</v>
      </c>
      <c r="P94" s="637" t="s">
        <v>47</v>
      </c>
      <c r="Q94" s="638">
        <v>0</v>
      </c>
      <c r="R94" s="638">
        <v>0</v>
      </c>
      <c r="S94" s="638">
        <v>0</v>
      </c>
      <c r="T94" s="638">
        <v>0</v>
      </c>
      <c r="U94" s="638">
        <v>2542.451</v>
      </c>
      <c r="V94" s="636">
        <v>2022</v>
      </c>
      <c r="W94" s="640"/>
      <c r="X94" s="641" t="str">
        <f t="shared" si="4"/>
        <v/>
      </c>
      <c r="Y94" s="642" t="str">
        <f t="shared" si="5"/>
        <v/>
      </c>
      <c r="Z94" s="642" t="str">
        <f t="shared" si="1"/>
        <v/>
      </c>
    </row>
    <row r="95" spans="1:26" s="127" customFormat="1" ht="25">
      <c r="A95" s="636">
        <v>1595</v>
      </c>
      <c r="B95" s="637" t="s">
        <v>54</v>
      </c>
      <c r="C95" s="636" t="s">
        <v>2725</v>
      </c>
      <c r="D95" s="637" t="s">
        <v>8</v>
      </c>
      <c r="E95" s="637" t="s">
        <v>2728</v>
      </c>
      <c r="F95" s="636">
        <v>59528</v>
      </c>
      <c r="G95" s="637" t="s">
        <v>81</v>
      </c>
      <c r="H95" s="637" t="s">
        <v>1163</v>
      </c>
      <c r="I95" s="637" t="s">
        <v>58</v>
      </c>
      <c r="J95" s="636">
        <v>22</v>
      </c>
      <c r="K95" s="636">
        <v>3</v>
      </c>
      <c r="L95" s="637" t="s">
        <v>55</v>
      </c>
      <c r="M95" s="637" t="s">
        <v>38</v>
      </c>
      <c r="N95" s="637" t="s">
        <v>39</v>
      </c>
      <c r="O95" s="637" t="s">
        <v>39</v>
      </c>
      <c r="P95" s="637" t="s">
        <v>1020</v>
      </c>
      <c r="Q95" s="638">
        <v>460057</v>
      </c>
      <c r="R95" s="638">
        <v>235833</v>
      </c>
      <c r="S95" s="638">
        <v>472790</v>
      </c>
      <c r="T95" s="638">
        <v>242439</v>
      </c>
      <c r="U95" s="638">
        <v>138393.54999999999</v>
      </c>
      <c r="V95" s="636">
        <v>2022</v>
      </c>
      <c r="W95" s="640"/>
      <c r="X95" s="641">
        <f t="shared" si="4"/>
        <v>1.7518085199779905</v>
      </c>
      <c r="Y95" s="642" t="str">
        <f t="shared" si="5"/>
        <v/>
      </c>
      <c r="Z95" s="642" t="str">
        <f t="shared" si="1"/>
        <v/>
      </c>
    </row>
    <row r="96" spans="1:26" s="127" customFormat="1" ht="25">
      <c r="A96" s="636">
        <v>1595</v>
      </c>
      <c r="B96" s="637" t="s">
        <v>54</v>
      </c>
      <c r="C96" s="636" t="s">
        <v>2725</v>
      </c>
      <c r="D96" s="637" t="s">
        <v>8</v>
      </c>
      <c r="E96" s="637" t="s">
        <v>2728</v>
      </c>
      <c r="F96" s="636">
        <v>59528</v>
      </c>
      <c r="G96" s="637" t="s">
        <v>81</v>
      </c>
      <c r="H96" s="637" t="s">
        <v>1163</v>
      </c>
      <c r="I96" s="637" t="s">
        <v>58</v>
      </c>
      <c r="J96" s="636">
        <v>22</v>
      </c>
      <c r="K96" s="636">
        <v>3</v>
      </c>
      <c r="L96" s="637" t="s">
        <v>55</v>
      </c>
      <c r="M96" s="637" t="s">
        <v>41</v>
      </c>
      <c r="N96" s="637" t="s">
        <v>46</v>
      </c>
      <c r="O96" s="637" t="s">
        <v>46</v>
      </c>
      <c r="P96" s="637" t="s">
        <v>47</v>
      </c>
      <c r="Q96" s="638">
        <v>41178</v>
      </c>
      <c r="R96" s="638">
        <v>24309</v>
      </c>
      <c r="S96" s="638">
        <v>238833</v>
      </c>
      <c r="T96" s="638">
        <v>140989</v>
      </c>
      <c r="U96" s="638">
        <v>21391.932000000001</v>
      </c>
      <c r="V96" s="636">
        <v>2022</v>
      </c>
      <c r="W96" s="640"/>
      <c r="X96" s="641">
        <f t="shared" si="4"/>
        <v>6.5907558045715549</v>
      </c>
      <c r="Y96" s="642" t="str">
        <f t="shared" si="5"/>
        <v/>
      </c>
      <c r="Z96" s="642" t="str">
        <f t="shared" si="1"/>
        <v/>
      </c>
    </row>
    <row r="97" spans="1:26" s="127" customFormat="1" ht="25">
      <c r="A97" s="636">
        <v>1595</v>
      </c>
      <c r="B97" s="637" t="s">
        <v>54</v>
      </c>
      <c r="C97" s="636" t="s">
        <v>2725</v>
      </c>
      <c r="D97" s="637" t="s">
        <v>8</v>
      </c>
      <c r="E97" s="637" t="s">
        <v>2728</v>
      </c>
      <c r="F97" s="636">
        <v>59528</v>
      </c>
      <c r="G97" s="637" t="s">
        <v>81</v>
      </c>
      <c r="H97" s="637" t="s">
        <v>1163</v>
      </c>
      <c r="I97" s="637" t="s">
        <v>58</v>
      </c>
      <c r="J97" s="636">
        <v>22</v>
      </c>
      <c r="K97" s="636">
        <v>3</v>
      </c>
      <c r="L97" s="637" t="s">
        <v>55</v>
      </c>
      <c r="M97" s="637" t="s">
        <v>41</v>
      </c>
      <c r="N97" s="637" t="s">
        <v>39</v>
      </c>
      <c r="O97" s="637" t="s">
        <v>39</v>
      </c>
      <c r="P97" s="637" t="s">
        <v>1020</v>
      </c>
      <c r="Q97" s="638">
        <v>11607387</v>
      </c>
      <c r="R97" s="638">
        <v>6741246</v>
      </c>
      <c r="S97" s="638">
        <v>11932323</v>
      </c>
      <c r="T97" s="638">
        <v>6929910</v>
      </c>
      <c r="U97" s="638">
        <v>1088014.1000000001</v>
      </c>
      <c r="V97" s="636">
        <v>2022</v>
      </c>
      <c r="W97" s="640"/>
      <c r="X97" s="641">
        <f t="shared" si="4"/>
        <v>6.3693200299518171</v>
      </c>
      <c r="Y97" s="642" t="str">
        <f t="shared" si="5"/>
        <v/>
      </c>
      <c r="Z97" s="642" t="str">
        <f t="shared" si="1"/>
        <v/>
      </c>
    </row>
    <row r="98" spans="1:26" s="127" customFormat="1" ht="25">
      <c r="A98" s="636">
        <v>1595</v>
      </c>
      <c r="B98" s="637" t="s">
        <v>54</v>
      </c>
      <c r="C98" s="636" t="s">
        <v>2725</v>
      </c>
      <c r="D98" s="637" t="s">
        <v>8</v>
      </c>
      <c r="E98" s="637" t="s">
        <v>2728</v>
      </c>
      <c r="F98" s="636">
        <v>59528</v>
      </c>
      <c r="G98" s="637" t="s">
        <v>81</v>
      </c>
      <c r="H98" s="637" t="s">
        <v>1163</v>
      </c>
      <c r="I98" s="637" t="s">
        <v>58</v>
      </c>
      <c r="J98" s="636">
        <v>22</v>
      </c>
      <c r="K98" s="636">
        <v>3</v>
      </c>
      <c r="L98" s="637" t="s">
        <v>55</v>
      </c>
      <c r="M98" s="637" t="s">
        <v>41</v>
      </c>
      <c r="N98" s="637" t="s">
        <v>61</v>
      </c>
      <c r="O98" s="637" t="s">
        <v>61</v>
      </c>
      <c r="P98" s="637" t="s">
        <v>47</v>
      </c>
      <c r="Q98" s="638">
        <v>0</v>
      </c>
      <c r="R98" s="638">
        <v>0</v>
      </c>
      <c r="S98" s="638">
        <v>0</v>
      </c>
      <c r="T98" s="638">
        <v>0</v>
      </c>
      <c r="U98" s="638">
        <v>0</v>
      </c>
      <c r="V98" s="636">
        <v>2022</v>
      </c>
      <c r="W98" s="640"/>
      <c r="X98" s="641" t="str">
        <f t="shared" si="4"/>
        <v/>
      </c>
      <c r="Y98" s="642" t="str">
        <f t="shared" si="5"/>
        <v/>
      </c>
      <c r="Z98" s="642" t="str">
        <f t="shared" si="1"/>
        <v/>
      </c>
    </row>
    <row r="99" spans="1:26" s="127" customFormat="1" ht="25">
      <c r="A99" s="636">
        <v>1595</v>
      </c>
      <c r="B99" s="637" t="s">
        <v>54</v>
      </c>
      <c r="C99" s="636" t="s">
        <v>2725</v>
      </c>
      <c r="D99" s="637" t="s">
        <v>8</v>
      </c>
      <c r="E99" s="637" t="s">
        <v>2728</v>
      </c>
      <c r="F99" s="636">
        <v>59528</v>
      </c>
      <c r="G99" s="637" t="s">
        <v>81</v>
      </c>
      <c r="H99" s="637" t="s">
        <v>1163</v>
      </c>
      <c r="I99" s="637" t="s">
        <v>58</v>
      </c>
      <c r="J99" s="636">
        <v>22</v>
      </c>
      <c r="K99" s="636">
        <v>3</v>
      </c>
      <c r="L99" s="637" t="s">
        <v>55</v>
      </c>
      <c r="M99" s="637" t="s">
        <v>50</v>
      </c>
      <c r="N99" s="637" t="s">
        <v>46</v>
      </c>
      <c r="O99" s="637" t="s">
        <v>46</v>
      </c>
      <c r="P99" s="637" t="s">
        <v>47</v>
      </c>
      <c r="Q99" s="638">
        <v>1637</v>
      </c>
      <c r="R99" s="638">
        <v>625</v>
      </c>
      <c r="S99" s="638">
        <v>9494</v>
      </c>
      <c r="T99" s="638">
        <v>3628</v>
      </c>
      <c r="U99" s="638">
        <v>638</v>
      </c>
      <c r="V99" s="636">
        <v>2022</v>
      </c>
      <c r="W99" s="640"/>
      <c r="X99" s="641">
        <f t="shared" si="4"/>
        <v>5.6865203761755483</v>
      </c>
      <c r="Y99" s="642" t="str">
        <f t="shared" si="5"/>
        <v/>
      </c>
      <c r="Z99" s="642" t="str">
        <f t="shared" si="1"/>
        <v/>
      </c>
    </row>
    <row r="100" spans="1:26" s="127" customFormat="1" ht="25">
      <c r="A100" s="636">
        <v>1597</v>
      </c>
      <c r="B100" s="637" t="s">
        <v>33</v>
      </c>
      <c r="C100" s="636" t="s">
        <v>2725</v>
      </c>
      <c r="D100" s="637" t="s">
        <v>590</v>
      </c>
      <c r="E100" s="637" t="s">
        <v>3274</v>
      </c>
      <c r="F100" s="636">
        <v>64488</v>
      </c>
      <c r="G100" s="637" t="s">
        <v>81</v>
      </c>
      <c r="H100" s="637" t="s">
        <v>1163</v>
      </c>
      <c r="I100" s="637" t="s">
        <v>58</v>
      </c>
      <c r="J100" s="636">
        <v>22</v>
      </c>
      <c r="K100" s="636">
        <v>2</v>
      </c>
      <c r="L100" s="637" t="s">
        <v>52</v>
      </c>
      <c r="M100" s="637" t="s">
        <v>51</v>
      </c>
      <c r="N100" s="637" t="s">
        <v>46</v>
      </c>
      <c r="O100" s="637" t="s">
        <v>46</v>
      </c>
      <c r="P100" s="637" t="s">
        <v>47</v>
      </c>
      <c r="Q100" s="638">
        <v>3308</v>
      </c>
      <c r="R100" s="638">
        <v>3308</v>
      </c>
      <c r="S100" s="638">
        <v>19104</v>
      </c>
      <c r="T100" s="638">
        <v>19104</v>
      </c>
      <c r="U100" s="638">
        <v>1821</v>
      </c>
      <c r="V100" s="636">
        <v>2022</v>
      </c>
      <c r="W100" s="640"/>
      <c r="X100" s="641">
        <f t="shared" si="4"/>
        <v>10.490939044481054</v>
      </c>
      <c r="Y100" s="642" t="str">
        <f t="shared" si="5"/>
        <v/>
      </c>
      <c r="Z100" s="642" t="str">
        <f t="shared" si="1"/>
        <v/>
      </c>
    </row>
    <row r="101" spans="1:26" s="127" customFormat="1" ht="25">
      <c r="A101" s="636">
        <v>1599</v>
      </c>
      <c r="B101" s="637" t="s">
        <v>33</v>
      </c>
      <c r="C101" s="636" t="s">
        <v>2725</v>
      </c>
      <c r="D101" s="637" t="s">
        <v>9</v>
      </c>
      <c r="E101" s="637" t="s">
        <v>3597</v>
      </c>
      <c r="F101" s="636">
        <v>61708</v>
      </c>
      <c r="G101" s="637" t="s">
        <v>81</v>
      </c>
      <c r="H101" s="637" t="s">
        <v>1163</v>
      </c>
      <c r="I101" s="637" t="s">
        <v>58</v>
      </c>
      <c r="J101" s="636">
        <v>22</v>
      </c>
      <c r="K101" s="636">
        <v>2</v>
      </c>
      <c r="L101" s="637" t="s">
        <v>52</v>
      </c>
      <c r="M101" s="637" t="s">
        <v>50</v>
      </c>
      <c r="N101" s="637" t="s">
        <v>46</v>
      </c>
      <c r="O101" s="637" t="s">
        <v>46</v>
      </c>
      <c r="P101" s="637" t="s">
        <v>47</v>
      </c>
      <c r="Q101" s="638">
        <v>126037</v>
      </c>
      <c r="R101" s="638">
        <v>126037</v>
      </c>
      <c r="S101" s="638">
        <v>731015</v>
      </c>
      <c r="T101" s="638">
        <v>731015</v>
      </c>
      <c r="U101" s="638">
        <v>72094.956999999995</v>
      </c>
      <c r="V101" s="636">
        <v>2022</v>
      </c>
      <c r="W101" s="640" t="s">
        <v>3934</v>
      </c>
      <c r="X101" s="641">
        <f t="shared" si="4"/>
        <v>10.139613509999043</v>
      </c>
      <c r="Y101" s="642" t="str">
        <f t="shared" si="5"/>
        <v/>
      </c>
      <c r="Z101" s="642" t="str">
        <f t="shared" si="1"/>
        <v/>
      </c>
    </row>
    <row r="102" spans="1:26" s="127" customFormat="1" ht="25">
      <c r="A102" s="636">
        <v>1599</v>
      </c>
      <c r="B102" s="637" t="s">
        <v>33</v>
      </c>
      <c r="C102" s="636" t="s">
        <v>2725</v>
      </c>
      <c r="D102" s="637" t="s">
        <v>9</v>
      </c>
      <c r="E102" s="637" t="s">
        <v>3597</v>
      </c>
      <c r="F102" s="636">
        <v>61708</v>
      </c>
      <c r="G102" s="637" t="s">
        <v>81</v>
      </c>
      <c r="H102" s="637" t="s">
        <v>1163</v>
      </c>
      <c r="I102" s="637" t="s">
        <v>58</v>
      </c>
      <c r="J102" s="636">
        <v>22</v>
      </c>
      <c r="K102" s="636">
        <v>2</v>
      </c>
      <c r="L102" s="637" t="s">
        <v>52</v>
      </c>
      <c r="M102" s="637" t="s">
        <v>50</v>
      </c>
      <c r="N102" s="637" t="s">
        <v>39</v>
      </c>
      <c r="O102" s="637" t="s">
        <v>39</v>
      </c>
      <c r="P102" s="637" t="s">
        <v>1020</v>
      </c>
      <c r="Q102" s="638">
        <v>1733509</v>
      </c>
      <c r="R102" s="638">
        <v>1733509</v>
      </c>
      <c r="S102" s="638">
        <v>1784716</v>
      </c>
      <c r="T102" s="638">
        <v>1784716</v>
      </c>
      <c r="U102" s="638">
        <v>174566.04</v>
      </c>
      <c r="V102" s="636">
        <v>2022</v>
      </c>
      <c r="W102" s="640" t="s">
        <v>3934</v>
      </c>
      <c r="X102" s="641">
        <f t="shared" si="4"/>
        <v>10.223729655550414</v>
      </c>
      <c r="Y102" s="642" t="str">
        <f t="shared" si="5"/>
        <v/>
      </c>
      <c r="Z102" s="642" t="str">
        <f t="shared" si="1"/>
        <v/>
      </c>
    </row>
    <row r="103" spans="1:26" s="127" customFormat="1" ht="25">
      <c r="A103" s="636">
        <v>1599</v>
      </c>
      <c r="B103" s="637" t="s">
        <v>33</v>
      </c>
      <c r="C103" s="636" t="s">
        <v>2725</v>
      </c>
      <c r="D103" s="637" t="s">
        <v>9</v>
      </c>
      <c r="E103" s="637" t="s">
        <v>3597</v>
      </c>
      <c r="F103" s="636">
        <v>61708</v>
      </c>
      <c r="G103" s="637" t="s">
        <v>81</v>
      </c>
      <c r="H103" s="637" t="s">
        <v>1163</v>
      </c>
      <c r="I103" s="637" t="s">
        <v>58</v>
      </c>
      <c r="J103" s="636">
        <v>22</v>
      </c>
      <c r="K103" s="636">
        <v>2</v>
      </c>
      <c r="L103" s="637" t="s">
        <v>52</v>
      </c>
      <c r="M103" s="637" t="s">
        <v>42</v>
      </c>
      <c r="N103" s="637" t="s">
        <v>46</v>
      </c>
      <c r="O103" s="637" t="s">
        <v>46</v>
      </c>
      <c r="P103" s="637" t="s">
        <v>47</v>
      </c>
      <c r="Q103" s="638">
        <v>17722</v>
      </c>
      <c r="R103" s="638">
        <v>17722</v>
      </c>
      <c r="S103" s="638">
        <v>102789</v>
      </c>
      <c r="T103" s="638">
        <v>102789</v>
      </c>
      <c r="U103" s="638">
        <v>10012.804</v>
      </c>
      <c r="V103" s="636">
        <v>2022</v>
      </c>
      <c r="W103" s="640" t="s">
        <v>3934</v>
      </c>
      <c r="X103" s="641">
        <f t="shared" si="4"/>
        <v>10.265755726367958</v>
      </c>
      <c r="Y103" s="642" t="str">
        <f t="shared" si="5"/>
        <v/>
      </c>
      <c r="Z103" s="642" t="str">
        <f t="shared" si="1"/>
        <v/>
      </c>
    </row>
    <row r="104" spans="1:26" s="127" customFormat="1" ht="25">
      <c r="A104" s="636">
        <v>1599</v>
      </c>
      <c r="B104" s="637" t="s">
        <v>33</v>
      </c>
      <c r="C104" s="636" t="s">
        <v>2725</v>
      </c>
      <c r="D104" s="637" t="s">
        <v>9</v>
      </c>
      <c r="E104" s="637" t="s">
        <v>3597</v>
      </c>
      <c r="F104" s="636">
        <v>61708</v>
      </c>
      <c r="G104" s="637" t="s">
        <v>81</v>
      </c>
      <c r="H104" s="637" t="s">
        <v>1163</v>
      </c>
      <c r="I104" s="637" t="s">
        <v>58</v>
      </c>
      <c r="J104" s="636">
        <v>22</v>
      </c>
      <c r="K104" s="636">
        <v>2</v>
      </c>
      <c r="L104" s="637" t="s">
        <v>52</v>
      </c>
      <c r="M104" s="637" t="s">
        <v>42</v>
      </c>
      <c r="N104" s="637" t="s">
        <v>39</v>
      </c>
      <c r="O104" s="637" t="s">
        <v>39</v>
      </c>
      <c r="P104" s="637" t="s">
        <v>1020</v>
      </c>
      <c r="Q104" s="638">
        <v>4522</v>
      </c>
      <c r="R104" s="638">
        <v>4522</v>
      </c>
      <c r="S104" s="638">
        <v>4658</v>
      </c>
      <c r="T104" s="638">
        <v>4658</v>
      </c>
      <c r="U104" s="638">
        <v>-2696.0740000000001</v>
      </c>
      <c r="V104" s="636">
        <v>2022</v>
      </c>
      <c r="W104" s="640" t="s">
        <v>3934</v>
      </c>
      <c r="X104" s="641" t="str">
        <f t="shared" si="4"/>
        <v/>
      </c>
      <c r="Y104" s="642" t="str">
        <f t="shared" si="5"/>
        <v/>
      </c>
      <c r="Z104" s="642" t="str">
        <f t="shared" si="1"/>
        <v/>
      </c>
    </row>
    <row r="105" spans="1:26" s="127" customFormat="1" ht="25">
      <c r="A105" s="636">
        <v>1599</v>
      </c>
      <c r="B105" s="637" t="s">
        <v>33</v>
      </c>
      <c r="C105" s="636" t="s">
        <v>2725</v>
      </c>
      <c r="D105" s="637" t="s">
        <v>9</v>
      </c>
      <c r="E105" s="637" t="s">
        <v>3597</v>
      </c>
      <c r="F105" s="636">
        <v>61708</v>
      </c>
      <c r="G105" s="637" t="s">
        <v>81</v>
      </c>
      <c r="H105" s="637" t="s">
        <v>1163</v>
      </c>
      <c r="I105" s="637" t="s">
        <v>58</v>
      </c>
      <c r="J105" s="636">
        <v>22</v>
      </c>
      <c r="K105" s="636">
        <v>2</v>
      </c>
      <c r="L105" s="637" t="s">
        <v>52</v>
      </c>
      <c r="M105" s="637" t="s">
        <v>42</v>
      </c>
      <c r="N105" s="637" t="s">
        <v>61</v>
      </c>
      <c r="O105" s="637" t="s">
        <v>61</v>
      </c>
      <c r="P105" s="637" t="s">
        <v>47</v>
      </c>
      <c r="Q105" s="638">
        <v>471377</v>
      </c>
      <c r="R105" s="638">
        <v>471377</v>
      </c>
      <c r="S105" s="638">
        <v>2969676</v>
      </c>
      <c r="T105" s="638">
        <v>2969676</v>
      </c>
      <c r="U105" s="638">
        <v>273645.27</v>
      </c>
      <c r="V105" s="636">
        <v>2022</v>
      </c>
      <c r="W105" s="640" t="s">
        <v>3934</v>
      </c>
      <c r="X105" s="641">
        <f t="shared" si="4"/>
        <v>10.852283322858092</v>
      </c>
      <c r="Y105" s="642" t="str">
        <f t="shared" si="5"/>
        <v/>
      </c>
      <c r="Z105" s="642" t="str">
        <f t="shared" si="1"/>
        <v/>
      </c>
    </row>
    <row r="106" spans="1:26" s="127" customFormat="1" ht="25">
      <c r="A106" s="636">
        <v>1603</v>
      </c>
      <c r="B106" s="637" t="s">
        <v>33</v>
      </c>
      <c r="C106" s="636" t="s">
        <v>2725</v>
      </c>
      <c r="D106" s="637" t="s">
        <v>591</v>
      </c>
      <c r="E106" s="637" t="s">
        <v>592</v>
      </c>
      <c r="F106" s="636">
        <v>8776</v>
      </c>
      <c r="G106" s="637" t="s">
        <v>81</v>
      </c>
      <c r="H106" s="637" t="s">
        <v>1163</v>
      </c>
      <c r="I106" s="637" t="s">
        <v>58</v>
      </c>
      <c r="J106" s="636">
        <v>22</v>
      </c>
      <c r="K106" s="636">
        <v>1</v>
      </c>
      <c r="L106" s="637" t="s">
        <v>34</v>
      </c>
      <c r="M106" s="637" t="s">
        <v>35</v>
      </c>
      <c r="N106" s="637" t="s">
        <v>36</v>
      </c>
      <c r="O106" s="637" t="s">
        <v>37</v>
      </c>
      <c r="P106" s="637" t="s">
        <v>1156</v>
      </c>
      <c r="Q106" s="638">
        <v>0</v>
      </c>
      <c r="R106" s="638">
        <v>0</v>
      </c>
      <c r="S106" s="638">
        <v>36144</v>
      </c>
      <c r="T106" s="638">
        <v>36144</v>
      </c>
      <c r="U106" s="638">
        <v>10593</v>
      </c>
      <c r="V106" s="636">
        <v>2022</v>
      </c>
      <c r="W106" s="640"/>
      <c r="X106" s="641">
        <f t="shared" si="4"/>
        <v>3.4120645709430755</v>
      </c>
      <c r="Y106" s="642" t="str">
        <f t="shared" si="5"/>
        <v/>
      </c>
      <c r="Z106" s="642" t="str">
        <f t="shared" si="1"/>
        <v/>
      </c>
    </row>
    <row r="107" spans="1:26" s="127" customFormat="1" ht="25">
      <c r="A107" s="636">
        <v>1604</v>
      </c>
      <c r="B107" s="637" t="s">
        <v>33</v>
      </c>
      <c r="C107" s="636" t="s">
        <v>2725</v>
      </c>
      <c r="D107" s="637" t="s">
        <v>593</v>
      </c>
      <c r="E107" s="637" t="s">
        <v>592</v>
      </c>
      <c r="F107" s="636">
        <v>8776</v>
      </c>
      <c r="G107" s="637" t="s">
        <v>81</v>
      </c>
      <c r="H107" s="637" t="s">
        <v>1163</v>
      </c>
      <c r="I107" s="637" t="s">
        <v>58</v>
      </c>
      <c r="J107" s="636">
        <v>22</v>
      </c>
      <c r="K107" s="636">
        <v>1</v>
      </c>
      <c r="L107" s="637" t="s">
        <v>34</v>
      </c>
      <c r="M107" s="637" t="s">
        <v>35</v>
      </c>
      <c r="N107" s="637" t="s">
        <v>36</v>
      </c>
      <c r="O107" s="637" t="s">
        <v>37</v>
      </c>
      <c r="P107" s="637" t="s">
        <v>1156</v>
      </c>
      <c r="Q107" s="638">
        <v>0</v>
      </c>
      <c r="R107" s="638">
        <v>0</v>
      </c>
      <c r="S107" s="638">
        <v>12069</v>
      </c>
      <c r="T107" s="638">
        <v>12069</v>
      </c>
      <c r="U107" s="638">
        <v>3537</v>
      </c>
      <c r="V107" s="636">
        <v>2022</v>
      </c>
      <c r="W107" s="640"/>
      <c r="X107" s="641">
        <f t="shared" si="4"/>
        <v>3.4122137404580153</v>
      </c>
      <c r="Y107" s="642" t="str">
        <f t="shared" si="5"/>
        <v/>
      </c>
      <c r="Z107" s="642" t="str">
        <f t="shared" si="1"/>
        <v/>
      </c>
    </row>
    <row r="108" spans="1:26" s="127" customFormat="1" ht="25">
      <c r="A108" s="636">
        <v>1605</v>
      </c>
      <c r="B108" s="637" t="s">
        <v>33</v>
      </c>
      <c r="C108" s="636" t="s">
        <v>2725</v>
      </c>
      <c r="D108" s="637" t="s">
        <v>594</v>
      </c>
      <c r="E108" s="637" t="s">
        <v>592</v>
      </c>
      <c r="F108" s="636">
        <v>8776</v>
      </c>
      <c r="G108" s="637" t="s">
        <v>81</v>
      </c>
      <c r="H108" s="637" t="s">
        <v>1163</v>
      </c>
      <c r="I108" s="637" t="s">
        <v>58</v>
      </c>
      <c r="J108" s="636">
        <v>22</v>
      </c>
      <c r="K108" s="636">
        <v>1</v>
      </c>
      <c r="L108" s="637" t="s">
        <v>34</v>
      </c>
      <c r="M108" s="637" t="s">
        <v>35</v>
      </c>
      <c r="N108" s="637" t="s">
        <v>36</v>
      </c>
      <c r="O108" s="637" t="s">
        <v>37</v>
      </c>
      <c r="P108" s="637" t="s">
        <v>1156</v>
      </c>
      <c r="Q108" s="638">
        <v>0</v>
      </c>
      <c r="R108" s="638">
        <v>0</v>
      </c>
      <c r="S108" s="638">
        <v>559637</v>
      </c>
      <c r="T108" s="638">
        <v>559637</v>
      </c>
      <c r="U108" s="638">
        <v>164021</v>
      </c>
      <c r="V108" s="636">
        <v>2022</v>
      </c>
      <c r="W108" s="640"/>
      <c r="X108" s="641">
        <f t="shared" si="4"/>
        <v>3.4119838313386701</v>
      </c>
      <c r="Y108" s="642" t="str">
        <f t="shared" si="5"/>
        <v/>
      </c>
      <c r="Z108" s="642" t="str">
        <f t="shared" si="1"/>
        <v/>
      </c>
    </row>
    <row r="109" spans="1:26" s="127" customFormat="1" ht="25">
      <c r="A109" s="636">
        <v>1607</v>
      </c>
      <c r="B109" s="637" t="s">
        <v>33</v>
      </c>
      <c r="C109" s="636" t="s">
        <v>2725</v>
      </c>
      <c r="D109" s="637" t="s">
        <v>1547</v>
      </c>
      <c r="E109" s="637" t="s">
        <v>592</v>
      </c>
      <c r="F109" s="636">
        <v>8776</v>
      </c>
      <c r="G109" s="637" t="s">
        <v>81</v>
      </c>
      <c r="H109" s="637" t="s">
        <v>1163</v>
      </c>
      <c r="I109" s="637" t="s">
        <v>58</v>
      </c>
      <c r="J109" s="636">
        <v>22</v>
      </c>
      <c r="K109" s="636">
        <v>1</v>
      </c>
      <c r="L109" s="637" t="s">
        <v>34</v>
      </c>
      <c r="M109" s="637" t="s">
        <v>35</v>
      </c>
      <c r="N109" s="637" t="s">
        <v>36</v>
      </c>
      <c r="O109" s="637" t="s">
        <v>37</v>
      </c>
      <c r="P109" s="637" t="s">
        <v>1156</v>
      </c>
      <c r="Q109" s="638">
        <v>0</v>
      </c>
      <c r="R109" s="638">
        <v>0</v>
      </c>
      <c r="S109" s="638">
        <v>71071</v>
      </c>
      <c r="T109" s="638">
        <v>71071</v>
      </c>
      <c r="U109" s="638">
        <v>20830</v>
      </c>
      <c r="V109" s="636">
        <v>2022</v>
      </c>
      <c r="W109" s="640"/>
      <c r="X109" s="641">
        <f t="shared" si="4"/>
        <v>3.4119539126260201</v>
      </c>
      <c r="Y109" s="642" t="str">
        <f t="shared" si="5"/>
        <v/>
      </c>
      <c r="Z109" s="642" t="str">
        <f t="shared" si="1"/>
        <v/>
      </c>
    </row>
    <row r="110" spans="1:26" s="127" customFormat="1" ht="25">
      <c r="A110" s="636">
        <v>1615</v>
      </c>
      <c r="B110" s="637" t="s">
        <v>33</v>
      </c>
      <c r="C110" s="636" t="s">
        <v>2725</v>
      </c>
      <c r="D110" s="637" t="s">
        <v>2729</v>
      </c>
      <c r="E110" s="637" t="s">
        <v>595</v>
      </c>
      <c r="F110" s="636">
        <v>13206</v>
      </c>
      <c r="G110" s="637" t="s">
        <v>81</v>
      </c>
      <c r="H110" s="637" t="s">
        <v>1163</v>
      </c>
      <c r="I110" s="637" t="s">
        <v>58</v>
      </c>
      <c r="J110" s="636">
        <v>22</v>
      </c>
      <c r="K110" s="636">
        <v>1</v>
      </c>
      <c r="L110" s="637" t="s">
        <v>34</v>
      </c>
      <c r="M110" s="637" t="s">
        <v>1852</v>
      </c>
      <c r="N110" s="637" t="s">
        <v>1035</v>
      </c>
      <c r="O110" s="637" t="s">
        <v>82</v>
      </c>
      <c r="P110" s="637" t="s">
        <v>2726</v>
      </c>
      <c r="Q110" s="638">
        <v>862</v>
      </c>
      <c r="R110" s="638">
        <v>862</v>
      </c>
      <c r="S110" s="638">
        <v>0</v>
      </c>
      <c r="T110" s="638">
        <v>0</v>
      </c>
      <c r="U110" s="638">
        <v>-427</v>
      </c>
      <c r="V110" s="636">
        <v>2022</v>
      </c>
      <c r="W110" s="640"/>
      <c r="X110" s="641" t="str">
        <f t="shared" si="4"/>
        <v/>
      </c>
      <c r="Y110" s="642" t="str">
        <f t="shared" si="5"/>
        <v/>
      </c>
      <c r="Z110" s="642" t="str">
        <f t="shared" si="1"/>
        <v/>
      </c>
    </row>
    <row r="111" spans="1:26" s="127" customFormat="1" ht="25">
      <c r="A111" s="636">
        <v>1615</v>
      </c>
      <c r="B111" s="637" t="s">
        <v>33</v>
      </c>
      <c r="C111" s="636" t="s">
        <v>2725</v>
      </c>
      <c r="D111" s="637" t="s">
        <v>2729</v>
      </c>
      <c r="E111" s="637" t="s">
        <v>595</v>
      </c>
      <c r="F111" s="636">
        <v>13206</v>
      </c>
      <c r="G111" s="637" t="s">
        <v>81</v>
      </c>
      <c r="H111" s="637" t="s">
        <v>1163</v>
      </c>
      <c r="I111" s="637" t="s">
        <v>58</v>
      </c>
      <c r="J111" s="636">
        <v>22</v>
      </c>
      <c r="K111" s="636">
        <v>1</v>
      </c>
      <c r="L111" s="637" t="s">
        <v>34</v>
      </c>
      <c r="M111" s="637" t="s">
        <v>50</v>
      </c>
      <c r="N111" s="637" t="s">
        <v>46</v>
      </c>
      <c r="O111" s="637" t="s">
        <v>46</v>
      </c>
      <c r="P111" s="637" t="s">
        <v>47</v>
      </c>
      <c r="Q111" s="638">
        <v>59</v>
      </c>
      <c r="R111" s="638">
        <v>59</v>
      </c>
      <c r="S111" s="638">
        <v>341</v>
      </c>
      <c r="T111" s="638">
        <v>341</v>
      </c>
      <c r="U111" s="638">
        <v>-297</v>
      </c>
      <c r="V111" s="636">
        <v>2022</v>
      </c>
      <c r="W111" s="640"/>
      <c r="X111" s="641" t="str">
        <f t="shared" si="4"/>
        <v/>
      </c>
      <c r="Y111" s="642" t="str">
        <f t="shared" si="5"/>
        <v/>
      </c>
      <c r="Z111" s="642" t="str">
        <f t="shared" si="1"/>
        <v/>
      </c>
    </row>
    <row r="112" spans="1:26" s="127" customFormat="1" ht="25">
      <c r="A112" s="636">
        <v>1615</v>
      </c>
      <c r="B112" s="637" t="s">
        <v>33</v>
      </c>
      <c r="C112" s="636" t="s">
        <v>2725</v>
      </c>
      <c r="D112" s="637" t="s">
        <v>2729</v>
      </c>
      <c r="E112" s="637" t="s">
        <v>595</v>
      </c>
      <c r="F112" s="636">
        <v>13206</v>
      </c>
      <c r="G112" s="637" t="s">
        <v>81</v>
      </c>
      <c r="H112" s="637" t="s">
        <v>1163</v>
      </c>
      <c r="I112" s="637" t="s">
        <v>58</v>
      </c>
      <c r="J112" s="636">
        <v>22</v>
      </c>
      <c r="K112" s="636">
        <v>1</v>
      </c>
      <c r="L112" s="637" t="s">
        <v>34</v>
      </c>
      <c r="M112" s="637" t="s">
        <v>51</v>
      </c>
      <c r="N112" s="637" t="s">
        <v>46</v>
      </c>
      <c r="O112" s="637" t="s">
        <v>46</v>
      </c>
      <c r="P112" s="637" t="s">
        <v>47</v>
      </c>
      <c r="Q112" s="638">
        <v>1</v>
      </c>
      <c r="R112" s="638">
        <v>1</v>
      </c>
      <c r="S112" s="638">
        <v>6</v>
      </c>
      <c r="T112" s="638">
        <v>6</v>
      </c>
      <c r="U112" s="638">
        <v>0</v>
      </c>
      <c r="V112" s="636">
        <v>2022</v>
      </c>
      <c r="W112" s="640"/>
      <c r="X112" s="641" t="str">
        <f t="shared" si="4"/>
        <v/>
      </c>
      <c r="Y112" s="642" t="str">
        <f t="shared" si="5"/>
        <v/>
      </c>
      <c r="Z112" s="642" t="str">
        <f t="shared" si="1"/>
        <v/>
      </c>
    </row>
    <row r="113" spans="1:26" s="127" customFormat="1" ht="25">
      <c r="A113" s="636">
        <v>1620</v>
      </c>
      <c r="B113" s="637" t="s">
        <v>33</v>
      </c>
      <c r="C113" s="636" t="s">
        <v>2725</v>
      </c>
      <c r="D113" s="637" t="s">
        <v>596</v>
      </c>
      <c r="E113" s="637" t="s">
        <v>2083</v>
      </c>
      <c r="F113" s="636">
        <v>61122</v>
      </c>
      <c r="G113" s="637" t="s">
        <v>81</v>
      </c>
      <c r="H113" s="637" t="s">
        <v>1163</v>
      </c>
      <c r="I113" s="637" t="s">
        <v>58</v>
      </c>
      <c r="J113" s="636">
        <v>22</v>
      </c>
      <c r="K113" s="636">
        <v>2</v>
      </c>
      <c r="L113" s="637" t="s">
        <v>52</v>
      </c>
      <c r="M113" s="637" t="s">
        <v>35</v>
      </c>
      <c r="N113" s="637" t="s">
        <v>36</v>
      </c>
      <c r="O113" s="637" t="s">
        <v>37</v>
      </c>
      <c r="P113" s="637" t="s">
        <v>1156</v>
      </c>
      <c r="Q113" s="638">
        <v>0</v>
      </c>
      <c r="R113" s="638">
        <v>0</v>
      </c>
      <c r="S113" s="638">
        <v>148266</v>
      </c>
      <c r="T113" s="638">
        <v>148266</v>
      </c>
      <c r="U113" s="638">
        <v>43454</v>
      </c>
      <c r="V113" s="636">
        <v>2022</v>
      </c>
      <c r="W113" s="640"/>
      <c r="X113" s="641">
        <f t="shared" si="4"/>
        <v>3.4120219082247893</v>
      </c>
      <c r="Y113" s="642" t="str">
        <f t="shared" si="5"/>
        <v/>
      </c>
      <c r="Z113" s="642" t="str">
        <f t="shared" si="1"/>
        <v/>
      </c>
    </row>
    <row r="114" spans="1:26" s="127" customFormat="1" ht="25">
      <c r="A114" s="636">
        <v>1629</v>
      </c>
      <c r="B114" s="637" t="s">
        <v>33</v>
      </c>
      <c r="C114" s="636" t="s">
        <v>2725</v>
      </c>
      <c r="D114" s="637" t="s">
        <v>10</v>
      </c>
      <c r="E114" s="637" t="s">
        <v>1164</v>
      </c>
      <c r="F114" s="636">
        <v>58185</v>
      </c>
      <c r="G114" s="637" t="s">
        <v>81</v>
      </c>
      <c r="H114" s="637" t="s">
        <v>1163</v>
      </c>
      <c r="I114" s="637" t="s">
        <v>58</v>
      </c>
      <c r="J114" s="636">
        <v>22</v>
      </c>
      <c r="K114" s="636">
        <v>2</v>
      </c>
      <c r="L114" s="637" t="s">
        <v>52</v>
      </c>
      <c r="M114" s="637" t="s">
        <v>35</v>
      </c>
      <c r="N114" s="637" t="s">
        <v>36</v>
      </c>
      <c r="O114" s="637" t="s">
        <v>37</v>
      </c>
      <c r="P114" s="637" t="s">
        <v>1156</v>
      </c>
      <c r="Q114" s="638">
        <v>0</v>
      </c>
      <c r="R114" s="638">
        <v>0</v>
      </c>
      <c r="S114" s="638">
        <v>963453</v>
      </c>
      <c r="T114" s="638">
        <v>963453</v>
      </c>
      <c r="U114" s="638">
        <v>282372</v>
      </c>
      <c r="V114" s="636">
        <v>2022</v>
      </c>
      <c r="W114" s="640"/>
      <c r="X114" s="641">
        <f t="shared" si="4"/>
        <v>3.4119990650631085</v>
      </c>
      <c r="Y114" s="642" t="str">
        <f t="shared" si="5"/>
        <v/>
      </c>
      <c r="Z114" s="642" t="str">
        <f t="shared" si="1"/>
        <v/>
      </c>
    </row>
    <row r="115" spans="1:26" s="127" customFormat="1" ht="25">
      <c r="A115" s="636">
        <v>1630</v>
      </c>
      <c r="B115" s="637" t="s">
        <v>33</v>
      </c>
      <c r="C115" s="636" t="s">
        <v>2725</v>
      </c>
      <c r="D115" s="637" t="s">
        <v>597</v>
      </c>
      <c r="E115" s="637" t="s">
        <v>592</v>
      </c>
      <c r="F115" s="636">
        <v>8776</v>
      </c>
      <c r="G115" s="637" t="s">
        <v>81</v>
      </c>
      <c r="H115" s="637" t="s">
        <v>1163</v>
      </c>
      <c r="I115" s="637" t="s">
        <v>58</v>
      </c>
      <c r="J115" s="636">
        <v>22</v>
      </c>
      <c r="K115" s="636">
        <v>1</v>
      </c>
      <c r="L115" s="637" t="s">
        <v>34</v>
      </c>
      <c r="M115" s="637" t="s">
        <v>35</v>
      </c>
      <c r="N115" s="637" t="s">
        <v>36</v>
      </c>
      <c r="O115" s="637" t="s">
        <v>37</v>
      </c>
      <c r="P115" s="637" t="s">
        <v>1156</v>
      </c>
      <c r="Q115" s="638">
        <v>0</v>
      </c>
      <c r="R115" s="638">
        <v>0</v>
      </c>
      <c r="S115" s="638">
        <v>24782</v>
      </c>
      <c r="T115" s="638">
        <v>24782</v>
      </c>
      <c r="U115" s="638">
        <v>7263</v>
      </c>
      <c r="V115" s="636">
        <v>2022</v>
      </c>
      <c r="W115" s="640"/>
      <c r="X115" s="641">
        <f t="shared" si="4"/>
        <v>3.4120886685942446</v>
      </c>
      <c r="Y115" s="642" t="str">
        <f t="shared" si="5"/>
        <v/>
      </c>
      <c r="Z115" s="642" t="str">
        <f t="shared" si="1"/>
        <v/>
      </c>
    </row>
    <row r="116" spans="1:26" s="127" customFormat="1" ht="25">
      <c r="A116" s="636">
        <v>1631</v>
      </c>
      <c r="B116" s="637" t="s">
        <v>33</v>
      </c>
      <c r="C116" s="636" t="s">
        <v>2725</v>
      </c>
      <c r="D116" s="637" t="s">
        <v>598</v>
      </c>
      <c r="E116" s="637" t="s">
        <v>1862</v>
      </c>
      <c r="F116" s="636">
        <v>56401</v>
      </c>
      <c r="G116" s="637" t="s">
        <v>81</v>
      </c>
      <c r="H116" s="637" t="s">
        <v>1163</v>
      </c>
      <c r="I116" s="637" t="s">
        <v>58</v>
      </c>
      <c r="J116" s="636">
        <v>22</v>
      </c>
      <c r="K116" s="636">
        <v>2</v>
      </c>
      <c r="L116" s="637" t="s">
        <v>52</v>
      </c>
      <c r="M116" s="637" t="s">
        <v>50</v>
      </c>
      <c r="N116" s="637" t="s">
        <v>66</v>
      </c>
      <c r="O116" s="637" t="s">
        <v>67</v>
      </c>
      <c r="P116" s="637" t="s">
        <v>47</v>
      </c>
      <c r="Q116" s="638">
        <v>0</v>
      </c>
      <c r="R116" s="638">
        <v>0</v>
      </c>
      <c r="S116" s="638">
        <v>0</v>
      </c>
      <c r="T116" s="638">
        <v>0</v>
      </c>
      <c r="U116" s="638">
        <v>0</v>
      </c>
      <c r="V116" s="636">
        <v>2022</v>
      </c>
      <c r="W116" s="640"/>
      <c r="X116" s="641" t="str">
        <f t="shared" si="4"/>
        <v/>
      </c>
      <c r="Y116" s="642" t="str">
        <f t="shared" si="5"/>
        <v/>
      </c>
      <c r="Z116" s="642" t="str">
        <f t="shared" si="1"/>
        <v/>
      </c>
    </row>
    <row r="117" spans="1:26" s="127" customFormat="1" ht="25">
      <c r="A117" s="636">
        <v>1631</v>
      </c>
      <c r="B117" s="637" t="s">
        <v>33</v>
      </c>
      <c r="C117" s="636" t="s">
        <v>2725</v>
      </c>
      <c r="D117" s="637" t="s">
        <v>598</v>
      </c>
      <c r="E117" s="637" t="s">
        <v>1862</v>
      </c>
      <c r="F117" s="636">
        <v>56401</v>
      </c>
      <c r="G117" s="637" t="s">
        <v>81</v>
      </c>
      <c r="H117" s="637" t="s">
        <v>1163</v>
      </c>
      <c r="I117" s="637" t="s">
        <v>58</v>
      </c>
      <c r="J117" s="636">
        <v>22</v>
      </c>
      <c r="K117" s="636">
        <v>2</v>
      </c>
      <c r="L117" s="637" t="s">
        <v>52</v>
      </c>
      <c r="M117" s="637" t="s">
        <v>50</v>
      </c>
      <c r="N117" s="637" t="s">
        <v>76</v>
      </c>
      <c r="O117" s="637" t="s">
        <v>67</v>
      </c>
      <c r="P117" s="637" t="s">
        <v>47</v>
      </c>
      <c r="Q117" s="638">
        <v>0</v>
      </c>
      <c r="R117" s="638">
        <v>0</v>
      </c>
      <c r="S117" s="638">
        <v>0</v>
      </c>
      <c r="T117" s="638">
        <v>0</v>
      </c>
      <c r="U117" s="638">
        <v>0</v>
      </c>
      <c r="V117" s="636">
        <v>2022</v>
      </c>
      <c r="W117" s="640"/>
      <c r="X117" s="641" t="str">
        <f t="shared" si="4"/>
        <v/>
      </c>
      <c r="Y117" s="642" t="str">
        <f t="shared" si="5"/>
        <v/>
      </c>
      <c r="Z117" s="642" t="str">
        <f t="shared" si="1"/>
        <v/>
      </c>
    </row>
    <row r="118" spans="1:26" s="127" customFormat="1" ht="25">
      <c r="A118" s="636">
        <v>1634</v>
      </c>
      <c r="B118" s="637" t="s">
        <v>33</v>
      </c>
      <c r="C118" s="636" t="s">
        <v>2725</v>
      </c>
      <c r="D118" s="637" t="s">
        <v>599</v>
      </c>
      <c r="E118" s="637" t="s">
        <v>2263</v>
      </c>
      <c r="F118" s="636">
        <v>61350</v>
      </c>
      <c r="G118" s="637" t="s">
        <v>81</v>
      </c>
      <c r="H118" s="637" t="s">
        <v>1163</v>
      </c>
      <c r="I118" s="637" t="s">
        <v>58</v>
      </c>
      <c r="J118" s="636">
        <v>22</v>
      </c>
      <c r="K118" s="636">
        <v>2</v>
      </c>
      <c r="L118" s="637" t="s">
        <v>52</v>
      </c>
      <c r="M118" s="637" t="s">
        <v>35</v>
      </c>
      <c r="N118" s="637" t="s">
        <v>36</v>
      </c>
      <c r="O118" s="637" t="s">
        <v>37</v>
      </c>
      <c r="P118" s="637" t="s">
        <v>1156</v>
      </c>
      <c r="Q118" s="638">
        <v>0</v>
      </c>
      <c r="R118" s="638">
        <v>0</v>
      </c>
      <c r="S118" s="638">
        <v>24410</v>
      </c>
      <c r="T118" s="638">
        <v>24410</v>
      </c>
      <c r="U118" s="638">
        <v>7154</v>
      </c>
      <c r="V118" s="636">
        <v>2022</v>
      </c>
      <c r="W118" s="640"/>
      <c r="X118" s="641">
        <f t="shared" si="4"/>
        <v>3.4120771596309756</v>
      </c>
      <c r="Y118" s="642" t="str">
        <f t="shared" si="5"/>
        <v/>
      </c>
      <c r="Z118" s="642" t="str">
        <f t="shared" si="1"/>
        <v/>
      </c>
    </row>
    <row r="119" spans="1:26" s="127" customFormat="1" ht="25">
      <c r="A119" s="636">
        <v>1637</v>
      </c>
      <c r="B119" s="637" t="s">
        <v>33</v>
      </c>
      <c r="C119" s="636" t="s">
        <v>2725</v>
      </c>
      <c r="D119" s="637" t="s">
        <v>600</v>
      </c>
      <c r="E119" s="637" t="s">
        <v>2263</v>
      </c>
      <c r="F119" s="636">
        <v>61350</v>
      </c>
      <c r="G119" s="637" t="s">
        <v>81</v>
      </c>
      <c r="H119" s="637" t="s">
        <v>1163</v>
      </c>
      <c r="I119" s="637" t="s">
        <v>58</v>
      </c>
      <c r="J119" s="636">
        <v>22</v>
      </c>
      <c r="K119" s="636">
        <v>2</v>
      </c>
      <c r="L119" s="637" t="s">
        <v>52</v>
      </c>
      <c r="M119" s="637" t="s">
        <v>35</v>
      </c>
      <c r="N119" s="637" t="s">
        <v>36</v>
      </c>
      <c r="O119" s="637" t="s">
        <v>37</v>
      </c>
      <c r="P119" s="637" t="s">
        <v>1156</v>
      </c>
      <c r="Q119" s="638">
        <v>0</v>
      </c>
      <c r="R119" s="638">
        <v>0</v>
      </c>
      <c r="S119" s="638">
        <v>51504</v>
      </c>
      <c r="T119" s="638">
        <v>51504</v>
      </c>
      <c r="U119" s="638">
        <v>15095</v>
      </c>
      <c r="V119" s="636">
        <v>2022</v>
      </c>
      <c r="W119" s="640"/>
      <c r="X119" s="641">
        <f t="shared" si="4"/>
        <v>3.4119907254057633</v>
      </c>
      <c r="Y119" s="642" t="str">
        <f t="shared" si="5"/>
        <v/>
      </c>
      <c r="Z119" s="642" t="str">
        <f t="shared" si="1"/>
        <v/>
      </c>
    </row>
    <row r="120" spans="1:26" s="127" customFormat="1" ht="25">
      <c r="A120" s="636">
        <v>1638</v>
      </c>
      <c r="B120" s="637" t="s">
        <v>33</v>
      </c>
      <c r="C120" s="636" t="s">
        <v>2725</v>
      </c>
      <c r="D120" s="637" t="s">
        <v>601</v>
      </c>
      <c r="E120" s="637" t="s">
        <v>2263</v>
      </c>
      <c r="F120" s="636">
        <v>61350</v>
      </c>
      <c r="G120" s="637" t="s">
        <v>81</v>
      </c>
      <c r="H120" s="637" t="s">
        <v>1163</v>
      </c>
      <c r="I120" s="637" t="s">
        <v>58</v>
      </c>
      <c r="J120" s="636">
        <v>22</v>
      </c>
      <c r="K120" s="636">
        <v>2</v>
      </c>
      <c r="L120" s="637" t="s">
        <v>52</v>
      </c>
      <c r="M120" s="637" t="s">
        <v>35</v>
      </c>
      <c r="N120" s="637" t="s">
        <v>36</v>
      </c>
      <c r="O120" s="637" t="s">
        <v>37</v>
      </c>
      <c r="P120" s="637" t="s">
        <v>1156</v>
      </c>
      <c r="Q120" s="638">
        <v>0</v>
      </c>
      <c r="R120" s="638">
        <v>0</v>
      </c>
      <c r="S120" s="638">
        <v>49180</v>
      </c>
      <c r="T120" s="638">
        <v>49180</v>
      </c>
      <c r="U120" s="638">
        <v>14414</v>
      </c>
      <c r="V120" s="636">
        <v>2022</v>
      </c>
      <c r="W120" s="640"/>
      <c r="X120" s="641">
        <f t="shared" si="4"/>
        <v>3.4119605938670738</v>
      </c>
      <c r="Y120" s="642" t="str">
        <f t="shared" si="5"/>
        <v/>
      </c>
      <c r="Z120" s="642" t="str">
        <f t="shared" si="1"/>
        <v/>
      </c>
    </row>
    <row r="121" spans="1:26" s="127" customFormat="1" ht="25">
      <c r="A121" s="636">
        <v>1642</v>
      </c>
      <c r="B121" s="637" t="s">
        <v>33</v>
      </c>
      <c r="C121" s="636" t="s">
        <v>2725</v>
      </c>
      <c r="D121" s="637" t="s">
        <v>1790</v>
      </c>
      <c r="E121" s="637" t="s">
        <v>1862</v>
      </c>
      <c r="F121" s="636">
        <v>56401</v>
      </c>
      <c r="G121" s="637" t="s">
        <v>81</v>
      </c>
      <c r="H121" s="637" t="s">
        <v>1163</v>
      </c>
      <c r="I121" s="637" t="s">
        <v>58</v>
      </c>
      <c r="J121" s="636">
        <v>22</v>
      </c>
      <c r="K121" s="636">
        <v>2</v>
      </c>
      <c r="L121" s="637" t="s">
        <v>52</v>
      </c>
      <c r="M121" s="637" t="s">
        <v>50</v>
      </c>
      <c r="N121" s="637" t="s">
        <v>46</v>
      </c>
      <c r="O121" s="637" t="s">
        <v>46</v>
      </c>
      <c r="P121" s="637" t="s">
        <v>47</v>
      </c>
      <c r="Q121" s="638">
        <v>1573</v>
      </c>
      <c r="R121" s="638">
        <v>1573</v>
      </c>
      <c r="S121" s="638">
        <v>8809</v>
      </c>
      <c r="T121" s="638">
        <v>8809</v>
      </c>
      <c r="U121" s="638">
        <v>874.35900000000004</v>
      </c>
      <c r="V121" s="636">
        <v>2022</v>
      </c>
      <c r="W121" s="640" t="s">
        <v>3934</v>
      </c>
      <c r="X121" s="641">
        <f t="shared" si="4"/>
        <v>10.074809088715275</v>
      </c>
      <c r="Y121" s="642" t="str">
        <f t="shared" si="5"/>
        <v/>
      </c>
      <c r="Z121" s="642" t="str">
        <f t="shared" si="1"/>
        <v/>
      </c>
    </row>
    <row r="122" spans="1:26" s="127" customFormat="1" ht="25">
      <c r="A122" s="636">
        <v>1642</v>
      </c>
      <c r="B122" s="637" t="s">
        <v>33</v>
      </c>
      <c r="C122" s="636" t="s">
        <v>2725</v>
      </c>
      <c r="D122" s="637" t="s">
        <v>1790</v>
      </c>
      <c r="E122" s="637" t="s">
        <v>1862</v>
      </c>
      <c r="F122" s="636">
        <v>56401</v>
      </c>
      <c r="G122" s="637" t="s">
        <v>81</v>
      </c>
      <c r="H122" s="637" t="s">
        <v>1163</v>
      </c>
      <c r="I122" s="637" t="s">
        <v>58</v>
      </c>
      <c r="J122" s="636">
        <v>22</v>
      </c>
      <c r="K122" s="636">
        <v>2</v>
      </c>
      <c r="L122" s="637" t="s">
        <v>52</v>
      </c>
      <c r="M122" s="637" t="s">
        <v>50</v>
      </c>
      <c r="N122" s="637" t="s">
        <v>76</v>
      </c>
      <c r="O122" s="637" t="s">
        <v>67</v>
      </c>
      <c r="P122" s="637" t="s">
        <v>47</v>
      </c>
      <c r="Q122" s="638">
        <v>169</v>
      </c>
      <c r="R122" s="638">
        <v>169</v>
      </c>
      <c r="S122" s="638">
        <v>946</v>
      </c>
      <c r="T122" s="638">
        <v>946</v>
      </c>
      <c r="U122" s="638">
        <v>93.382999999999996</v>
      </c>
      <c r="V122" s="636">
        <v>2022</v>
      </c>
      <c r="W122" s="640" t="s">
        <v>3934</v>
      </c>
      <c r="X122" s="641">
        <f t="shared" si="4"/>
        <v>10.130323506419799</v>
      </c>
      <c r="Y122" s="642" t="str">
        <f t="shared" si="5"/>
        <v/>
      </c>
      <c r="Z122" s="642" t="str">
        <f t="shared" si="1"/>
        <v/>
      </c>
    </row>
    <row r="123" spans="1:26" s="127" customFormat="1" ht="25">
      <c r="A123" s="636">
        <v>1642</v>
      </c>
      <c r="B123" s="637" t="s">
        <v>33</v>
      </c>
      <c r="C123" s="636" t="s">
        <v>2725</v>
      </c>
      <c r="D123" s="637" t="s">
        <v>1790</v>
      </c>
      <c r="E123" s="637" t="s">
        <v>1862</v>
      </c>
      <c r="F123" s="636">
        <v>56401</v>
      </c>
      <c r="G123" s="637" t="s">
        <v>81</v>
      </c>
      <c r="H123" s="637" t="s">
        <v>1163</v>
      </c>
      <c r="I123" s="637" t="s">
        <v>58</v>
      </c>
      <c r="J123" s="636">
        <v>22</v>
      </c>
      <c r="K123" s="636">
        <v>2</v>
      </c>
      <c r="L123" s="637" t="s">
        <v>52</v>
      </c>
      <c r="M123" s="637" t="s">
        <v>50</v>
      </c>
      <c r="N123" s="637" t="s">
        <v>39</v>
      </c>
      <c r="O123" s="637" t="s">
        <v>39</v>
      </c>
      <c r="P123" s="637" t="s">
        <v>1020</v>
      </c>
      <c r="Q123" s="638">
        <v>1465</v>
      </c>
      <c r="R123" s="638">
        <v>1465</v>
      </c>
      <c r="S123" s="638">
        <v>1514</v>
      </c>
      <c r="T123" s="638">
        <v>1514</v>
      </c>
      <c r="U123" s="638">
        <v>150.25700000000001</v>
      </c>
      <c r="V123" s="636">
        <v>2022</v>
      </c>
      <c r="W123" s="640" t="s">
        <v>3934</v>
      </c>
      <c r="X123" s="641">
        <f t="shared" si="4"/>
        <v>10.076069667303353</v>
      </c>
      <c r="Y123" s="642" t="str">
        <f t="shared" si="5"/>
        <v/>
      </c>
      <c r="Z123" s="642" t="str">
        <f t="shared" si="1"/>
        <v/>
      </c>
    </row>
    <row r="124" spans="1:26" s="127" customFormat="1" ht="25">
      <c r="A124" s="636">
        <v>1643</v>
      </c>
      <c r="B124" s="637" t="s">
        <v>33</v>
      </c>
      <c r="C124" s="636" t="s">
        <v>2725</v>
      </c>
      <c r="D124" s="637" t="s">
        <v>602</v>
      </c>
      <c r="E124" s="637" t="s">
        <v>1862</v>
      </c>
      <c r="F124" s="636">
        <v>56401</v>
      </c>
      <c r="G124" s="637" t="s">
        <v>81</v>
      </c>
      <c r="H124" s="637" t="s">
        <v>1163</v>
      </c>
      <c r="I124" s="637" t="s">
        <v>58</v>
      </c>
      <c r="J124" s="636">
        <v>22</v>
      </c>
      <c r="K124" s="636">
        <v>2</v>
      </c>
      <c r="L124" s="637" t="s">
        <v>52</v>
      </c>
      <c r="M124" s="637" t="s">
        <v>50</v>
      </c>
      <c r="N124" s="637" t="s">
        <v>46</v>
      </c>
      <c r="O124" s="637" t="s">
        <v>46</v>
      </c>
      <c r="P124" s="637" t="s">
        <v>47</v>
      </c>
      <c r="Q124" s="638">
        <v>0</v>
      </c>
      <c r="R124" s="638">
        <v>0</v>
      </c>
      <c r="S124" s="638">
        <v>0</v>
      </c>
      <c r="T124" s="638">
        <v>0</v>
      </c>
      <c r="U124" s="638">
        <v>0</v>
      </c>
      <c r="V124" s="636">
        <v>2022</v>
      </c>
      <c r="W124" s="640"/>
      <c r="X124" s="641" t="str">
        <f t="shared" si="4"/>
        <v/>
      </c>
      <c r="Y124" s="642" t="str">
        <f t="shared" si="5"/>
        <v/>
      </c>
      <c r="Z124" s="642" t="str">
        <f t="shared" si="1"/>
        <v/>
      </c>
    </row>
    <row r="125" spans="1:26" s="127" customFormat="1" ht="25">
      <c r="A125" s="636">
        <v>1643</v>
      </c>
      <c r="B125" s="637" t="s">
        <v>33</v>
      </c>
      <c r="C125" s="636" t="s">
        <v>2725</v>
      </c>
      <c r="D125" s="637" t="s">
        <v>602</v>
      </c>
      <c r="E125" s="637" t="s">
        <v>1862</v>
      </c>
      <c r="F125" s="636">
        <v>56401</v>
      </c>
      <c r="G125" s="637" t="s">
        <v>81</v>
      </c>
      <c r="H125" s="637" t="s">
        <v>1163</v>
      </c>
      <c r="I125" s="637" t="s">
        <v>58</v>
      </c>
      <c r="J125" s="636">
        <v>22</v>
      </c>
      <c r="K125" s="636">
        <v>2</v>
      </c>
      <c r="L125" s="637" t="s">
        <v>52</v>
      </c>
      <c r="M125" s="637" t="s">
        <v>50</v>
      </c>
      <c r="N125" s="637" t="s">
        <v>66</v>
      </c>
      <c r="O125" s="637" t="s">
        <v>67</v>
      </c>
      <c r="P125" s="637" t="s">
        <v>47</v>
      </c>
      <c r="Q125" s="638">
        <v>0</v>
      </c>
      <c r="R125" s="638">
        <v>0</v>
      </c>
      <c r="S125" s="638">
        <v>0</v>
      </c>
      <c r="T125" s="638">
        <v>0</v>
      </c>
      <c r="U125" s="638">
        <v>0</v>
      </c>
      <c r="V125" s="636">
        <v>2022</v>
      </c>
      <c r="W125" s="640"/>
      <c r="X125" s="641" t="str">
        <f t="shared" si="4"/>
        <v/>
      </c>
      <c r="Y125" s="642" t="str">
        <f t="shared" si="5"/>
        <v/>
      </c>
      <c r="Z125" s="642" t="str">
        <f t="shared" si="1"/>
        <v/>
      </c>
    </row>
    <row r="126" spans="1:26" s="127" customFormat="1" ht="25">
      <c r="A126" s="636">
        <v>1643</v>
      </c>
      <c r="B126" s="637" t="s">
        <v>33</v>
      </c>
      <c r="C126" s="636" t="s">
        <v>2725</v>
      </c>
      <c r="D126" s="637" t="s">
        <v>602</v>
      </c>
      <c r="E126" s="637" t="s">
        <v>1862</v>
      </c>
      <c r="F126" s="636">
        <v>56401</v>
      </c>
      <c r="G126" s="637" t="s">
        <v>81</v>
      </c>
      <c r="H126" s="637" t="s">
        <v>1163</v>
      </c>
      <c r="I126" s="637" t="s">
        <v>58</v>
      </c>
      <c r="J126" s="636">
        <v>22</v>
      </c>
      <c r="K126" s="636">
        <v>2</v>
      </c>
      <c r="L126" s="637" t="s">
        <v>52</v>
      </c>
      <c r="M126" s="637" t="s">
        <v>50</v>
      </c>
      <c r="N126" s="637" t="s">
        <v>76</v>
      </c>
      <c r="O126" s="637" t="s">
        <v>67</v>
      </c>
      <c r="P126" s="637" t="s">
        <v>47</v>
      </c>
      <c r="Q126" s="638">
        <v>127</v>
      </c>
      <c r="R126" s="638">
        <v>127</v>
      </c>
      <c r="S126" s="638">
        <v>712</v>
      </c>
      <c r="T126" s="638">
        <v>712</v>
      </c>
      <c r="U126" s="638">
        <v>120</v>
      </c>
      <c r="V126" s="636">
        <v>2022</v>
      </c>
      <c r="W126" s="640"/>
      <c r="X126" s="641">
        <f t="shared" si="4"/>
        <v>5.9333333333333336</v>
      </c>
      <c r="Y126" s="642" t="str">
        <f t="shared" si="5"/>
        <v/>
      </c>
      <c r="Z126" s="642" t="str">
        <f t="shared" si="1"/>
        <v/>
      </c>
    </row>
    <row r="127" spans="1:26" s="127" customFormat="1" ht="25">
      <c r="A127" s="636">
        <v>1660</v>
      </c>
      <c r="B127" s="637" t="s">
        <v>33</v>
      </c>
      <c r="C127" s="636" t="s">
        <v>2725</v>
      </c>
      <c r="D127" s="637" t="s">
        <v>12</v>
      </c>
      <c r="E127" s="637" t="s">
        <v>1082</v>
      </c>
      <c r="F127" s="636">
        <v>2144</v>
      </c>
      <c r="G127" s="637" t="s">
        <v>81</v>
      </c>
      <c r="H127" s="637" t="s">
        <v>1163</v>
      </c>
      <c r="I127" s="637" t="s">
        <v>58</v>
      </c>
      <c r="J127" s="636">
        <v>22</v>
      </c>
      <c r="K127" s="636">
        <v>1</v>
      </c>
      <c r="L127" s="637" t="s">
        <v>34</v>
      </c>
      <c r="M127" s="637" t="s">
        <v>38</v>
      </c>
      <c r="N127" s="637" t="s">
        <v>46</v>
      </c>
      <c r="O127" s="637" t="s">
        <v>46</v>
      </c>
      <c r="P127" s="637" t="s">
        <v>47</v>
      </c>
      <c r="Q127" s="638">
        <v>0</v>
      </c>
      <c r="R127" s="638">
        <v>0</v>
      </c>
      <c r="S127" s="638">
        <v>0</v>
      </c>
      <c r="T127" s="638">
        <v>0</v>
      </c>
      <c r="U127" s="638">
        <v>0</v>
      </c>
      <c r="V127" s="636">
        <v>2022</v>
      </c>
      <c r="W127" s="640" t="s">
        <v>3934</v>
      </c>
      <c r="X127" s="641" t="str">
        <f t="shared" si="4"/>
        <v/>
      </c>
      <c r="Y127" s="642" t="str">
        <f t="shared" si="5"/>
        <v/>
      </c>
      <c r="Z127" s="642" t="str">
        <f t="shared" si="1"/>
        <v/>
      </c>
    </row>
    <row r="128" spans="1:26" s="127" customFormat="1" ht="25">
      <c r="A128" s="636">
        <v>1660</v>
      </c>
      <c r="B128" s="637" t="s">
        <v>33</v>
      </c>
      <c r="C128" s="636" t="s">
        <v>2725</v>
      </c>
      <c r="D128" s="637" t="s">
        <v>12</v>
      </c>
      <c r="E128" s="637" t="s">
        <v>1082</v>
      </c>
      <c r="F128" s="636">
        <v>2144</v>
      </c>
      <c r="G128" s="637" t="s">
        <v>81</v>
      </c>
      <c r="H128" s="637" t="s">
        <v>1163</v>
      </c>
      <c r="I128" s="637" t="s">
        <v>58</v>
      </c>
      <c r="J128" s="636">
        <v>22</v>
      </c>
      <c r="K128" s="636">
        <v>1</v>
      </c>
      <c r="L128" s="637" t="s">
        <v>34</v>
      </c>
      <c r="M128" s="637" t="s">
        <v>38</v>
      </c>
      <c r="N128" s="637" t="s">
        <v>39</v>
      </c>
      <c r="O128" s="637" t="s">
        <v>39</v>
      </c>
      <c r="P128" s="637" t="s">
        <v>1020</v>
      </c>
      <c r="Q128" s="638">
        <v>0</v>
      </c>
      <c r="R128" s="638">
        <v>0</v>
      </c>
      <c r="S128" s="638">
        <v>0</v>
      </c>
      <c r="T128" s="638">
        <v>0</v>
      </c>
      <c r="U128" s="638">
        <v>0</v>
      </c>
      <c r="V128" s="636">
        <v>2022</v>
      </c>
      <c r="W128" s="640" t="s">
        <v>3934</v>
      </c>
      <c r="X128" s="641" t="str">
        <f t="shared" si="4"/>
        <v/>
      </c>
      <c r="Y128" s="642" t="str">
        <f t="shared" si="5"/>
        <v/>
      </c>
      <c r="Z128" s="642" t="str">
        <f t="shared" si="1"/>
        <v/>
      </c>
    </row>
    <row r="129" spans="1:26" s="127" customFormat="1" ht="25">
      <c r="A129" s="636">
        <v>1660</v>
      </c>
      <c r="B129" s="637" t="s">
        <v>33</v>
      </c>
      <c r="C129" s="636" t="s">
        <v>2725</v>
      </c>
      <c r="D129" s="637" t="s">
        <v>12</v>
      </c>
      <c r="E129" s="637" t="s">
        <v>1082</v>
      </c>
      <c r="F129" s="636">
        <v>2144</v>
      </c>
      <c r="G129" s="637" t="s">
        <v>81</v>
      </c>
      <c r="H129" s="637" t="s">
        <v>1163</v>
      </c>
      <c r="I129" s="637" t="s">
        <v>58</v>
      </c>
      <c r="J129" s="636">
        <v>22</v>
      </c>
      <c r="K129" s="636">
        <v>1</v>
      </c>
      <c r="L129" s="637" t="s">
        <v>34</v>
      </c>
      <c r="M129" s="637" t="s">
        <v>41</v>
      </c>
      <c r="N129" s="637" t="s">
        <v>46</v>
      </c>
      <c r="O129" s="637" t="s">
        <v>46</v>
      </c>
      <c r="P129" s="637" t="s">
        <v>47</v>
      </c>
      <c r="Q129" s="638">
        <v>0</v>
      </c>
      <c r="R129" s="638">
        <v>0</v>
      </c>
      <c r="S129" s="638">
        <v>0</v>
      </c>
      <c r="T129" s="638">
        <v>0</v>
      </c>
      <c r="U129" s="638">
        <v>0</v>
      </c>
      <c r="V129" s="636">
        <v>2022</v>
      </c>
      <c r="W129" s="640" t="s">
        <v>3934</v>
      </c>
      <c r="X129" s="641" t="str">
        <f t="shared" si="4"/>
        <v/>
      </c>
      <c r="Y129" s="642" t="str">
        <f t="shared" si="5"/>
        <v/>
      </c>
      <c r="Z129" s="642" t="str">
        <f t="shared" si="1"/>
        <v/>
      </c>
    </row>
    <row r="130" spans="1:26" s="127" customFormat="1" ht="25">
      <c r="A130" s="636">
        <v>1660</v>
      </c>
      <c r="B130" s="637" t="s">
        <v>33</v>
      </c>
      <c r="C130" s="636" t="s">
        <v>2725</v>
      </c>
      <c r="D130" s="637" t="s">
        <v>12</v>
      </c>
      <c r="E130" s="637" t="s">
        <v>1082</v>
      </c>
      <c r="F130" s="636">
        <v>2144</v>
      </c>
      <c r="G130" s="637" t="s">
        <v>81</v>
      </c>
      <c r="H130" s="637" t="s">
        <v>1163</v>
      </c>
      <c r="I130" s="637" t="s">
        <v>58</v>
      </c>
      <c r="J130" s="636">
        <v>22</v>
      </c>
      <c r="K130" s="636">
        <v>1</v>
      </c>
      <c r="L130" s="637" t="s">
        <v>34</v>
      </c>
      <c r="M130" s="637" t="s">
        <v>41</v>
      </c>
      <c r="N130" s="637" t="s">
        <v>39</v>
      </c>
      <c r="O130" s="637" t="s">
        <v>39</v>
      </c>
      <c r="P130" s="637" t="s">
        <v>1020</v>
      </c>
      <c r="Q130" s="638">
        <v>0</v>
      </c>
      <c r="R130" s="638">
        <v>0</v>
      </c>
      <c r="S130" s="638">
        <v>0</v>
      </c>
      <c r="T130" s="638">
        <v>0</v>
      </c>
      <c r="U130" s="638">
        <v>0</v>
      </c>
      <c r="V130" s="636">
        <v>2022</v>
      </c>
      <c r="W130" s="640" t="s">
        <v>3934</v>
      </c>
      <c r="X130" s="641" t="str">
        <f t="shared" si="4"/>
        <v/>
      </c>
      <c r="Y130" s="642" t="str">
        <f t="shared" si="5"/>
        <v/>
      </c>
      <c r="Z130" s="642" t="str">
        <f t="shared" si="1"/>
        <v/>
      </c>
    </row>
    <row r="131" spans="1:26" s="127" customFormat="1" ht="25">
      <c r="A131" s="636">
        <v>1660</v>
      </c>
      <c r="B131" s="637" t="s">
        <v>33</v>
      </c>
      <c r="C131" s="636" t="s">
        <v>2725</v>
      </c>
      <c r="D131" s="637" t="s">
        <v>12</v>
      </c>
      <c r="E131" s="637" t="s">
        <v>1082</v>
      </c>
      <c r="F131" s="636">
        <v>2144</v>
      </c>
      <c r="G131" s="637" t="s">
        <v>81</v>
      </c>
      <c r="H131" s="637" t="s">
        <v>1163</v>
      </c>
      <c r="I131" s="637" t="s">
        <v>58</v>
      </c>
      <c r="J131" s="636">
        <v>22</v>
      </c>
      <c r="K131" s="636">
        <v>1</v>
      </c>
      <c r="L131" s="637" t="s">
        <v>34</v>
      </c>
      <c r="M131" s="637" t="s">
        <v>50</v>
      </c>
      <c r="N131" s="637" t="s">
        <v>46</v>
      </c>
      <c r="O131" s="637" t="s">
        <v>46</v>
      </c>
      <c r="P131" s="637" t="s">
        <v>47</v>
      </c>
      <c r="Q131" s="638">
        <v>23364</v>
      </c>
      <c r="R131" s="638">
        <v>23364</v>
      </c>
      <c r="S131" s="638">
        <v>135231</v>
      </c>
      <c r="T131" s="638">
        <v>135231</v>
      </c>
      <c r="U131" s="638">
        <v>13980.005999999999</v>
      </c>
      <c r="V131" s="636">
        <v>2022</v>
      </c>
      <c r="W131" s="640" t="s">
        <v>3934</v>
      </c>
      <c r="X131" s="641">
        <f t="shared" si="4"/>
        <v>9.6731718140893506</v>
      </c>
      <c r="Y131" s="642" t="str">
        <f t="shared" si="5"/>
        <v/>
      </c>
      <c r="Z131" s="642" t="str">
        <f t="shared" si="1"/>
        <v/>
      </c>
    </row>
    <row r="132" spans="1:26" s="127" customFormat="1" ht="25">
      <c r="A132" s="636">
        <v>1660</v>
      </c>
      <c r="B132" s="637" t="s">
        <v>33</v>
      </c>
      <c r="C132" s="636" t="s">
        <v>2725</v>
      </c>
      <c r="D132" s="637" t="s">
        <v>12</v>
      </c>
      <c r="E132" s="637" t="s">
        <v>1082</v>
      </c>
      <c r="F132" s="636">
        <v>2144</v>
      </c>
      <c r="G132" s="637" t="s">
        <v>81</v>
      </c>
      <c r="H132" s="637" t="s">
        <v>1163</v>
      </c>
      <c r="I132" s="637" t="s">
        <v>58</v>
      </c>
      <c r="J132" s="636">
        <v>22</v>
      </c>
      <c r="K132" s="636">
        <v>1</v>
      </c>
      <c r="L132" s="637" t="s">
        <v>34</v>
      </c>
      <c r="M132" s="637" t="s">
        <v>50</v>
      </c>
      <c r="N132" s="637" t="s">
        <v>39</v>
      </c>
      <c r="O132" s="637" t="s">
        <v>39</v>
      </c>
      <c r="P132" s="637" t="s">
        <v>1020</v>
      </c>
      <c r="Q132" s="638">
        <v>195210</v>
      </c>
      <c r="R132" s="638">
        <v>195210</v>
      </c>
      <c r="S132" s="638">
        <v>201066</v>
      </c>
      <c r="T132" s="638">
        <v>201066</v>
      </c>
      <c r="U132" s="638">
        <v>20786.993999999999</v>
      </c>
      <c r="V132" s="636">
        <v>2022</v>
      </c>
      <c r="W132" s="640" t="s">
        <v>3934</v>
      </c>
      <c r="X132" s="641">
        <f t="shared" si="4"/>
        <v>9.672682832351807</v>
      </c>
      <c r="Y132" s="642" t="str">
        <f t="shared" si="5"/>
        <v/>
      </c>
      <c r="Z132" s="642" t="str">
        <f t="shared" si="1"/>
        <v/>
      </c>
    </row>
    <row r="133" spans="1:26" s="127" customFormat="1" ht="25">
      <c r="A133" s="636">
        <v>1660</v>
      </c>
      <c r="B133" s="637" t="s">
        <v>33</v>
      </c>
      <c r="C133" s="636" t="s">
        <v>2725</v>
      </c>
      <c r="D133" s="637" t="s">
        <v>12</v>
      </c>
      <c r="E133" s="637" t="s">
        <v>1082</v>
      </c>
      <c r="F133" s="636">
        <v>2144</v>
      </c>
      <c r="G133" s="637" t="s">
        <v>81</v>
      </c>
      <c r="H133" s="637" t="s">
        <v>1163</v>
      </c>
      <c r="I133" s="637" t="s">
        <v>58</v>
      </c>
      <c r="J133" s="636">
        <v>22</v>
      </c>
      <c r="K133" s="636">
        <v>1</v>
      </c>
      <c r="L133" s="637" t="s">
        <v>34</v>
      </c>
      <c r="M133" s="637" t="s">
        <v>51</v>
      </c>
      <c r="N133" s="637" t="s">
        <v>46</v>
      </c>
      <c r="O133" s="637" t="s">
        <v>46</v>
      </c>
      <c r="P133" s="637" t="s">
        <v>47</v>
      </c>
      <c r="Q133" s="638">
        <v>0</v>
      </c>
      <c r="R133" s="638">
        <v>0</v>
      </c>
      <c r="S133" s="638">
        <v>0</v>
      </c>
      <c r="T133" s="638">
        <v>0</v>
      </c>
      <c r="U133" s="638">
        <v>0</v>
      </c>
      <c r="V133" s="636">
        <v>2022</v>
      </c>
      <c r="W133" s="640"/>
      <c r="X133" s="641" t="str">
        <f t="shared" si="4"/>
        <v/>
      </c>
      <c r="Y133" s="642" t="str">
        <f t="shared" si="5"/>
        <v/>
      </c>
      <c r="Z133" s="642" t="str">
        <f t="shared" si="1"/>
        <v/>
      </c>
    </row>
    <row r="134" spans="1:26" s="127" customFormat="1" ht="25">
      <c r="A134" s="636">
        <v>1670</v>
      </c>
      <c r="B134" s="637" t="s">
        <v>33</v>
      </c>
      <c r="C134" s="636" t="s">
        <v>2725</v>
      </c>
      <c r="D134" s="637" t="s">
        <v>603</v>
      </c>
      <c r="E134" s="637" t="s">
        <v>1169</v>
      </c>
      <c r="F134" s="636">
        <v>9442</v>
      </c>
      <c r="G134" s="637" t="s">
        <v>81</v>
      </c>
      <c r="H134" s="637" t="s">
        <v>1163</v>
      </c>
      <c r="I134" s="637" t="s">
        <v>58</v>
      </c>
      <c r="J134" s="636">
        <v>22</v>
      </c>
      <c r="K134" s="636">
        <v>1</v>
      </c>
      <c r="L134" s="637" t="s">
        <v>34</v>
      </c>
      <c r="M134" s="637" t="s">
        <v>51</v>
      </c>
      <c r="N134" s="637" t="s">
        <v>46</v>
      </c>
      <c r="O134" s="637" t="s">
        <v>46</v>
      </c>
      <c r="P134" s="637" t="s">
        <v>47</v>
      </c>
      <c r="Q134" s="638">
        <v>120</v>
      </c>
      <c r="R134" s="638">
        <v>120</v>
      </c>
      <c r="S134" s="638">
        <v>697</v>
      </c>
      <c r="T134" s="638">
        <v>697</v>
      </c>
      <c r="U134" s="638">
        <v>62.146000000000001</v>
      </c>
      <c r="V134" s="636">
        <v>2022</v>
      </c>
      <c r="W134" s="640"/>
      <c r="X134" s="641">
        <f t="shared" si="4"/>
        <v>11.215524732082516</v>
      </c>
      <c r="Y134" s="642" t="str">
        <f t="shared" si="5"/>
        <v/>
      </c>
      <c r="Z134" s="642" t="str">
        <f t="shared" si="1"/>
        <v/>
      </c>
    </row>
    <row r="135" spans="1:26" s="127" customFormat="1" ht="25">
      <c r="A135" s="636">
        <v>1670</v>
      </c>
      <c r="B135" s="637" t="s">
        <v>33</v>
      </c>
      <c r="C135" s="636" t="s">
        <v>2725</v>
      </c>
      <c r="D135" s="637" t="s">
        <v>603</v>
      </c>
      <c r="E135" s="637" t="s">
        <v>1169</v>
      </c>
      <c r="F135" s="636">
        <v>9442</v>
      </c>
      <c r="G135" s="637" t="s">
        <v>81</v>
      </c>
      <c r="H135" s="637" t="s">
        <v>1163</v>
      </c>
      <c r="I135" s="637" t="s">
        <v>58</v>
      </c>
      <c r="J135" s="636">
        <v>22</v>
      </c>
      <c r="K135" s="636">
        <v>1</v>
      </c>
      <c r="L135" s="637" t="s">
        <v>34</v>
      </c>
      <c r="M135" s="637" t="s">
        <v>51</v>
      </c>
      <c r="N135" s="637" t="s">
        <v>39</v>
      </c>
      <c r="O135" s="637" t="s">
        <v>39</v>
      </c>
      <c r="P135" s="637" t="s">
        <v>1020</v>
      </c>
      <c r="Q135" s="638">
        <v>1749</v>
      </c>
      <c r="R135" s="638">
        <v>1749</v>
      </c>
      <c r="S135" s="638">
        <v>1801</v>
      </c>
      <c r="T135" s="638">
        <v>1801</v>
      </c>
      <c r="U135" s="638">
        <v>160.85400000000001</v>
      </c>
      <c r="V135" s="636">
        <v>2022</v>
      </c>
      <c r="W135" s="640"/>
      <c r="X135" s="641">
        <f t="shared" si="4"/>
        <v>11.19648874134308</v>
      </c>
      <c r="Y135" s="642" t="str">
        <f t="shared" si="5"/>
        <v/>
      </c>
      <c r="Z135" s="642" t="str">
        <f t="shared" si="1"/>
        <v/>
      </c>
    </row>
    <row r="136" spans="1:26" s="127" customFormat="1" ht="25">
      <c r="A136" s="636">
        <v>1678</v>
      </c>
      <c r="B136" s="637" t="s">
        <v>33</v>
      </c>
      <c r="C136" s="636" t="s">
        <v>2725</v>
      </c>
      <c r="D136" s="637" t="s">
        <v>13</v>
      </c>
      <c r="E136" s="637" t="s">
        <v>1026</v>
      </c>
      <c r="F136" s="636">
        <v>14605</v>
      </c>
      <c r="G136" s="637" t="s">
        <v>81</v>
      </c>
      <c r="H136" s="637" t="s">
        <v>1163</v>
      </c>
      <c r="I136" s="637" t="s">
        <v>58</v>
      </c>
      <c r="J136" s="636">
        <v>22</v>
      </c>
      <c r="K136" s="636">
        <v>1</v>
      </c>
      <c r="L136" s="637" t="s">
        <v>34</v>
      </c>
      <c r="M136" s="637" t="s">
        <v>50</v>
      </c>
      <c r="N136" s="637" t="s">
        <v>46</v>
      </c>
      <c r="O136" s="637" t="s">
        <v>46</v>
      </c>
      <c r="P136" s="637" t="s">
        <v>47</v>
      </c>
      <c r="Q136" s="638">
        <v>2147</v>
      </c>
      <c r="R136" s="638">
        <v>2147</v>
      </c>
      <c r="S136" s="638">
        <v>12506</v>
      </c>
      <c r="T136" s="638">
        <v>12506</v>
      </c>
      <c r="U136" s="638">
        <v>1067.9960000000001</v>
      </c>
      <c r="V136" s="636">
        <v>2022</v>
      </c>
      <c r="W136" s="640"/>
      <c r="X136" s="641">
        <f t="shared" ref="X136:X199" si="6">IF(OR(K136&gt;3,T136=0,NOT(U136&gt;0)),"",T136/U136)</f>
        <v>11.709781684575596</v>
      </c>
      <c r="Y136" s="642" t="str">
        <f t="shared" ref="Y136:Y199" si="7">IF(AND($M136=$Y$2,$N136=$Y$3,NOT($Q136=$R136),NOT($U136=0)),IF($K136=5,$S136/($U136+(8/5)*$U136),IF($K136=7,$S136/($U136+(29/25)*$U136),"")),"")</f>
        <v/>
      </c>
      <c r="Z136" s="642" t="str">
        <f t="shared" si="1"/>
        <v/>
      </c>
    </row>
    <row r="137" spans="1:26" s="127" customFormat="1" ht="25">
      <c r="A137" s="636">
        <v>1678</v>
      </c>
      <c r="B137" s="637" t="s">
        <v>33</v>
      </c>
      <c r="C137" s="636" t="s">
        <v>2725</v>
      </c>
      <c r="D137" s="637" t="s">
        <v>13</v>
      </c>
      <c r="E137" s="637" t="s">
        <v>1026</v>
      </c>
      <c r="F137" s="636">
        <v>14605</v>
      </c>
      <c r="G137" s="637" t="s">
        <v>81</v>
      </c>
      <c r="H137" s="637" t="s">
        <v>1163</v>
      </c>
      <c r="I137" s="637" t="s">
        <v>58</v>
      </c>
      <c r="J137" s="636">
        <v>22</v>
      </c>
      <c r="K137" s="636">
        <v>1</v>
      </c>
      <c r="L137" s="637" t="s">
        <v>34</v>
      </c>
      <c r="M137" s="637" t="s">
        <v>50</v>
      </c>
      <c r="N137" s="637" t="s">
        <v>39</v>
      </c>
      <c r="O137" s="637" t="s">
        <v>39</v>
      </c>
      <c r="P137" s="637" t="s">
        <v>1020</v>
      </c>
      <c r="Q137" s="638">
        <v>59714</v>
      </c>
      <c r="R137" s="638">
        <v>59714</v>
      </c>
      <c r="S137" s="638">
        <v>61506</v>
      </c>
      <c r="T137" s="638">
        <v>61506</v>
      </c>
      <c r="U137" s="638">
        <v>5250.0060000000003</v>
      </c>
      <c r="V137" s="636">
        <v>2022</v>
      </c>
      <c r="W137" s="640"/>
      <c r="X137" s="641">
        <f t="shared" si="6"/>
        <v>11.715415182382648</v>
      </c>
      <c r="Y137" s="642" t="str">
        <f t="shared" si="7"/>
        <v/>
      </c>
      <c r="Z137" s="642" t="str">
        <f t="shared" si="1"/>
        <v/>
      </c>
    </row>
    <row r="138" spans="1:26" s="127" customFormat="1" ht="25">
      <c r="A138" s="636">
        <v>1682</v>
      </c>
      <c r="B138" s="637" t="s">
        <v>33</v>
      </c>
      <c r="C138" s="636" t="s">
        <v>2725</v>
      </c>
      <c r="D138" s="637" t="s">
        <v>2730</v>
      </c>
      <c r="E138" s="637" t="s">
        <v>15</v>
      </c>
      <c r="F138" s="636">
        <v>18488</v>
      </c>
      <c r="G138" s="637" t="s">
        <v>81</v>
      </c>
      <c r="H138" s="637" t="s">
        <v>1163</v>
      </c>
      <c r="I138" s="637" t="s">
        <v>58</v>
      </c>
      <c r="J138" s="636">
        <v>22</v>
      </c>
      <c r="K138" s="636">
        <v>1</v>
      </c>
      <c r="L138" s="637" t="s">
        <v>34</v>
      </c>
      <c r="M138" s="637" t="s">
        <v>1852</v>
      </c>
      <c r="N138" s="637" t="s">
        <v>1035</v>
      </c>
      <c r="O138" s="637" t="s">
        <v>82</v>
      </c>
      <c r="P138" s="637" t="s">
        <v>2726</v>
      </c>
      <c r="Q138" s="638">
        <v>534</v>
      </c>
      <c r="R138" s="638">
        <v>534</v>
      </c>
      <c r="S138" s="638">
        <v>0</v>
      </c>
      <c r="T138" s="638">
        <v>0</v>
      </c>
      <c r="U138" s="638">
        <v>-144</v>
      </c>
      <c r="V138" s="636">
        <v>2022</v>
      </c>
      <c r="W138" s="640"/>
      <c r="X138" s="641" t="str">
        <f t="shared" si="6"/>
        <v/>
      </c>
      <c r="Y138" s="642" t="str">
        <f t="shared" si="7"/>
        <v/>
      </c>
      <c r="Z138" s="642" t="str">
        <f t="shared" si="1"/>
        <v/>
      </c>
    </row>
    <row r="139" spans="1:26" s="127" customFormat="1" ht="25">
      <c r="A139" s="636">
        <v>1682</v>
      </c>
      <c r="B139" s="637" t="s">
        <v>33</v>
      </c>
      <c r="C139" s="636" t="s">
        <v>2725</v>
      </c>
      <c r="D139" s="637" t="s">
        <v>2730</v>
      </c>
      <c r="E139" s="637" t="s">
        <v>15</v>
      </c>
      <c r="F139" s="636">
        <v>18488</v>
      </c>
      <c r="G139" s="637" t="s">
        <v>81</v>
      </c>
      <c r="H139" s="637" t="s">
        <v>1163</v>
      </c>
      <c r="I139" s="637" t="s">
        <v>58</v>
      </c>
      <c r="J139" s="636">
        <v>22</v>
      </c>
      <c r="K139" s="636">
        <v>1</v>
      </c>
      <c r="L139" s="637" t="s">
        <v>34</v>
      </c>
      <c r="M139" s="637" t="s">
        <v>38</v>
      </c>
      <c r="N139" s="637" t="s">
        <v>46</v>
      </c>
      <c r="O139" s="637" t="s">
        <v>46</v>
      </c>
      <c r="P139" s="637" t="s">
        <v>47</v>
      </c>
      <c r="Q139" s="638">
        <v>1359</v>
      </c>
      <c r="R139" s="638">
        <v>1359</v>
      </c>
      <c r="S139" s="638">
        <v>7850</v>
      </c>
      <c r="T139" s="638">
        <v>7850</v>
      </c>
      <c r="U139" s="638">
        <v>763.11800000000005</v>
      </c>
      <c r="V139" s="636">
        <v>2022</v>
      </c>
      <c r="W139" s="640" t="s">
        <v>3934</v>
      </c>
      <c r="X139" s="641">
        <f t="shared" si="6"/>
        <v>10.286744644995924</v>
      </c>
      <c r="Y139" s="642" t="str">
        <f t="shared" si="7"/>
        <v/>
      </c>
      <c r="Z139" s="642" t="str">
        <f t="shared" si="1"/>
        <v/>
      </c>
    </row>
    <row r="140" spans="1:26" s="127" customFormat="1" ht="25">
      <c r="A140" s="636">
        <v>1682</v>
      </c>
      <c r="B140" s="637" t="s">
        <v>33</v>
      </c>
      <c r="C140" s="636" t="s">
        <v>2725</v>
      </c>
      <c r="D140" s="637" t="s">
        <v>2730</v>
      </c>
      <c r="E140" s="637" t="s">
        <v>15</v>
      </c>
      <c r="F140" s="636">
        <v>18488</v>
      </c>
      <c r="G140" s="637" t="s">
        <v>81</v>
      </c>
      <c r="H140" s="637" t="s">
        <v>1163</v>
      </c>
      <c r="I140" s="637" t="s">
        <v>58</v>
      </c>
      <c r="J140" s="636">
        <v>22</v>
      </c>
      <c r="K140" s="636">
        <v>1</v>
      </c>
      <c r="L140" s="637" t="s">
        <v>34</v>
      </c>
      <c r="M140" s="637" t="s">
        <v>38</v>
      </c>
      <c r="N140" s="637" t="s">
        <v>39</v>
      </c>
      <c r="O140" s="637" t="s">
        <v>39</v>
      </c>
      <c r="P140" s="637" t="s">
        <v>1020</v>
      </c>
      <c r="Q140" s="638">
        <v>167731</v>
      </c>
      <c r="R140" s="638">
        <v>167731</v>
      </c>
      <c r="S140" s="638">
        <v>172274</v>
      </c>
      <c r="T140" s="638">
        <v>172274</v>
      </c>
      <c r="U140" s="638">
        <v>18219.882000000001</v>
      </c>
      <c r="V140" s="636">
        <v>2022</v>
      </c>
      <c r="W140" s="640" t="s">
        <v>3934</v>
      </c>
      <c r="X140" s="641">
        <f t="shared" si="6"/>
        <v>9.4552752866346772</v>
      </c>
      <c r="Y140" s="642" t="str">
        <f t="shared" si="7"/>
        <v/>
      </c>
      <c r="Z140" s="642" t="str">
        <f t="shared" si="1"/>
        <v/>
      </c>
    </row>
    <row r="141" spans="1:26" s="127" customFormat="1" ht="25">
      <c r="A141" s="636">
        <v>1682</v>
      </c>
      <c r="B141" s="637" t="s">
        <v>33</v>
      </c>
      <c r="C141" s="636" t="s">
        <v>2725</v>
      </c>
      <c r="D141" s="637" t="s">
        <v>2730</v>
      </c>
      <c r="E141" s="637" t="s">
        <v>15</v>
      </c>
      <c r="F141" s="636">
        <v>18488</v>
      </c>
      <c r="G141" s="637" t="s">
        <v>81</v>
      </c>
      <c r="H141" s="637" t="s">
        <v>1163</v>
      </c>
      <c r="I141" s="637" t="s">
        <v>58</v>
      </c>
      <c r="J141" s="636">
        <v>22</v>
      </c>
      <c r="K141" s="636">
        <v>1</v>
      </c>
      <c r="L141" s="637" t="s">
        <v>34</v>
      </c>
      <c r="M141" s="637" t="s">
        <v>41</v>
      </c>
      <c r="N141" s="637" t="s">
        <v>46</v>
      </c>
      <c r="O141" s="637" t="s">
        <v>46</v>
      </c>
      <c r="P141" s="637" t="s">
        <v>47</v>
      </c>
      <c r="Q141" s="638">
        <v>1101</v>
      </c>
      <c r="R141" s="638">
        <v>1101</v>
      </c>
      <c r="S141" s="638">
        <v>6361</v>
      </c>
      <c r="T141" s="638">
        <v>6361</v>
      </c>
      <c r="U141" s="638">
        <v>296.01</v>
      </c>
      <c r="V141" s="636">
        <v>2022</v>
      </c>
      <c r="W141" s="640" t="s">
        <v>3934</v>
      </c>
      <c r="X141" s="641">
        <f t="shared" si="6"/>
        <v>21.489138880443228</v>
      </c>
      <c r="Y141" s="642" t="str">
        <f t="shared" si="7"/>
        <v/>
      </c>
      <c r="Z141" s="642" t="str">
        <f t="shared" si="1"/>
        <v/>
      </c>
    </row>
    <row r="142" spans="1:26" s="127" customFormat="1" ht="25">
      <c r="A142" s="636">
        <v>1682</v>
      </c>
      <c r="B142" s="637" t="s">
        <v>33</v>
      </c>
      <c r="C142" s="636" t="s">
        <v>2725</v>
      </c>
      <c r="D142" s="637" t="s">
        <v>2730</v>
      </c>
      <c r="E142" s="637" t="s">
        <v>15</v>
      </c>
      <c r="F142" s="636">
        <v>18488</v>
      </c>
      <c r="G142" s="637" t="s">
        <v>81</v>
      </c>
      <c r="H142" s="637" t="s">
        <v>1163</v>
      </c>
      <c r="I142" s="637" t="s">
        <v>58</v>
      </c>
      <c r="J142" s="636">
        <v>22</v>
      </c>
      <c r="K142" s="636">
        <v>1</v>
      </c>
      <c r="L142" s="637" t="s">
        <v>34</v>
      </c>
      <c r="M142" s="637" t="s">
        <v>41</v>
      </c>
      <c r="N142" s="637" t="s">
        <v>39</v>
      </c>
      <c r="O142" s="637" t="s">
        <v>39</v>
      </c>
      <c r="P142" s="637" t="s">
        <v>1020</v>
      </c>
      <c r="Q142" s="638">
        <v>90120</v>
      </c>
      <c r="R142" s="638">
        <v>90120</v>
      </c>
      <c r="S142" s="638">
        <v>92563</v>
      </c>
      <c r="T142" s="638">
        <v>92563</v>
      </c>
      <c r="U142" s="638">
        <v>5360.99</v>
      </c>
      <c r="V142" s="636">
        <v>2022</v>
      </c>
      <c r="W142" s="640" t="s">
        <v>3934</v>
      </c>
      <c r="X142" s="641">
        <f t="shared" si="6"/>
        <v>17.266027356887442</v>
      </c>
      <c r="Y142" s="642" t="str">
        <f t="shared" si="7"/>
        <v/>
      </c>
      <c r="Z142" s="642" t="str">
        <f t="shared" si="1"/>
        <v/>
      </c>
    </row>
    <row r="143" spans="1:26" s="127" customFormat="1" ht="25">
      <c r="A143" s="636">
        <v>1682</v>
      </c>
      <c r="B143" s="637" t="s">
        <v>33</v>
      </c>
      <c r="C143" s="636" t="s">
        <v>2725</v>
      </c>
      <c r="D143" s="637" t="s">
        <v>2730</v>
      </c>
      <c r="E143" s="637" t="s">
        <v>15</v>
      </c>
      <c r="F143" s="636">
        <v>18488</v>
      </c>
      <c r="G143" s="637" t="s">
        <v>81</v>
      </c>
      <c r="H143" s="637" t="s">
        <v>1163</v>
      </c>
      <c r="I143" s="637" t="s">
        <v>58</v>
      </c>
      <c r="J143" s="636">
        <v>22</v>
      </c>
      <c r="K143" s="636">
        <v>1</v>
      </c>
      <c r="L143" s="637" t="s">
        <v>34</v>
      </c>
      <c r="M143" s="637" t="s">
        <v>41</v>
      </c>
      <c r="N143" s="637" t="s">
        <v>61</v>
      </c>
      <c r="O143" s="637" t="s">
        <v>61</v>
      </c>
      <c r="P143" s="637" t="s">
        <v>47</v>
      </c>
      <c r="Q143" s="638">
        <v>0</v>
      </c>
      <c r="R143" s="638">
        <v>0</v>
      </c>
      <c r="S143" s="638">
        <v>0</v>
      </c>
      <c r="T143" s="638">
        <v>0</v>
      </c>
      <c r="U143" s="638">
        <v>0</v>
      </c>
      <c r="V143" s="636">
        <v>2022</v>
      </c>
      <c r="W143" s="640" t="s">
        <v>3934</v>
      </c>
      <c r="X143" s="641" t="str">
        <f t="shared" si="6"/>
        <v/>
      </c>
      <c r="Y143" s="642" t="str">
        <f t="shared" si="7"/>
        <v/>
      </c>
      <c r="Z143" s="642" t="str">
        <f t="shared" si="1"/>
        <v/>
      </c>
    </row>
    <row r="144" spans="1:26" s="127" customFormat="1" ht="25">
      <c r="A144" s="636">
        <v>2349</v>
      </c>
      <c r="B144" s="637" t="s">
        <v>33</v>
      </c>
      <c r="C144" s="636" t="s">
        <v>2725</v>
      </c>
      <c r="D144" s="637" t="s">
        <v>95</v>
      </c>
      <c r="E144" s="637" t="s">
        <v>2083</v>
      </c>
      <c r="F144" s="636">
        <v>61122</v>
      </c>
      <c r="G144" s="637" t="s">
        <v>96</v>
      </c>
      <c r="H144" s="637" t="s">
        <v>1163</v>
      </c>
      <c r="I144" s="637" t="s">
        <v>58</v>
      </c>
      <c r="J144" s="636">
        <v>22</v>
      </c>
      <c r="K144" s="636">
        <v>2</v>
      </c>
      <c r="L144" s="637" t="s">
        <v>52</v>
      </c>
      <c r="M144" s="637" t="s">
        <v>35</v>
      </c>
      <c r="N144" s="637" t="s">
        <v>36</v>
      </c>
      <c r="O144" s="637" t="s">
        <v>37</v>
      </c>
      <c r="P144" s="637" t="s">
        <v>1156</v>
      </c>
      <c r="Q144" s="638">
        <v>0</v>
      </c>
      <c r="R144" s="638">
        <v>0</v>
      </c>
      <c r="S144" s="638">
        <v>1102318</v>
      </c>
      <c r="T144" s="638">
        <v>1102318</v>
      </c>
      <c r="U144" s="638">
        <v>323071</v>
      </c>
      <c r="V144" s="636">
        <v>2022</v>
      </c>
      <c r="W144" s="640"/>
      <c r="X144" s="641">
        <f t="shared" si="6"/>
        <v>3.4119992199856997</v>
      </c>
      <c r="Y144" s="642" t="str">
        <f t="shared" si="7"/>
        <v/>
      </c>
      <c r="Z144" s="642" t="str">
        <f t="shared" ref="Z144:Z207" si="8">IF(AND($M144=$Y$2,$N144=$Y$4,NOT($Q144=$R144),NOT($U144=0)),IF($K144=5,$S144/($U144+(8/5)*$U144),IF($K144=7,$S144/($U144+(29/25)*$U144),"")),"")</f>
        <v/>
      </c>
    </row>
    <row r="145" spans="1:26" s="127" customFormat="1" ht="25">
      <c r="A145" s="636">
        <v>2351</v>
      </c>
      <c r="B145" s="637" t="s">
        <v>33</v>
      </c>
      <c r="C145" s="636" t="s">
        <v>2725</v>
      </c>
      <c r="D145" s="637" t="s">
        <v>97</v>
      </c>
      <c r="E145" s="637" t="s">
        <v>2083</v>
      </c>
      <c r="F145" s="636">
        <v>61122</v>
      </c>
      <c r="G145" s="637" t="s">
        <v>96</v>
      </c>
      <c r="H145" s="637" t="s">
        <v>1163</v>
      </c>
      <c r="I145" s="637" t="s">
        <v>58</v>
      </c>
      <c r="J145" s="636">
        <v>22</v>
      </c>
      <c r="K145" s="636">
        <v>2</v>
      </c>
      <c r="L145" s="637" t="s">
        <v>52</v>
      </c>
      <c r="M145" s="637" t="s">
        <v>35</v>
      </c>
      <c r="N145" s="637" t="s">
        <v>36</v>
      </c>
      <c r="O145" s="637" t="s">
        <v>37</v>
      </c>
      <c r="P145" s="637" t="s">
        <v>1156</v>
      </c>
      <c r="Q145" s="638">
        <v>0</v>
      </c>
      <c r="R145" s="638">
        <v>0</v>
      </c>
      <c r="S145" s="638">
        <v>848880</v>
      </c>
      <c r="T145" s="638">
        <v>848880</v>
      </c>
      <c r="U145" s="638">
        <v>248793</v>
      </c>
      <c r="V145" s="636">
        <v>2022</v>
      </c>
      <c r="W145" s="640"/>
      <c r="X145" s="641">
        <f t="shared" si="6"/>
        <v>3.4119931026998347</v>
      </c>
      <c r="Y145" s="642" t="str">
        <f t="shared" si="7"/>
        <v/>
      </c>
      <c r="Z145" s="642" t="str">
        <f t="shared" si="8"/>
        <v/>
      </c>
    </row>
    <row r="146" spans="1:26" s="127" customFormat="1" ht="25">
      <c r="A146" s="636">
        <v>2352</v>
      </c>
      <c r="B146" s="637" t="s">
        <v>33</v>
      </c>
      <c r="C146" s="636" t="s">
        <v>2725</v>
      </c>
      <c r="D146" s="637" t="s">
        <v>1548</v>
      </c>
      <c r="E146" s="637" t="s">
        <v>2083</v>
      </c>
      <c r="F146" s="636">
        <v>61122</v>
      </c>
      <c r="G146" s="637" t="s">
        <v>89</v>
      </c>
      <c r="H146" s="637" t="s">
        <v>1163</v>
      </c>
      <c r="I146" s="637" t="s">
        <v>58</v>
      </c>
      <c r="J146" s="636">
        <v>22</v>
      </c>
      <c r="K146" s="636">
        <v>2</v>
      </c>
      <c r="L146" s="637" t="s">
        <v>52</v>
      </c>
      <c r="M146" s="637" t="s">
        <v>35</v>
      </c>
      <c r="N146" s="637" t="s">
        <v>36</v>
      </c>
      <c r="O146" s="637" t="s">
        <v>37</v>
      </c>
      <c r="P146" s="637" t="s">
        <v>1156</v>
      </c>
      <c r="Q146" s="638">
        <v>0</v>
      </c>
      <c r="R146" s="638">
        <v>0</v>
      </c>
      <c r="S146" s="638">
        <v>478177</v>
      </c>
      <c r="T146" s="638">
        <v>478177</v>
      </c>
      <c r="U146" s="638">
        <v>140146</v>
      </c>
      <c r="V146" s="636">
        <v>2022</v>
      </c>
      <c r="W146" s="640"/>
      <c r="X146" s="641">
        <f t="shared" si="6"/>
        <v>3.4119917800008563</v>
      </c>
      <c r="Y146" s="642" t="str">
        <f t="shared" si="7"/>
        <v/>
      </c>
      <c r="Z146" s="642" t="str">
        <f t="shared" si="8"/>
        <v/>
      </c>
    </row>
    <row r="147" spans="1:26" s="127" customFormat="1" ht="25">
      <c r="A147" s="636">
        <v>2353</v>
      </c>
      <c r="B147" s="637" t="s">
        <v>33</v>
      </c>
      <c r="C147" s="636" t="s">
        <v>2725</v>
      </c>
      <c r="D147" s="637" t="s">
        <v>604</v>
      </c>
      <c r="E147" s="637" t="s">
        <v>2083</v>
      </c>
      <c r="F147" s="636">
        <v>61122</v>
      </c>
      <c r="G147" s="637" t="s">
        <v>89</v>
      </c>
      <c r="H147" s="637" t="s">
        <v>1163</v>
      </c>
      <c r="I147" s="637" t="s">
        <v>58</v>
      </c>
      <c r="J147" s="636">
        <v>22</v>
      </c>
      <c r="K147" s="636">
        <v>2</v>
      </c>
      <c r="L147" s="637" t="s">
        <v>52</v>
      </c>
      <c r="M147" s="637" t="s">
        <v>35</v>
      </c>
      <c r="N147" s="637" t="s">
        <v>36</v>
      </c>
      <c r="O147" s="637" t="s">
        <v>37</v>
      </c>
      <c r="P147" s="637" t="s">
        <v>1156</v>
      </c>
      <c r="Q147" s="638">
        <v>0</v>
      </c>
      <c r="R147" s="638">
        <v>0</v>
      </c>
      <c r="S147" s="638">
        <v>494931</v>
      </c>
      <c r="T147" s="638">
        <v>494931</v>
      </c>
      <c r="U147" s="638">
        <v>145056</v>
      </c>
      <c r="V147" s="636">
        <v>2022</v>
      </c>
      <c r="W147" s="640"/>
      <c r="X147" s="641">
        <f t="shared" si="6"/>
        <v>3.4119995036399735</v>
      </c>
      <c r="Y147" s="642" t="str">
        <f t="shared" si="7"/>
        <v/>
      </c>
      <c r="Z147" s="642" t="str">
        <f t="shared" si="8"/>
        <v/>
      </c>
    </row>
    <row r="148" spans="1:26" s="127" customFormat="1" ht="25">
      <c r="A148" s="636">
        <v>2354</v>
      </c>
      <c r="B148" s="637" t="s">
        <v>33</v>
      </c>
      <c r="C148" s="636" t="s">
        <v>2725</v>
      </c>
      <c r="D148" s="637" t="s">
        <v>98</v>
      </c>
      <c r="E148" s="637" t="s">
        <v>2264</v>
      </c>
      <c r="F148" s="636">
        <v>62775</v>
      </c>
      <c r="G148" s="637" t="s">
        <v>96</v>
      </c>
      <c r="H148" s="637" t="s">
        <v>1163</v>
      </c>
      <c r="I148" s="637" t="s">
        <v>58</v>
      </c>
      <c r="J148" s="636">
        <v>22</v>
      </c>
      <c r="K148" s="636">
        <v>2</v>
      </c>
      <c r="L148" s="637" t="s">
        <v>52</v>
      </c>
      <c r="M148" s="637" t="s">
        <v>35</v>
      </c>
      <c r="N148" s="637" t="s">
        <v>36</v>
      </c>
      <c r="O148" s="637" t="s">
        <v>37</v>
      </c>
      <c r="P148" s="637" t="s">
        <v>1156</v>
      </c>
      <c r="Q148" s="638">
        <v>0</v>
      </c>
      <c r="R148" s="638">
        <v>0</v>
      </c>
      <c r="S148" s="638">
        <v>259459</v>
      </c>
      <c r="T148" s="638">
        <v>259459</v>
      </c>
      <c r="U148" s="638">
        <v>76043</v>
      </c>
      <c r="V148" s="636">
        <v>2022</v>
      </c>
      <c r="W148" s="640"/>
      <c r="X148" s="641">
        <f t="shared" si="6"/>
        <v>3.4120037347290348</v>
      </c>
      <c r="Y148" s="642" t="str">
        <f t="shared" si="7"/>
        <v/>
      </c>
      <c r="Z148" s="642" t="str">
        <f t="shared" si="8"/>
        <v/>
      </c>
    </row>
    <row r="149" spans="1:26" s="127" customFormat="1" ht="25">
      <c r="A149" s="636">
        <v>2355</v>
      </c>
      <c r="B149" s="637" t="s">
        <v>33</v>
      </c>
      <c r="C149" s="636" t="s">
        <v>2725</v>
      </c>
      <c r="D149" s="637" t="s">
        <v>99</v>
      </c>
      <c r="E149" s="637" t="s">
        <v>2264</v>
      </c>
      <c r="F149" s="636">
        <v>62775</v>
      </c>
      <c r="G149" s="637" t="s">
        <v>96</v>
      </c>
      <c r="H149" s="637" t="s">
        <v>1163</v>
      </c>
      <c r="I149" s="637" t="s">
        <v>58</v>
      </c>
      <c r="J149" s="636">
        <v>22</v>
      </c>
      <c r="K149" s="636">
        <v>2</v>
      </c>
      <c r="L149" s="637" t="s">
        <v>52</v>
      </c>
      <c r="M149" s="637" t="s">
        <v>35</v>
      </c>
      <c r="N149" s="637" t="s">
        <v>36</v>
      </c>
      <c r="O149" s="637" t="s">
        <v>37</v>
      </c>
      <c r="P149" s="637" t="s">
        <v>1156</v>
      </c>
      <c r="Q149" s="638">
        <v>0</v>
      </c>
      <c r="R149" s="638">
        <v>0</v>
      </c>
      <c r="S149" s="638">
        <v>141090</v>
      </c>
      <c r="T149" s="638">
        <v>141090</v>
      </c>
      <c r="U149" s="638">
        <v>41351</v>
      </c>
      <c r="V149" s="636">
        <v>2022</v>
      </c>
      <c r="W149" s="640"/>
      <c r="X149" s="641">
        <f t="shared" si="6"/>
        <v>3.4120093830862617</v>
      </c>
      <c r="Y149" s="642" t="str">
        <f t="shared" si="7"/>
        <v/>
      </c>
      <c r="Z149" s="642" t="str">
        <f t="shared" si="8"/>
        <v/>
      </c>
    </row>
    <row r="150" spans="1:26" s="127" customFormat="1" ht="25">
      <c r="A150" s="636">
        <v>2356</v>
      </c>
      <c r="B150" s="637" t="s">
        <v>33</v>
      </c>
      <c r="C150" s="636" t="s">
        <v>2725</v>
      </c>
      <c r="D150" s="637" t="s">
        <v>605</v>
      </c>
      <c r="E150" s="637" t="s">
        <v>2264</v>
      </c>
      <c r="F150" s="636">
        <v>62775</v>
      </c>
      <c r="G150" s="637" t="s">
        <v>96</v>
      </c>
      <c r="H150" s="637" t="s">
        <v>1163</v>
      </c>
      <c r="I150" s="637" t="s">
        <v>58</v>
      </c>
      <c r="J150" s="636">
        <v>22</v>
      </c>
      <c r="K150" s="636">
        <v>2</v>
      </c>
      <c r="L150" s="637" t="s">
        <v>52</v>
      </c>
      <c r="M150" s="637" t="s">
        <v>35</v>
      </c>
      <c r="N150" s="637" t="s">
        <v>36</v>
      </c>
      <c r="O150" s="637" t="s">
        <v>37</v>
      </c>
      <c r="P150" s="637" t="s">
        <v>1156</v>
      </c>
      <c r="Q150" s="638">
        <v>0</v>
      </c>
      <c r="R150" s="638">
        <v>0</v>
      </c>
      <c r="S150" s="638">
        <v>83057</v>
      </c>
      <c r="T150" s="638">
        <v>83057</v>
      </c>
      <c r="U150" s="638">
        <v>24343</v>
      </c>
      <c r="V150" s="636">
        <v>2022</v>
      </c>
      <c r="W150" s="640"/>
      <c r="X150" s="641">
        <f t="shared" si="6"/>
        <v>3.411945939284394</v>
      </c>
      <c r="Y150" s="642" t="str">
        <f t="shared" si="7"/>
        <v/>
      </c>
      <c r="Z150" s="642" t="str">
        <f t="shared" si="8"/>
        <v/>
      </c>
    </row>
    <row r="151" spans="1:26" s="127" customFormat="1" ht="25">
      <c r="A151" s="636">
        <v>2357</v>
      </c>
      <c r="B151" s="637" t="s">
        <v>33</v>
      </c>
      <c r="C151" s="636" t="s">
        <v>2725</v>
      </c>
      <c r="D151" s="637" t="s">
        <v>100</v>
      </c>
      <c r="E151" s="637" t="s">
        <v>2264</v>
      </c>
      <c r="F151" s="636">
        <v>62775</v>
      </c>
      <c r="G151" s="637" t="s">
        <v>96</v>
      </c>
      <c r="H151" s="637" t="s">
        <v>1163</v>
      </c>
      <c r="I151" s="637" t="s">
        <v>58</v>
      </c>
      <c r="J151" s="636">
        <v>22</v>
      </c>
      <c r="K151" s="636">
        <v>2</v>
      </c>
      <c r="L151" s="637" t="s">
        <v>52</v>
      </c>
      <c r="M151" s="637" t="s">
        <v>35</v>
      </c>
      <c r="N151" s="637" t="s">
        <v>36</v>
      </c>
      <c r="O151" s="637" t="s">
        <v>37</v>
      </c>
      <c r="P151" s="637" t="s">
        <v>1156</v>
      </c>
      <c r="Q151" s="638">
        <v>0</v>
      </c>
      <c r="R151" s="638">
        <v>0</v>
      </c>
      <c r="S151" s="638">
        <v>117477</v>
      </c>
      <c r="T151" s="638">
        <v>117477</v>
      </c>
      <c r="U151" s="638">
        <v>34430</v>
      </c>
      <c r="V151" s="636">
        <v>2022</v>
      </c>
      <c r="W151" s="640"/>
      <c r="X151" s="641">
        <f t="shared" si="6"/>
        <v>3.4120534417659019</v>
      </c>
      <c r="Y151" s="642" t="str">
        <f t="shared" si="7"/>
        <v/>
      </c>
      <c r="Z151" s="642" t="str">
        <f t="shared" si="8"/>
        <v/>
      </c>
    </row>
    <row r="152" spans="1:26" s="127" customFormat="1" ht="25">
      <c r="A152" s="636">
        <v>2358</v>
      </c>
      <c r="B152" s="637" t="s">
        <v>33</v>
      </c>
      <c r="C152" s="636" t="s">
        <v>2725</v>
      </c>
      <c r="D152" s="637" t="s">
        <v>606</v>
      </c>
      <c r="E152" s="637" t="s">
        <v>2264</v>
      </c>
      <c r="F152" s="636">
        <v>62775</v>
      </c>
      <c r="G152" s="637" t="s">
        <v>96</v>
      </c>
      <c r="H152" s="637" t="s">
        <v>1163</v>
      </c>
      <c r="I152" s="637" t="s">
        <v>58</v>
      </c>
      <c r="J152" s="636">
        <v>22</v>
      </c>
      <c r="K152" s="636">
        <v>2</v>
      </c>
      <c r="L152" s="637" t="s">
        <v>52</v>
      </c>
      <c r="M152" s="637" t="s">
        <v>35</v>
      </c>
      <c r="N152" s="637" t="s">
        <v>36</v>
      </c>
      <c r="O152" s="637" t="s">
        <v>37</v>
      </c>
      <c r="P152" s="637" t="s">
        <v>1156</v>
      </c>
      <c r="Q152" s="638">
        <v>0</v>
      </c>
      <c r="R152" s="638">
        <v>0</v>
      </c>
      <c r="S152" s="638">
        <v>35348</v>
      </c>
      <c r="T152" s="638">
        <v>35348</v>
      </c>
      <c r="U152" s="638">
        <v>10360</v>
      </c>
      <c r="V152" s="636">
        <v>2022</v>
      </c>
      <c r="W152" s="640"/>
      <c r="X152" s="641">
        <f t="shared" si="6"/>
        <v>3.4119691119691118</v>
      </c>
      <c r="Y152" s="642" t="str">
        <f t="shared" si="7"/>
        <v/>
      </c>
      <c r="Z152" s="642" t="str">
        <f t="shared" si="8"/>
        <v/>
      </c>
    </row>
    <row r="153" spans="1:26" s="127" customFormat="1" ht="25">
      <c r="A153" s="636">
        <v>2359</v>
      </c>
      <c r="B153" s="637" t="s">
        <v>33</v>
      </c>
      <c r="C153" s="636" t="s">
        <v>2725</v>
      </c>
      <c r="D153" s="637" t="s">
        <v>607</v>
      </c>
      <c r="E153" s="637" t="s">
        <v>2264</v>
      </c>
      <c r="F153" s="636">
        <v>62775</v>
      </c>
      <c r="G153" s="637" t="s">
        <v>96</v>
      </c>
      <c r="H153" s="637" t="s">
        <v>1163</v>
      </c>
      <c r="I153" s="637" t="s">
        <v>58</v>
      </c>
      <c r="J153" s="636">
        <v>22</v>
      </c>
      <c r="K153" s="636">
        <v>2</v>
      </c>
      <c r="L153" s="637" t="s">
        <v>52</v>
      </c>
      <c r="M153" s="637" t="s">
        <v>35</v>
      </c>
      <c r="N153" s="637" t="s">
        <v>36</v>
      </c>
      <c r="O153" s="637" t="s">
        <v>37</v>
      </c>
      <c r="P153" s="637" t="s">
        <v>1156</v>
      </c>
      <c r="Q153" s="638">
        <v>0</v>
      </c>
      <c r="R153" s="638">
        <v>0</v>
      </c>
      <c r="S153" s="638">
        <v>17554</v>
      </c>
      <c r="T153" s="638">
        <v>17554</v>
      </c>
      <c r="U153" s="638">
        <v>5145</v>
      </c>
      <c r="V153" s="636">
        <v>2022</v>
      </c>
      <c r="W153" s="640"/>
      <c r="X153" s="641">
        <f t="shared" si="6"/>
        <v>3.4118561710398443</v>
      </c>
      <c r="Y153" s="642" t="str">
        <f t="shared" si="7"/>
        <v/>
      </c>
      <c r="Z153" s="642" t="str">
        <f t="shared" si="8"/>
        <v/>
      </c>
    </row>
    <row r="154" spans="1:26" s="127" customFormat="1" ht="25">
      <c r="A154" s="636">
        <v>2360</v>
      </c>
      <c r="B154" s="637" t="s">
        <v>33</v>
      </c>
      <c r="C154" s="636" t="s">
        <v>2725</v>
      </c>
      <c r="D154" s="637" t="s">
        <v>608</v>
      </c>
      <c r="E154" s="637" t="s">
        <v>2264</v>
      </c>
      <c r="F154" s="636">
        <v>62775</v>
      </c>
      <c r="G154" s="637" t="s">
        <v>96</v>
      </c>
      <c r="H154" s="637" t="s">
        <v>1163</v>
      </c>
      <c r="I154" s="637" t="s">
        <v>58</v>
      </c>
      <c r="J154" s="636">
        <v>22</v>
      </c>
      <c r="K154" s="636">
        <v>2</v>
      </c>
      <c r="L154" s="637" t="s">
        <v>52</v>
      </c>
      <c r="M154" s="637" t="s">
        <v>35</v>
      </c>
      <c r="N154" s="637" t="s">
        <v>36</v>
      </c>
      <c r="O154" s="637" t="s">
        <v>37</v>
      </c>
      <c r="P154" s="637" t="s">
        <v>1156</v>
      </c>
      <c r="Q154" s="638">
        <v>0</v>
      </c>
      <c r="R154" s="638">
        <v>0</v>
      </c>
      <c r="S154" s="638">
        <v>30732</v>
      </c>
      <c r="T154" s="638">
        <v>30732</v>
      </c>
      <c r="U154" s="638">
        <v>9007</v>
      </c>
      <c r="V154" s="636">
        <v>2022</v>
      </c>
      <c r="W154" s="640"/>
      <c r="X154" s="641">
        <f t="shared" si="6"/>
        <v>3.4120128788719883</v>
      </c>
      <c r="Y154" s="642" t="str">
        <f t="shared" si="7"/>
        <v/>
      </c>
      <c r="Z154" s="642" t="str">
        <f t="shared" si="8"/>
        <v/>
      </c>
    </row>
    <row r="155" spans="1:26" s="127" customFormat="1" ht="25">
      <c r="A155" s="636">
        <v>2362</v>
      </c>
      <c r="B155" s="637" t="s">
        <v>33</v>
      </c>
      <c r="C155" s="636" t="s">
        <v>2725</v>
      </c>
      <c r="D155" s="637" t="s">
        <v>609</v>
      </c>
      <c r="E155" s="637" t="s">
        <v>2265</v>
      </c>
      <c r="F155" s="636">
        <v>62032</v>
      </c>
      <c r="G155" s="637" t="s">
        <v>96</v>
      </c>
      <c r="H155" s="637" t="s">
        <v>1163</v>
      </c>
      <c r="I155" s="637" t="s">
        <v>58</v>
      </c>
      <c r="J155" s="636">
        <v>22</v>
      </c>
      <c r="K155" s="636">
        <v>2</v>
      </c>
      <c r="L155" s="637" t="s">
        <v>52</v>
      </c>
      <c r="M155" s="637" t="s">
        <v>50</v>
      </c>
      <c r="N155" s="637" t="s">
        <v>46</v>
      </c>
      <c r="O155" s="637" t="s">
        <v>46</v>
      </c>
      <c r="P155" s="637" t="s">
        <v>47</v>
      </c>
      <c r="Q155" s="638">
        <v>944</v>
      </c>
      <c r="R155" s="638">
        <v>944</v>
      </c>
      <c r="S155" s="638">
        <v>5475</v>
      </c>
      <c r="T155" s="638">
        <v>5475</v>
      </c>
      <c r="U155" s="638">
        <v>343</v>
      </c>
      <c r="V155" s="636">
        <v>2022</v>
      </c>
      <c r="W155" s="640"/>
      <c r="X155" s="641">
        <f t="shared" si="6"/>
        <v>15.962099125364432</v>
      </c>
      <c r="Y155" s="642" t="str">
        <f t="shared" si="7"/>
        <v/>
      </c>
      <c r="Z155" s="642" t="str">
        <f t="shared" si="8"/>
        <v/>
      </c>
    </row>
    <row r="156" spans="1:26" s="127" customFormat="1" ht="25">
      <c r="A156" s="636">
        <v>2364</v>
      </c>
      <c r="B156" s="637" t="s">
        <v>33</v>
      </c>
      <c r="C156" s="636" t="s">
        <v>2725</v>
      </c>
      <c r="D156" s="637" t="s">
        <v>101</v>
      </c>
      <c r="E156" s="637" t="s">
        <v>2265</v>
      </c>
      <c r="F156" s="636">
        <v>62032</v>
      </c>
      <c r="G156" s="637" t="s">
        <v>96</v>
      </c>
      <c r="H156" s="637" t="s">
        <v>1163</v>
      </c>
      <c r="I156" s="637" t="s">
        <v>58</v>
      </c>
      <c r="J156" s="636">
        <v>22</v>
      </c>
      <c r="K156" s="636">
        <v>2</v>
      </c>
      <c r="L156" s="637" t="s">
        <v>52</v>
      </c>
      <c r="M156" s="637" t="s">
        <v>50</v>
      </c>
      <c r="N156" s="637" t="s">
        <v>66</v>
      </c>
      <c r="O156" s="637" t="s">
        <v>67</v>
      </c>
      <c r="P156" s="637" t="s">
        <v>47</v>
      </c>
      <c r="Q156" s="638">
        <v>7214</v>
      </c>
      <c r="R156" s="638">
        <v>7214</v>
      </c>
      <c r="S156" s="638">
        <v>41165</v>
      </c>
      <c r="T156" s="638">
        <v>41165</v>
      </c>
      <c r="U156" s="638">
        <v>2821</v>
      </c>
      <c r="V156" s="636">
        <v>2022</v>
      </c>
      <c r="W156" s="640"/>
      <c r="X156" s="641">
        <f t="shared" si="6"/>
        <v>14.592343140730238</v>
      </c>
      <c r="Y156" s="642" t="str">
        <f t="shared" si="7"/>
        <v/>
      </c>
      <c r="Z156" s="642" t="str">
        <f t="shared" si="8"/>
        <v/>
      </c>
    </row>
    <row r="157" spans="1:26" s="127" customFormat="1" ht="25">
      <c r="A157" s="636">
        <v>2364</v>
      </c>
      <c r="B157" s="637" t="s">
        <v>33</v>
      </c>
      <c r="C157" s="636" t="s">
        <v>2725</v>
      </c>
      <c r="D157" s="637" t="s">
        <v>101</v>
      </c>
      <c r="E157" s="637" t="s">
        <v>2265</v>
      </c>
      <c r="F157" s="636">
        <v>62032</v>
      </c>
      <c r="G157" s="637" t="s">
        <v>96</v>
      </c>
      <c r="H157" s="637" t="s">
        <v>1163</v>
      </c>
      <c r="I157" s="637" t="s">
        <v>58</v>
      </c>
      <c r="J157" s="636">
        <v>22</v>
      </c>
      <c r="K157" s="636">
        <v>2</v>
      </c>
      <c r="L157" s="637" t="s">
        <v>52</v>
      </c>
      <c r="M157" s="637" t="s">
        <v>42</v>
      </c>
      <c r="N157" s="637" t="s">
        <v>43</v>
      </c>
      <c r="O157" s="637" t="s">
        <v>44</v>
      </c>
      <c r="P157" s="637" t="s">
        <v>45</v>
      </c>
      <c r="Q157" s="638">
        <v>146526</v>
      </c>
      <c r="R157" s="638">
        <v>146526</v>
      </c>
      <c r="S157" s="638">
        <v>3863637</v>
      </c>
      <c r="T157" s="638">
        <v>3863637</v>
      </c>
      <c r="U157" s="638">
        <v>305455.56</v>
      </c>
      <c r="V157" s="636">
        <v>2022</v>
      </c>
      <c r="W157" s="640" t="s">
        <v>3934</v>
      </c>
      <c r="X157" s="641">
        <f t="shared" si="6"/>
        <v>12.64876959515813</v>
      </c>
      <c r="Y157" s="642" t="str">
        <f t="shared" si="7"/>
        <v/>
      </c>
      <c r="Z157" s="642" t="str">
        <f t="shared" si="8"/>
        <v/>
      </c>
    </row>
    <row r="158" spans="1:26" s="127" customFormat="1" ht="25">
      <c r="A158" s="636">
        <v>2364</v>
      </c>
      <c r="B158" s="637" t="s">
        <v>33</v>
      </c>
      <c r="C158" s="636" t="s">
        <v>2725</v>
      </c>
      <c r="D158" s="637" t="s">
        <v>101</v>
      </c>
      <c r="E158" s="637" t="s">
        <v>2265</v>
      </c>
      <c r="F158" s="636">
        <v>62032</v>
      </c>
      <c r="G158" s="637" t="s">
        <v>96</v>
      </c>
      <c r="H158" s="637" t="s">
        <v>1163</v>
      </c>
      <c r="I158" s="637" t="s">
        <v>58</v>
      </c>
      <c r="J158" s="636">
        <v>22</v>
      </c>
      <c r="K158" s="636">
        <v>2</v>
      </c>
      <c r="L158" s="637" t="s">
        <v>52</v>
      </c>
      <c r="M158" s="637" t="s">
        <v>42</v>
      </c>
      <c r="N158" s="637" t="s">
        <v>46</v>
      </c>
      <c r="O158" s="637" t="s">
        <v>46</v>
      </c>
      <c r="P158" s="637" t="s">
        <v>47</v>
      </c>
      <c r="Q158" s="638">
        <v>1292</v>
      </c>
      <c r="R158" s="638">
        <v>1292</v>
      </c>
      <c r="S158" s="638">
        <v>7493</v>
      </c>
      <c r="T158" s="638">
        <v>7493</v>
      </c>
      <c r="U158" s="638">
        <v>563.44299999999998</v>
      </c>
      <c r="V158" s="636">
        <v>2022</v>
      </c>
      <c r="W158" s="640" t="s">
        <v>3934</v>
      </c>
      <c r="X158" s="641">
        <f t="shared" si="6"/>
        <v>13.298594533963508</v>
      </c>
      <c r="Y158" s="642" t="str">
        <f t="shared" si="7"/>
        <v/>
      </c>
      <c r="Z158" s="642" t="str">
        <f t="shared" si="8"/>
        <v/>
      </c>
    </row>
    <row r="159" spans="1:26" s="127" customFormat="1" ht="25">
      <c r="A159" s="636">
        <v>2364</v>
      </c>
      <c r="B159" s="637" t="s">
        <v>33</v>
      </c>
      <c r="C159" s="636" t="s">
        <v>2725</v>
      </c>
      <c r="D159" s="637" t="s">
        <v>101</v>
      </c>
      <c r="E159" s="637" t="s">
        <v>2265</v>
      </c>
      <c r="F159" s="636">
        <v>62032</v>
      </c>
      <c r="G159" s="637" t="s">
        <v>96</v>
      </c>
      <c r="H159" s="637" t="s">
        <v>1163</v>
      </c>
      <c r="I159" s="637" t="s">
        <v>58</v>
      </c>
      <c r="J159" s="636">
        <v>22</v>
      </c>
      <c r="K159" s="636">
        <v>2</v>
      </c>
      <c r="L159" s="637" t="s">
        <v>52</v>
      </c>
      <c r="M159" s="637" t="s">
        <v>42</v>
      </c>
      <c r="N159" s="637" t="s">
        <v>61</v>
      </c>
      <c r="O159" s="637" t="s">
        <v>61</v>
      </c>
      <c r="P159" s="637" t="s">
        <v>47</v>
      </c>
      <c r="Q159" s="638">
        <v>0</v>
      </c>
      <c r="R159" s="638">
        <v>0</v>
      </c>
      <c r="S159" s="638">
        <v>0</v>
      </c>
      <c r="T159" s="638">
        <v>0</v>
      </c>
      <c r="U159" s="638">
        <v>0</v>
      </c>
      <c r="V159" s="636">
        <v>2022</v>
      </c>
      <c r="W159" s="640" t="s">
        <v>3934</v>
      </c>
      <c r="X159" s="641" t="str">
        <f t="shared" si="6"/>
        <v/>
      </c>
      <c r="Y159" s="642" t="str">
        <f t="shared" si="7"/>
        <v/>
      </c>
      <c r="Z159" s="642" t="str">
        <f t="shared" si="8"/>
        <v/>
      </c>
    </row>
    <row r="160" spans="1:26" s="127" customFormat="1" ht="25">
      <c r="A160" s="636">
        <v>2367</v>
      </c>
      <c r="B160" s="637" t="s">
        <v>33</v>
      </c>
      <c r="C160" s="636" t="s">
        <v>2725</v>
      </c>
      <c r="D160" s="637" t="s">
        <v>102</v>
      </c>
      <c r="E160" s="637" t="s">
        <v>2265</v>
      </c>
      <c r="F160" s="636">
        <v>62032</v>
      </c>
      <c r="G160" s="637" t="s">
        <v>96</v>
      </c>
      <c r="H160" s="637" t="s">
        <v>1163</v>
      </c>
      <c r="I160" s="637" t="s">
        <v>58</v>
      </c>
      <c r="J160" s="636">
        <v>22</v>
      </c>
      <c r="K160" s="636">
        <v>2</v>
      </c>
      <c r="L160" s="637" t="s">
        <v>52</v>
      </c>
      <c r="M160" s="637" t="s">
        <v>50</v>
      </c>
      <c r="N160" s="637" t="s">
        <v>66</v>
      </c>
      <c r="O160" s="637" t="s">
        <v>67</v>
      </c>
      <c r="P160" s="637" t="s">
        <v>47</v>
      </c>
      <c r="Q160" s="638">
        <v>2542</v>
      </c>
      <c r="R160" s="638">
        <v>2542</v>
      </c>
      <c r="S160" s="638">
        <v>14490</v>
      </c>
      <c r="T160" s="638">
        <v>14490</v>
      </c>
      <c r="U160" s="638">
        <v>994</v>
      </c>
      <c r="V160" s="636">
        <v>2022</v>
      </c>
      <c r="W160" s="640"/>
      <c r="X160" s="641">
        <f t="shared" si="6"/>
        <v>14.577464788732394</v>
      </c>
      <c r="Y160" s="642" t="str">
        <f t="shared" si="7"/>
        <v/>
      </c>
      <c r="Z160" s="642" t="str">
        <f t="shared" si="8"/>
        <v/>
      </c>
    </row>
    <row r="161" spans="1:26" s="127" customFormat="1" ht="25">
      <c r="A161" s="636">
        <v>2367</v>
      </c>
      <c r="B161" s="637" t="s">
        <v>33</v>
      </c>
      <c r="C161" s="636" t="s">
        <v>2725</v>
      </c>
      <c r="D161" s="637" t="s">
        <v>102</v>
      </c>
      <c r="E161" s="637" t="s">
        <v>2265</v>
      </c>
      <c r="F161" s="636">
        <v>62032</v>
      </c>
      <c r="G161" s="637" t="s">
        <v>96</v>
      </c>
      <c r="H161" s="637" t="s">
        <v>1163</v>
      </c>
      <c r="I161" s="637" t="s">
        <v>58</v>
      </c>
      <c r="J161" s="636">
        <v>22</v>
      </c>
      <c r="K161" s="636">
        <v>2</v>
      </c>
      <c r="L161" s="637" t="s">
        <v>52</v>
      </c>
      <c r="M161" s="637" t="s">
        <v>50</v>
      </c>
      <c r="N161" s="637" t="s">
        <v>39</v>
      </c>
      <c r="O161" s="637" t="s">
        <v>39</v>
      </c>
      <c r="P161" s="637" t="s">
        <v>1020</v>
      </c>
      <c r="Q161" s="638">
        <v>0</v>
      </c>
      <c r="R161" s="638">
        <v>0</v>
      </c>
      <c r="S161" s="638">
        <v>0</v>
      </c>
      <c r="T161" s="638">
        <v>0</v>
      </c>
      <c r="U161" s="638">
        <v>0</v>
      </c>
      <c r="V161" s="636">
        <v>2022</v>
      </c>
      <c r="W161" s="640"/>
      <c r="X161" s="641" t="str">
        <f t="shared" si="6"/>
        <v/>
      </c>
      <c r="Y161" s="642" t="str">
        <f t="shared" si="7"/>
        <v/>
      </c>
      <c r="Z161" s="642" t="str">
        <f t="shared" si="8"/>
        <v/>
      </c>
    </row>
    <row r="162" spans="1:26" s="127" customFormat="1" ht="25">
      <c r="A162" s="636">
        <v>2367</v>
      </c>
      <c r="B162" s="637" t="s">
        <v>33</v>
      </c>
      <c r="C162" s="636" t="s">
        <v>2725</v>
      </c>
      <c r="D162" s="637" t="s">
        <v>102</v>
      </c>
      <c r="E162" s="637" t="s">
        <v>2265</v>
      </c>
      <c r="F162" s="636">
        <v>62032</v>
      </c>
      <c r="G162" s="637" t="s">
        <v>96</v>
      </c>
      <c r="H162" s="637" t="s">
        <v>1163</v>
      </c>
      <c r="I162" s="637" t="s">
        <v>58</v>
      </c>
      <c r="J162" s="636">
        <v>22</v>
      </c>
      <c r="K162" s="636">
        <v>2</v>
      </c>
      <c r="L162" s="637" t="s">
        <v>52</v>
      </c>
      <c r="M162" s="637" t="s">
        <v>42</v>
      </c>
      <c r="N162" s="637" t="s">
        <v>43</v>
      </c>
      <c r="O162" s="637" t="s">
        <v>44</v>
      </c>
      <c r="P162" s="637" t="s">
        <v>45</v>
      </c>
      <c r="Q162" s="638">
        <v>0</v>
      </c>
      <c r="R162" s="638">
        <v>0</v>
      </c>
      <c r="S162" s="638">
        <v>0</v>
      </c>
      <c r="T162" s="638">
        <v>0</v>
      </c>
      <c r="U162" s="638">
        <v>0</v>
      </c>
      <c r="V162" s="636">
        <v>2022</v>
      </c>
      <c r="W162" s="640"/>
      <c r="X162" s="641" t="str">
        <f t="shared" si="6"/>
        <v/>
      </c>
      <c r="Y162" s="642" t="str">
        <f t="shared" si="7"/>
        <v/>
      </c>
      <c r="Z162" s="642" t="str">
        <f t="shared" si="8"/>
        <v/>
      </c>
    </row>
    <row r="163" spans="1:26" s="127" customFormat="1" ht="25">
      <c r="A163" s="636">
        <v>2367</v>
      </c>
      <c r="B163" s="637" t="s">
        <v>33</v>
      </c>
      <c r="C163" s="636" t="s">
        <v>2725</v>
      </c>
      <c r="D163" s="637" t="s">
        <v>102</v>
      </c>
      <c r="E163" s="637" t="s">
        <v>2265</v>
      </c>
      <c r="F163" s="636">
        <v>62032</v>
      </c>
      <c r="G163" s="637" t="s">
        <v>96</v>
      </c>
      <c r="H163" s="637" t="s">
        <v>1163</v>
      </c>
      <c r="I163" s="637" t="s">
        <v>58</v>
      </c>
      <c r="J163" s="636">
        <v>22</v>
      </c>
      <c r="K163" s="636">
        <v>2</v>
      </c>
      <c r="L163" s="637" t="s">
        <v>52</v>
      </c>
      <c r="M163" s="637" t="s">
        <v>42</v>
      </c>
      <c r="N163" s="637" t="s">
        <v>46</v>
      </c>
      <c r="O163" s="637" t="s">
        <v>46</v>
      </c>
      <c r="P163" s="637" t="s">
        <v>47</v>
      </c>
      <c r="Q163" s="638">
        <v>0</v>
      </c>
      <c r="R163" s="638">
        <v>0</v>
      </c>
      <c r="S163" s="638">
        <v>0</v>
      </c>
      <c r="T163" s="638">
        <v>0</v>
      </c>
      <c r="U163" s="638">
        <v>0</v>
      </c>
      <c r="V163" s="636">
        <v>2022</v>
      </c>
      <c r="W163" s="640"/>
      <c r="X163" s="641" t="str">
        <f t="shared" si="6"/>
        <v/>
      </c>
      <c r="Y163" s="642" t="str">
        <f t="shared" si="7"/>
        <v/>
      </c>
      <c r="Z163" s="642" t="str">
        <f t="shared" si="8"/>
        <v/>
      </c>
    </row>
    <row r="164" spans="1:26" s="127" customFormat="1" ht="25">
      <c r="A164" s="636">
        <v>2367</v>
      </c>
      <c r="B164" s="637" t="s">
        <v>33</v>
      </c>
      <c r="C164" s="636" t="s">
        <v>2725</v>
      </c>
      <c r="D164" s="637" t="s">
        <v>102</v>
      </c>
      <c r="E164" s="637" t="s">
        <v>2265</v>
      </c>
      <c r="F164" s="636">
        <v>62032</v>
      </c>
      <c r="G164" s="637" t="s">
        <v>96</v>
      </c>
      <c r="H164" s="637" t="s">
        <v>1163</v>
      </c>
      <c r="I164" s="637" t="s">
        <v>58</v>
      </c>
      <c r="J164" s="636">
        <v>22</v>
      </c>
      <c r="K164" s="636">
        <v>2</v>
      </c>
      <c r="L164" s="637" t="s">
        <v>52</v>
      </c>
      <c r="M164" s="637" t="s">
        <v>42</v>
      </c>
      <c r="N164" s="637" t="s">
        <v>39</v>
      </c>
      <c r="O164" s="637" t="s">
        <v>39</v>
      </c>
      <c r="P164" s="637" t="s">
        <v>1020</v>
      </c>
      <c r="Q164" s="638">
        <v>0</v>
      </c>
      <c r="R164" s="638">
        <v>0</v>
      </c>
      <c r="S164" s="638">
        <v>0</v>
      </c>
      <c r="T164" s="638">
        <v>0</v>
      </c>
      <c r="U164" s="638">
        <v>0</v>
      </c>
      <c r="V164" s="636">
        <v>2022</v>
      </c>
      <c r="W164" s="640"/>
      <c r="X164" s="641" t="str">
        <f t="shared" si="6"/>
        <v/>
      </c>
      <c r="Y164" s="642" t="str">
        <f t="shared" si="7"/>
        <v/>
      </c>
      <c r="Z164" s="642" t="str">
        <f t="shared" si="8"/>
        <v/>
      </c>
    </row>
    <row r="165" spans="1:26" s="127" customFormat="1" ht="25">
      <c r="A165" s="636">
        <v>2367</v>
      </c>
      <c r="B165" s="637" t="s">
        <v>33</v>
      </c>
      <c r="C165" s="636" t="s">
        <v>2725</v>
      </c>
      <c r="D165" s="637" t="s">
        <v>102</v>
      </c>
      <c r="E165" s="637" t="s">
        <v>2265</v>
      </c>
      <c r="F165" s="636">
        <v>62032</v>
      </c>
      <c r="G165" s="637" t="s">
        <v>96</v>
      </c>
      <c r="H165" s="637" t="s">
        <v>1163</v>
      </c>
      <c r="I165" s="637" t="s">
        <v>58</v>
      </c>
      <c r="J165" s="636">
        <v>22</v>
      </c>
      <c r="K165" s="636">
        <v>2</v>
      </c>
      <c r="L165" s="637" t="s">
        <v>52</v>
      </c>
      <c r="M165" s="637" t="s">
        <v>42</v>
      </c>
      <c r="N165" s="637" t="s">
        <v>413</v>
      </c>
      <c r="O165" s="637" t="s">
        <v>49</v>
      </c>
      <c r="P165" s="637" t="s">
        <v>45</v>
      </c>
      <c r="Q165" s="638">
        <v>0</v>
      </c>
      <c r="R165" s="638">
        <v>0</v>
      </c>
      <c r="S165" s="638">
        <v>0</v>
      </c>
      <c r="T165" s="638">
        <v>0</v>
      </c>
      <c r="U165" s="638">
        <v>0</v>
      </c>
      <c r="V165" s="636">
        <v>2022</v>
      </c>
      <c r="W165" s="640"/>
      <c r="X165" s="641" t="str">
        <f t="shared" si="6"/>
        <v/>
      </c>
      <c r="Y165" s="642" t="str">
        <f t="shared" si="7"/>
        <v/>
      </c>
      <c r="Z165" s="642" t="str">
        <f t="shared" si="8"/>
        <v/>
      </c>
    </row>
    <row r="166" spans="1:26" s="127" customFormat="1" ht="25">
      <c r="A166" s="636">
        <v>2367</v>
      </c>
      <c r="B166" s="637" t="s">
        <v>33</v>
      </c>
      <c r="C166" s="636" t="s">
        <v>2725</v>
      </c>
      <c r="D166" s="637" t="s">
        <v>102</v>
      </c>
      <c r="E166" s="637" t="s">
        <v>2265</v>
      </c>
      <c r="F166" s="636">
        <v>62032</v>
      </c>
      <c r="G166" s="637" t="s">
        <v>96</v>
      </c>
      <c r="H166" s="637" t="s">
        <v>1163</v>
      </c>
      <c r="I166" s="637" t="s">
        <v>58</v>
      </c>
      <c r="J166" s="636">
        <v>22</v>
      </c>
      <c r="K166" s="636">
        <v>2</v>
      </c>
      <c r="L166" s="637" t="s">
        <v>52</v>
      </c>
      <c r="M166" s="637" t="s">
        <v>42</v>
      </c>
      <c r="N166" s="637" t="s">
        <v>61</v>
      </c>
      <c r="O166" s="637" t="s">
        <v>61</v>
      </c>
      <c r="P166" s="637" t="s">
        <v>47</v>
      </c>
      <c r="Q166" s="638">
        <v>0</v>
      </c>
      <c r="R166" s="638">
        <v>0</v>
      </c>
      <c r="S166" s="638">
        <v>0</v>
      </c>
      <c r="T166" s="638">
        <v>0</v>
      </c>
      <c r="U166" s="638">
        <v>0</v>
      </c>
      <c r="V166" s="636">
        <v>2022</v>
      </c>
      <c r="W166" s="640"/>
      <c r="X166" s="641" t="str">
        <f t="shared" si="6"/>
        <v/>
      </c>
      <c r="Y166" s="642" t="str">
        <f t="shared" si="7"/>
        <v/>
      </c>
      <c r="Z166" s="642" t="str">
        <f t="shared" si="8"/>
        <v/>
      </c>
    </row>
    <row r="167" spans="1:26" s="127" customFormat="1" ht="25">
      <c r="A167" s="636">
        <v>2367</v>
      </c>
      <c r="B167" s="637" t="s">
        <v>33</v>
      </c>
      <c r="C167" s="636" t="s">
        <v>2725</v>
      </c>
      <c r="D167" s="637" t="s">
        <v>102</v>
      </c>
      <c r="E167" s="637" t="s">
        <v>2265</v>
      </c>
      <c r="F167" s="636">
        <v>62032</v>
      </c>
      <c r="G167" s="637" t="s">
        <v>96</v>
      </c>
      <c r="H167" s="637" t="s">
        <v>1163</v>
      </c>
      <c r="I167" s="637" t="s">
        <v>58</v>
      </c>
      <c r="J167" s="636">
        <v>22</v>
      </c>
      <c r="K167" s="636">
        <v>2</v>
      </c>
      <c r="L167" s="637" t="s">
        <v>52</v>
      </c>
      <c r="M167" s="637" t="s">
        <v>42</v>
      </c>
      <c r="N167" s="637" t="s">
        <v>69</v>
      </c>
      <c r="O167" s="637" t="s">
        <v>70</v>
      </c>
      <c r="P167" s="637" t="s">
        <v>45</v>
      </c>
      <c r="Q167" s="638">
        <v>0</v>
      </c>
      <c r="R167" s="638">
        <v>0</v>
      </c>
      <c r="S167" s="638">
        <v>0</v>
      </c>
      <c r="T167" s="638">
        <v>0</v>
      </c>
      <c r="U167" s="638">
        <v>0</v>
      </c>
      <c r="V167" s="636">
        <v>2022</v>
      </c>
      <c r="W167" s="640"/>
      <c r="X167" s="641" t="str">
        <f t="shared" si="6"/>
        <v/>
      </c>
      <c r="Y167" s="642" t="str">
        <f t="shared" si="7"/>
        <v/>
      </c>
      <c r="Z167" s="642" t="str">
        <f t="shared" si="8"/>
        <v/>
      </c>
    </row>
    <row r="168" spans="1:26" s="127" customFormat="1" ht="25">
      <c r="A168" s="636">
        <v>2368</v>
      </c>
      <c r="B168" s="637" t="s">
        <v>33</v>
      </c>
      <c r="C168" s="636" t="s">
        <v>2725</v>
      </c>
      <c r="D168" s="637" t="s">
        <v>1549</v>
      </c>
      <c r="E168" s="637" t="s">
        <v>2264</v>
      </c>
      <c r="F168" s="636">
        <v>62775</v>
      </c>
      <c r="G168" s="637" t="s">
        <v>96</v>
      </c>
      <c r="H168" s="637" t="s">
        <v>1163</v>
      </c>
      <c r="I168" s="637" t="s">
        <v>58</v>
      </c>
      <c r="J168" s="636">
        <v>22</v>
      </c>
      <c r="K168" s="636">
        <v>2</v>
      </c>
      <c r="L168" s="637" t="s">
        <v>52</v>
      </c>
      <c r="M168" s="637" t="s">
        <v>35</v>
      </c>
      <c r="N168" s="637" t="s">
        <v>36</v>
      </c>
      <c r="O168" s="637" t="s">
        <v>37</v>
      </c>
      <c r="P168" s="637" t="s">
        <v>1156</v>
      </c>
      <c r="Q168" s="638">
        <v>0</v>
      </c>
      <c r="R168" s="638">
        <v>0</v>
      </c>
      <c r="S168" s="638">
        <v>329128</v>
      </c>
      <c r="T168" s="638">
        <v>329128</v>
      </c>
      <c r="U168" s="638">
        <v>96462</v>
      </c>
      <c r="V168" s="636">
        <v>2022</v>
      </c>
      <c r="W168" s="640"/>
      <c r="X168" s="641">
        <f t="shared" si="6"/>
        <v>3.4119964338288651</v>
      </c>
      <c r="Y168" s="642" t="str">
        <f t="shared" si="7"/>
        <v/>
      </c>
      <c r="Z168" s="642" t="str">
        <f t="shared" si="8"/>
        <v/>
      </c>
    </row>
    <row r="169" spans="1:26" s="127" customFormat="1" ht="25">
      <c r="A169" s="636">
        <v>2369</v>
      </c>
      <c r="B169" s="637" t="s">
        <v>33</v>
      </c>
      <c r="C169" s="636" t="s">
        <v>2725</v>
      </c>
      <c r="D169" s="637" t="s">
        <v>610</v>
      </c>
      <c r="E169" s="637" t="s">
        <v>2265</v>
      </c>
      <c r="F169" s="636">
        <v>62032</v>
      </c>
      <c r="G169" s="637" t="s">
        <v>96</v>
      </c>
      <c r="H169" s="637" t="s">
        <v>1163</v>
      </c>
      <c r="I169" s="637" t="s">
        <v>58</v>
      </c>
      <c r="J169" s="636">
        <v>22</v>
      </c>
      <c r="K169" s="636">
        <v>2</v>
      </c>
      <c r="L169" s="637" t="s">
        <v>52</v>
      </c>
      <c r="M169" s="637" t="s">
        <v>50</v>
      </c>
      <c r="N169" s="637" t="s">
        <v>46</v>
      </c>
      <c r="O169" s="637" t="s">
        <v>46</v>
      </c>
      <c r="P169" s="637" t="s">
        <v>47</v>
      </c>
      <c r="Q169" s="638">
        <v>0</v>
      </c>
      <c r="R169" s="638">
        <v>0</v>
      </c>
      <c r="S169" s="638">
        <v>0</v>
      </c>
      <c r="T169" s="638">
        <v>0</v>
      </c>
      <c r="U169" s="638">
        <v>0</v>
      </c>
      <c r="V169" s="636">
        <v>2022</v>
      </c>
      <c r="W169" s="640"/>
      <c r="X169" s="641" t="str">
        <f t="shared" si="6"/>
        <v/>
      </c>
      <c r="Y169" s="642" t="str">
        <f t="shared" si="7"/>
        <v/>
      </c>
      <c r="Z169" s="642" t="str">
        <f t="shared" si="8"/>
        <v/>
      </c>
    </row>
    <row r="170" spans="1:26" s="127" customFormat="1" ht="25">
      <c r="A170" s="636">
        <v>2369</v>
      </c>
      <c r="B170" s="637" t="s">
        <v>33</v>
      </c>
      <c r="C170" s="636" t="s">
        <v>2725</v>
      </c>
      <c r="D170" s="637" t="s">
        <v>610</v>
      </c>
      <c r="E170" s="637" t="s">
        <v>2265</v>
      </c>
      <c r="F170" s="636">
        <v>62032</v>
      </c>
      <c r="G170" s="637" t="s">
        <v>96</v>
      </c>
      <c r="H170" s="637" t="s">
        <v>1163</v>
      </c>
      <c r="I170" s="637" t="s">
        <v>58</v>
      </c>
      <c r="J170" s="636">
        <v>22</v>
      </c>
      <c r="K170" s="636">
        <v>2</v>
      </c>
      <c r="L170" s="637" t="s">
        <v>52</v>
      </c>
      <c r="M170" s="637" t="s">
        <v>50</v>
      </c>
      <c r="N170" s="637" t="s">
        <v>66</v>
      </c>
      <c r="O170" s="637" t="s">
        <v>67</v>
      </c>
      <c r="P170" s="637" t="s">
        <v>47</v>
      </c>
      <c r="Q170" s="638">
        <v>4442</v>
      </c>
      <c r="R170" s="638">
        <v>4442</v>
      </c>
      <c r="S170" s="638">
        <v>25543</v>
      </c>
      <c r="T170" s="638">
        <v>25543</v>
      </c>
      <c r="U170" s="638">
        <v>1721</v>
      </c>
      <c r="V170" s="636">
        <v>2022</v>
      </c>
      <c r="W170" s="640"/>
      <c r="X170" s="641">
        <f t="shared" si="6"/>
        <v>14.841952353282975</v>
      </c>
      <c r="Y170" s="642" t="str">
        <f t="shared" si="7"/>
        <v/>
      </c>
      <c r="Z170" s="642" t="str">
        <f t="shared" si="8"/>
        <v/>
      </c>
    </row>
    <row r="171" spans="1:26" s="127" customFormat="1" ht="25">
      <c r="A171" s="636">
        <v>2480</v>
      </c>
      <c r="B171" s="637" t="s">
        <v>33</v>
      </c>
      <c r="C171" s="636" t="s">
        <v>2725</v>
      </c>
      <c r="D171" s="637" t="s">
        <v>103</v>
      </c>
      <c r="E171" s="637" t="s">
        <v>1550</v>
      </c>
      <c r="F171" s="636">
        <v>58971</v>
      </c>
      <c r="G171" s="637" t="s">
        <v>57</v>
      </c>
      <c r="H171" s="637" t="s">
        <v>1162</v>
      </c>
      <c r="I171" s="637" t="s">
        <v>58</v>
      </c>
      <c r="J171" s="636">
        <v>22</v>
      </c>
      <c r="K171" s="636">
        <v>2</v>
      </c>
      <c r="L171" s="637" t="s">
        <v>52</v>
      </c>
      <c r="M171" s="637" t="s">
        <v>51</v>
      </c>
      <c r="N171" s="637" t="s">
        <v>46</v>
      </c>
      <c r="O171" s="637" t="s">
        <v>46</v>
      </c>
      <c r="P171" s="637" t="s">
        <v>47</v>
      </c>
      <c r="Q171" s="638">
        <v>136</v>
      </c>
      <c r="R171" s="638">
        <v>136</v>
      </c>
      <c r="S171" s="638">
        <v>790</v>
      </c>
      <c r="T171" s="638">
        <v>790</v>
      </c>
      <c r="U171" s="638">
        <v>73</v>
      </c>
      <c r="V171" s="636">
        <v>2022</v>
      </c>
      <c r="W171" s="640"/>
      <c r="X171" s="641">
        <f t="shared" si="6"/>
        <v>10.821917808219178</v>
      </c>
      <c r="Y171" s="642" t="str">
        <f t="shared" si="7"/>
        <v/>
      </c>
      <c r="Z171" s="642" t="str">
        <f t="shared" si="8"/>
        <v/>
      </c>
    </row>
    <row r="172" spans="1:26" s="127" customFormat="1" ht="25">
      <c r="A172" s="636">
        <v>2480</v>
      </c>
      <c r="B172" s="637" t="s">
        <v>33</v>
      </c>
      <c r="C172" s="636" t="s">
        <v>2725</v>
      </c>
      <c r="D172" s="637" t="s">
        <v>103</v>
      </c>
      <c r="E172" s="637" t="s">
        <v>1550</v>
      </c>
      <c r="F172" s="636">
        <v>58971</v>
      </c>
      <c r="G172" s="637" t="s">
        <v>57</v>
      </c>
      <c r="H172" s="637" t="s">
        <v>1162</v>
      </c>
      <c r="I172" s="637" t="s">
        <v>58</v>
      </c>
      <c r="J172" s="636">
        <v>22</v>
      </c>
      <c r="K172" s="636">
        <v>2</v>
      </c>
      <c r="L172" s="637" t="s">
        <v>52</v>
      </c>
      <c r="M172" s="637" t="s">
        <v>42</v>
      </c>
      <c r="N172" s="637" t="s">
        <v>39</v>
      </c>
      <c r="O172" s="637" t="s">
        <v>39</v>
      </c>
      <c r="P172" s="637" t="s">
        <v>1020</v>
      </c>
      <c r="Q172" s="638">
        <v>198221</v>
      </c>
      <c r="R172" s="638">
        <v>198221</v>
      </c>
      <c r="S172" s="638">
        <v>202184</v>
      </c>
      <c r="T172" s="638">
        <v>202184</v>
      </c>
      <c r="U172" s="638">
        <v>15435</v>
      </c>
      <c r="V172" s="636">
        <v>2022</v>
      </c>
      <c r="W172" s="640" t="s">
        <v>3934</v>
      </c>
      <c r="X172" s="641">
        <f t="shared" si="6"/>
        <v>13.099060576611597</v>
      </c>
      <c r="Y172" s="642" t="str">
        <f t="shared" si="7"/>
        <v/>
      </c>
      <c r="Z172" s="642" t="str">
        <f t="shared" si="8"/>
        <v/>
      </c>
    </row>
    <row r="173" spans="1:26" s="127" customFormat="1" ht="25">
      <c r="A173" s="636">
        <v>2480</v>
      </c>
      <c r="B173" s="637" t="s">
        <v>33</v>
      </c>
      <c r="C173" s="636" t="s">
        <v>2725</v>
      </c>
      <c r="D173" s="637" t="s">
        <v>103</v>
      </c>
      <c r="E173" s="637" t="s">
        <v>1550</v>
      </c>
      <c r="F173" s="636">
        <v>58971</v>
      </c>
      <c r="G173" s="637" t="s">
        <v>57</v>
      </c>
      <c r="H173" s="637" t="s">
        <v>1162</v>
      </c>
      <c r="I173" s="637" t="s">
        <v>58</v>
      </c>
      <c r="J173" s="636">
        <v>22</v>
      </c>
      <c r="K173" s="636">
        <v>2</v>
      </c>
      <c r="L173" s="637" t="s">
        <v>52</v>
      </c>
      <c r="M173" s="637" t="s">
        <v>42</v>
      </c>
      <c r="N173" s="637" t="s">
        <v>61</v>
      </c>
      <c r="O173" s="637" t="s">
        <v>61</v>
      </c>
      <c r="P173" s="637" t="s">
        <v>47</v>
      </c>
      <c r="Q173" s="638">
        <v>0</v>
      </c>
      <c r="R173" s="638">
        <v>0</v>
      </c>
      <c r="S173" s="638">
        <v>0</v>
      </c>
      <c r="T173" s="638">
        <v>0</v>
      </c>
      <c r="U173" s="638">
        <v>0</v>
      </c>
      <c r="V173" s="636">
        <v>2022</v>
      </c>
      <c r="W173" s="640" t="s">
        <v>3934</v>
      </c>
      <c r="X173" s="641" t="str">
        <f t="shared" si="6"/>
        <v/>
      </c>
      <c r="Y173" s="642" t="str">
        <f t="shared" si="7"/>
        <v/>
      </c>
      <c r="Z173" s="642" t="str">
        <f t="shared" si="8"/>
        <v/>
      </c>
    </row>
    <row r="174" spans="1:26" s="127" customFormat="1" ht="25">
      <c r="A174" s="636">
        <v>2481</v>
      </c>
      <c r="B174" s="637" t="s">
        <v>33</v>
      </c>
      <c r="C174" s="636" t="s">
        <v>2725</v>
      </c>
      <c r="D174" s="637" t="s">
        <v>611</v>
      </c>
      <c r="E174" s="637" t="s">
        <v>566</v>
      </c>
      <c r="F174" s="636">
        <v>3249</v>
      </c>
      <c r="G174" s="637" t="s">
        <v>57</v>
      </c>
      <c r="H174" s="637" t="s">
        <v>1162</v>
      </c>
      <c r="I174" s="637" t="s">
        <v>58</v>
      </c>
      <c r="J174" s="636">
        <v>22</v>
      </c>
      <c r="K174" s="636">
        <v>1</v>
      </c>
      <c r="L174" s="637" t="s">
        <v>34</v>
      </c>
      <c r="M174" s="637" t="s">
        <v>35</v>
      </c>
      <c r="N174" s="637" t="s">
        <v>36</v>
      </c>
      <c r="O174" s="637" t="s">
        <v>37</v>
      </c>
      <c r="P174" s="637" t="s">
        <v>1156</v>
      </c>
      <c r="Q174" s="638">
        <v>0</v>
      </c>
      <c r="R174" s="638">
        <v>0</v>
      </c>
      <c r="S174" s="638">
        <v>50637</v>
      </c>
      <c r="T174" s="638">
        <v>50637</v>
      </c>
      <c r="U174" s="638">
        <v>14841</v>
      </c>
      <c r="V174" s="636">
        <v>2022</v>
      </c>
      <c r="W174" s="640"/>
      <c r="X174" s="641">
        <f t="shared" si="6"/>
        <v>3.411966848595108</v>
      </c>
      <c r="Y174" s="642" t="str">
        <f t="shared" si="7"/>
        <v/>
      </c>
      <c r="Z174" s="642" t="str">
        <f t="shared" si="8"/>
        <v/>
      </c>
    </row>
    <row r="175" spans="1:26" s="127" customFormat="1" ht="25">
      <c r="A175" s="636">
        <v>2483</v>
      </c>
      <c r="B175" s="637" t="s">
        <v>33</v>
      </c>
      <c r="C175" s="636" t="s">
        <v>2725</v>
      </c>
      <c r="D175" s="637" t="s">
        <v>612</v>
      </c>
      <c r="E175" s="637" t="s">
        <v>56</v>
      </c>
      <c r="F175" s="636">
        <v>15296</v>
      </c>
      <c r="G175" s="637" t="s">
        <v>57</v>
      </c>
      <c r="H175" s="637" t="s">
        <v>1162</v>
      </c>
      <c r="I175" s="637" t="s">
        <v>58</v>
      </c>
      <c r="J175" s="636">
        <v>22</v>
      </c>
      <c r="K175" s="636">
        <v>1</v>
      </c>
      <c r="L175" s="637" t="s">
        <v>34</v>
      </c>
      <c r="M175" s="637" t="s">
        <v>35</v>
      </c>
      <c r="N175" s="637" t="s">
        <v>36</v>
      </c>
      <c r="O175" s="637" t="s">
        <v>37</v>
      </c>
      <c r="P175" s="637" t="s">
        <v>1156</v>
      </c>
      <c r="Q175" s="638">
        <v>0</v>
      </c>
      <c r="R175" s="638">
        <v>0</v>
      </c>
      <c r="S175" s="638">
        <v>76631</v>
      </c>
      <c r="T175" s="638">
        <v>76631</v>
      </c>
      <c r="U175" s="638">
        <v>22459</v>
      </c>
      <c r="V175" s="636">
        <v>2022</v>
      </c>
      <c r="W175" s="640"/>
      <c r="X175" s="641">
        <f t="shared" si="6"/>
        <v>3.4120397168173113</v>
      </c>
      <c r="Y175" s="642" t="str">
        <f t="shared" si="7"/>
        <v/>
      </c>
      <c r="Z175" s="642" t="str">
        <f t="shared" si="8"/>
        <v/>
      </c>
    </row>
    <row r="176" spans="1:26" s="127" customFormat="1" ht="25">
      <c r="A176" s="636">
        <v>2485</v>
      </c>
      <c r="B176" s="637" t="s">
        <v>33</v>
      </c>
      <c r="C176" s="636" t="s">
        <v>2725</v>
      </c>
      <c r="D176" s="637" t="s">
        <v>613</v>
      </c>
      <c r="E176" s="637" t="s">
        <v>566</v>
      </c>
      <c r="F176" s="636">
        <v>3249</v>
      </c>
      <c r="G176" s="637" t="s">
        <v>57</v>
      </c>
      <c r="H176" s="637" t="s">
        <v>1162</v>
      </c>
      <c r="I176" s="637" t="s">
        <v>58</v>
      </c>
      <c r="J176" s="636">
        <v>22</v>
      </c>
      <c r="K176" s="636">
        <v>1</v>
      </c>
      <c r="L176" s="637" t="s">
        <v>34</v>
      </c>
      <c r="M176" s="637" t="s">
        <v>50</v>
      </c>
      <c r="N176" s="637" t="s">
        <v>76</v>
      </c>
      <c r="O176" s="637" t="s">
        <v>67</v>
      </c>
      <c r="P176" s="637" t="s">
        <v>47</v>
      </c>
      <c r="Q176" s="638">
        <v>3735</v>
      </c>
      <c r="R176" s="638">
        <v>3735</v>
      </c>
      <c r="S176" s="638">
        <v>20916</v>
      </c>
      <c r="T176" s="638">
        <v>20916</v>
      </c>
      <c r="U176" s="638">
        <v>1425</v>
      </c>
      <c r="V176" s="636">
        <v>2022</v>
      </c>
      <c r="W176" s="640"/>
      <c r="X176" s="641">
        <f t="shared" si="6"/>
        <v>14.677894736842106</v>
      </c>
      <c r="Y176" s="642" t="str">
        <f t="shared" si="7"/>
        <v/>
      </c>
      <c r="Z176" s="642" t="str">
        <f t="shared" si="8"/>
        <v/>
      </c>
    </row>
    <row r="177" spans="1:26" s="127" customFormat="1" ht="25">
      <c r="A177" s="636">
        <v>2486</v>
      </c>
      <c r="B177" s="637" t="s">
        <v>33</v>
      </c>
      <c r="C177" s="636" t="s">
        <v>2725</v>
      </c>
      <c r="D177" s="637" t="s">
        <v>614</v>
      </c>
      <c r="E177" s="637" t="s">
        <v>566</v>
      </c>
      <c r="F177" s="636">
        <v>3249</v>
      </c>
      <c r="G177" s="637" t="s">
        <v>57</v>
      </c>
      <c r="H177" s="637" t="s">
        <v>1162</v>
      </c>
      <c r="I177" s="637" t="s">
        <v>58</v>
      </c>
      <c r="J177" s="636">
        <v>22</v>
      </c>
      <c r="K177" s="636">
        <v>1</v>
      </c>
      <c r="L177" s="637" t="s">
        <v>34</v>
      </c>
      <c r="M177" s="637" t="s">
        <v>35</v>
      </c>
      <c r="N177" s="637" t="s">
        <v>36</v>
      </c>
      <c r="O177" s="637" t="s">
        <v>37</v>
      </c>
      <c r="P177" s="637" t="s">
        <v>1156</v>
      </c>
      <c r="Q177" s="638">
        <v>0</v>
      </c>
      <c r="R177" s="638">
        <v>0</v>
      </c>
      <c r="S177" s="638">
        <v>142140</v>
      </c>
      <c r="T177" s="638">
        <v>142140</v>
      </c>
      <c r="U177" s="638">
        <v>41659</v>
      </c>
      <c r="V177" s="636">
        <v>2022</v>
      </c>
      <c r="W177" s="640"/>
      <c r="X177" s="641">
        <f t="shared" si="6"/>
        <v>3.4119878057562594</v>
      </c>
      <c r="Y177" s="642" t="str">
        <f t="shared" si="7"/>
        <v/>
      </c>
      <c r="Z177" s="642" t="str">
        <f t="shared" si="8"/>
        <v/>
      </c>
    </row>
    <row r="178" spans="1:26" s="127" customFormat="1" ht="25">
      <c r="A178" s="636">
        <v>2487</v>
      </c>
      <c r="B178" s="637" t="s">
        <v>33</v>
      </c>
      <c r="C178" s="636" t="s">
        <v>2725</v>
      </c>
      <c r="D178" s="637" t="s">
        <v>615</v>
      </c>
      <c r="E178" s="637" t="s">
        <v>566</v>
      </c>
      <c r="F178" s="636">
        <v>3249</v>
      </c>
      <c r="G178" s="637" t="s">
        <v>57</v>
      </c>
      <c r="H178" s="637" t="s">
        <v>1162</v>
      </c>
      <c r="I178" s="637" t="s">
        <v>58</v>
      </c>
      <c r="J178" s="636">
        <v>22</v>
      </c>
      <c r="K178" s="636">
        <v>1</v>
      </c>
      <c r="L178" s="637" t="s">
        <v>34</v>
      </c>
      <c r="M178" s="637" t="s">
        <v>50</v>
      </c>
      <c r="N178" s="637" t="s">
        <v>76</v>
      </c>
      <c r="O178" s="637" t="s">
        <v>67</v>
      </c>
      <c r="P178" s="637" t="s">
        <v>47</v>
      </c>
      <c r="Q178" s="638">
        <v>505</v>
      </c>
      <c r="R178" s="638">
        <v>505</v>
      </c>
      <c r="S178" s="638">
        <v>2828</v>
      </c>
      <c r="T178" s="638">
        <v>2828</v>
      </c>
      <c r="U178" s="638">
        <v>1749.971</v>
      </c>
      <c r="V178" s="636">
        <v>2022</v>
      </c>
      <c r="W178" s="640"/>
      <c r="X178" s="641">
        <f t="shared" si="6"/>
        <v>1.6160267798723522</v>
      </c>
      <c r="Y178" s="642" t="str">
        <f t="shared" si="7"/>
        <v/>
      </c>
      <c r="Z178" s="642" t="str">
        <f t="shared" si="8"/>
        <v/>
      </c>
    </row>
    <row r="179" spans="1:26" s="127" customFormat="1" ht="25">
      <c r="A179" s="636">
        <v>2487</v>
      </c>
      <c r="B179" s="637" t="s">
        <v>33</v>
      </c>
      <c r="C179" s="636" t="s">
        <v>2725</v>
      </c>
      <c r="D179" s="637" t="s">
        <v>615</v>
      </c>
      <c r="E179" s="637" t="s">
        <v>566</v>
      </c>
      <c r="F179" s="636">
        <v>3249</v>
      </c>
      <c r="G179" s="637" t="s">
        <v>57</v>
      </c>
      <c r="H179" s="637" t="s">
        <v>1162</v>
      </c>
      <c r="I179" s="637" t="s">
        <v>58</v>
      </c>
      <c r="J179" s="636">
        <v>22</v>
      </c>
      <c r="K179" s="636">
        <v>1</v>
      </c>
      <c r="L179" s="637" t="s">
        <v>34</v>
      </c>
      <c r="M179" s="637" t="s">
        <v>50</v>
      </c>
      <c r="N179" s="637" t="s">
        <v>39</v>
      </c>
      <c r="O179" s="637" t="s">
        <v>39</v>
      </c>
      <c r="P179" s="637" t="s">
        <v>1020</v>
      </c>
      <c r="Q179" s="638">
        <v>3439</v>
      </c>
      <c r="R179" s="638">
        <v>3439</v>
      </c>
      <c r="S179" s="638">
        <v>3546</v>
      </c>
      <c r="T179" s="638">
        <v>3546</v>
      </c>
      <c r="U179" s="638">
        <v>2194.029</v>
      </c>
      <c r="V179" s="636">
        <v>2022</v>
      </c>
      <c r="W179" s="640"/>
      <c r="X179" s="641">
        <f t="shared" si="6"/>
        <v>1.6162047083242748</v>
      </c>
      <c r="Y179" s="642" t="str">
        <f t="shared" si="7"/>
        <v/>
      </c>
      <c r="Z179" s="642" t="str">
        <f t="shared" si="8"/>
        <v/>
      </c>
    </row>
    <row r="180" spans="1:26" s="127" customFormat="1" ht="25">
      <c r="A180" s="636">
        <v>2490</v>
      </c>
      <c r="B180" s="637" t="s">
        <v>33</v>
      </c>
      <c r="C180" s="636" t="s">
        <v>2725</v>
      </c>
      <c r="D180" s="637" t="s">
        <v>104</v>
      </c>
      <c r="E180" s="637" t="s">
        <v>105</v>
      </c>
      <c r="F180" s="636">
        <v>13192</v>
      </c>
      <c r="G180" s="637" t="s">
        <v>57</v>
      </c>
      <c r="H180" s="637" t="s">
        <v>1162</v>
      </c>
      <c r="I180" s="637" t="s">
        <v>58</v>
      </c>
      <c r="J180" s="636">
        <v>22</v>
      </c>
      <c r="K180" s="636">
        <v>2</v>
      </c>
      <c r="L180" s="637" t="s">
        <v>52</v>
      </c>
      <c r="M180" s="637" t="s">
        <v>50</v>
      </c>
      <c r="N180" s="637" t="s">
        <v>39</v>
      </c>
      <c r="O180" s="637" t="s">
        <v>39</v>
      </c>
      <c r="P180" s="637" t="s">
        <v>1020</v>
      </c>
      <c r="Q180" s="638">
        <v>29840</v>
      </c>
      <c r="R180" s="638">
        <v>29840</v>
      </c>
      <c r="S180" s="638">
        <v>30742</v>
      </c>
      <c r="T180" s="638">
        <v>30742</v>
      </c>
      <c r="U180" s="638">
        <v>1565</v>
      </c>
      <c r="V180" s="636">
        <v>2022</v>
      </c>
      <c r="W180" s="640" t="s">
        <v>3934</v>
      </c>
      <c r="X180" s="641">
        <f t="shared" si="6"/>
        <v>19.643450479233227</v>
      </c>
      <c r="Y180" s="642" t="str">
        <f t="shared" si="7"/>
        <v/>
      </c>
      <c r="Z180" s="642" t="str">
        <f t="shared" si="8"/>
        <v/>
      </c>
    </row>
    <row r="181" spans="1:26" s="127" customFormat="1" ht="25">
      <c r="A181" s="636">
        <v>2490</v>
      </c>
      <c r="B181" s="637" t="s">
        <v>33</v>
      </c>
      <c r="C181" s="636" t="s">
        <v>2725</v>
      </c>
      <c r="D181" s="637" t="s">
        <v>104</v>
      </c>
      <c r="E181" s="637" t="s">
        <v>105</v>
      </c>
      <c r="F181" s="636">
        <v>13192</v>
      </c>
      <c r="G181" s="637" t="s">
        <v>57</v>
      </c>
      <c r="H181" s="637" t="s">
        <v>1162</v>
      </c>
      <c r="I181" s="637" t="s">
        <v>58</v>
      </c>
      <c r="J181" s="636">
        <v>22</v>
      </c>
      <c r="K181" s="636">
        <v>2</v>
      </c>
      <c r="L181" s="637" t="s">
        <v>52</v>
      </c>
      <c r="M181" s="637" t="s">
        <v>42</v>
      </c>
      <c r="N181" s="637" t="s">
        <v>39</v>
      </c>
      <c r="O181" s="637" t="s">
        <v>39</v>
      </c>
      <c r="P181" s="637" t="s">
        <v>1020</v>
      </c>
      <c r="Q181" s="638">
        <v>10498053</v>
      </c>
      <c r="R181" s="638">
        <v>10498053</v>
      </c>
      <c r="S181" s="638">
        <v>10951335</v>
      </c>
      <c r="T181" s="638">
        <v>10951335</v>
      </c>
      <c r="U181" s="638">
        <v>959740</v>
      </c>
      <c r="V181" s="636">
        <v>2022</v>
      </c>
      <c r="W181" s="640" t="s">
        <v>3934</v>
      </c>
      <c r="X181" s="641">
        <f t="shared" si="6"/>
        <v>11.410731031320983</v>
      </c>
      <c r="Y181" s="642" t="str">
        <f t="shared" si="7"/>
        <v/>
      </c>
      <c r="Z181" s="642" t="str">
        <f t="shared" si="8"/>
        <v/>
      </c>
    </row>
    <row r="182" spans="1:26" s="127" customFormat="1" ht="25">
      <c r="A182" s="636">
        <v>2493</v>
      </c>
      <c r="B182" s="637" t="s">
        <v>54</v>
      </c>
      <c r="C182" s="636" t="s">
        <v>2725</v>
      </c>
      <c r="D182" s="637" t="s">
        <v>106</v>
      </c>
      <c r="E182" s="637" t="s">
        <v>107</v>
      </c>
      <c r="F182" s="636">
        <v>4226</v>
      </c>
      <c r="G182" s="637" t="s">
        <v>57</v>
      </c>
      <c r="H182" s="637" t="s">
        <v>1162</v>
      </c>
      <c r="I182" s="637" t="s">
        <v>58</v>
      </c>
      <c r="J182" s="636">
        <v>22</v>
      </c>
      <c r="K182" s="636">
        <v>1</v>
      </c>
      <c r="L182" s="637" t="s">
        <v>34</v>
      </c>
      <c r="M182" s="637" t="s">
        <v>50</v>
      </c>
      <c r="N182" s="637" t="s">
        <v>46</v>
      </c>
      <c r="O182" s="637" t="s">
        <v>46</v>
      </c>
      <c r="P182" s="637" t="s">
        <v>47</v>
      </c>
      <c r="Q182" s="638">
        <v>0</v>
      </c>
      <c r="R182" s="638">
        <v>0</v>
      </c>
      <c r="S182" s="638">
        <v>0</v>
      </c>
      <c r="T182" s="638">
        <v>0</v>
      </c>
      <c r="U182" s="638">
        <v>0</v>
      </c>
      <c r="V182" s="636">
        <v>2022</v>
      </c>
      <c r="W182" s="640"/>
      <c r="X182" s="641" t="str">
        <f t="shared" si="6"/>
        <v/>
      </c>
      <c r="Y182" s="642" t="str">
        <f t="shared" si="7"/>
        <v/>
      </c>
      <c r="Z182" s="642" t="str">
        <f t="shared" si="8"/>
        <v/>
      </c>
    </row>
    <row r="183" spans="1:26" s="127" customFormat="1" ht="25">
      <c r="A183" s="636">
        <v>2493</v>
      </c>
      <c r="B183" s="637" t="s">
        <v>54</v>
      </c>
      <c r="C183" s="636" t="s">
        <v>2725</v>
      </c>
      <c r="D183" s="637" t="s">
        <v>106</v>
      </c>
      <c r="E183" s="637" t="s">
        <v>107</v>
      </c>
      <c r="F183" s="636">
        <v>4226</v>
      </c>
      <c r="G183" s="637" t="s">
        <v>57</v>
      </c>
      <c r="H183" s="637" t="s">
        <v>1162</v>
      </c>
      <c r="I183" s="637" t="s">
        <v>58</v>
      </c>
      <c r="J183" s="636">
        <v>22</v>
      </c>
      <c r="K183" s="636">
        <v>1</v>
      </c>
      <c r="L183" s="637" t="s">
        <v>34</v>
      </c>
      <c r="M183" s="637" t="s">
        <v>50</v>
      </c>
      <c r="N183" s="637" t="s">
        <v>39</v>
      </c>
      <c r="O183" s="637" t="s">
        <v>39</v>
      </c>
      <c r="P183" s="637" t="s">
        <v>1020</v>
      </c>
      <c r="Q183" s="638">
        <v>23784752</v>
      </c>
      <c r="R183" s="638">
        <v>17183014</v>
      </c>
      <c r="S183" s="638">
        <v>24641003</v>
      </c>
      <c r="T183" s="638">
        <v>17801604</v>
      </c>
      <c r="U183" s="638">
        <v>2217889</v>
      </c>
      <c r="V183" s="636">
        <v>2022</v>
      </c>
      <c r="W183" s="640"/>
      <c r="X183" s="641">
        <f t="shared" si="6"/>
        <v>8.0263728256914568</v>
      </c>
      <c r="Y183" s="642" t="str">
        <f t="shared" si="7"/>
        <v/>
      </c>
      <c r="Z183" s="642" t="str">
        <f t="shared" si="8"/>
        <v/>
      </c>
    </row>
    <row r="184" spans="1:26" s="127" customFormat="1" ht="25">
      <c r="A184" s="636">
        <v>2493</v>
      </c>
      <c r="B184" s="637" t="s">
        <v>54</v>
      </c>
      <c r="C184" s="636" t="s">
        <v>2725</v>
      </c>
      <c r="D184" s="637" t="s">
        <v>106</v>
      </c>
      <c r="E184" s="637" t="s">
        <v>107</v>
      </c>
      <c r="F184" s="636">
        <v>4226</v>
      </c>
      <c r="G184" s="637" t="s">
        <v>57</v>
      </c>
      <c r="H184" s="637" t="s">
        <v>1162</v>
      </c>
      <c r="I184" s="637" t="s">
        <v>58</v>
      </c>
      <c r="J184" s="636">
        <v>22</v>
      </c>
      <c r="K184" s="636">
        <v>1</v>
      </c>
      <c r="L184" s="637" t="s">
        <v>34</v>
      </c>
      <c r="M184" s="637" t="s">
        <v>42</v>
      </c>
      <c r="N184" s="637" t="s">
        <v>46</v>
      </c>
      <c r="O184" s="637" t="s">
        <v>46</v>
      </c>
      <c r="P184" s="637" t="s">
        <v>47</v>
      </c>
      <c r="Q184" s="638">
        <v>0</v>
      </c>
      <c r="R184" s="638">
        <v>0</v>
      </c>
      <c r="S184" s="638">
        <v>0</v>
      </c>
      <c r="T184" s="638">
        <v>0</v>
      </c>
      <c r="U184" s="638">
        <v>0</v>
      </c>
      <c r="V184" s="636">
        <v>2022</v>
      </c>
      <c r="W184" s="640"/>
      <c r="X184" s="641" t="str">
        <f t="shared" si="6"/>
        <v/>
      </c>
      <c r="Y184" s="642" t="str">
        <f t="shared" si="7"/>
        <v/>
      </c>
      <c r="Z184" s="642" t="str">
        <f t="shared" si="8"/>
        <v/>
      </c>
    </row>
    <row r="185" spans="1:26" s="127" customFormat="1" ht="25">
      <c r="A185" s="636">
        <v>2493</v>
      </c>
      <c r="B185" s="637" t="s">
        <v>54</v>
      </c>
      <c r="C185" s="636" t="s">
        <v>2725</v>
      </c>
      <c r="D185" s="637" t="s">
        <v>106</v>
      </c>
      <c r="E185" s="637" t="s">
        <v>107</v>
      </c>
      <c r="F185" s="636">
        <v>4226</v>
      </c>
      <c r="G185" s="637" t="s">
        <v>57</v>
      </c>
      <c r="H185" s="637" t="s">
        <v>1162</v>
      </c>
      <c r="I185" s="637" t="s">
        <v>58</v>
      </c>
      <c r="J185" s="636">
        <v>22</v>
      </c>
      <c r="K185" s="636">
        <v>1</v>
      </c>
      <c r="L185" s="637" t="s">
        <v>34</v>
      </c>
      <c r="M185" s="637" t="s">
        <v>42</v>
      </c>
      <c r="N185" s="637" t="s">
        <v>39</v>
      </c>
      <c r="O185" s="637" t="s">
        <v>39</v>
      </c>
      <c r="P185" s="637" t="s">
        <v>1020</v>
      </c>
      <c r="Q185" s="638">
        <v>9165693</v>
      </c>
      <c r="R185" s="638">
        <v>6074633</v>
      </c>
      <c r="S185" s="638">
        <v>9495658</v>
      </c>
      <c r="T185" s="638">
        <v>6293321</v>
      </c>
      <c r="U185" s="638">
        <v>768128.48</v>
      </c>
      <c r="V185" s="636">
        <v>2022</v>
      </c>
      <c r="W185" s="640"/>
      <c r="X185" s="641">
        <f t="shared" si="6"/>
        <v>8.1930577551297148</v>
      </c>
      <c r="Y185" s="642" t="str">
        <f t="shared" si="7"/>
        <v/>
      </c>
      <c r="Z185" s="642" t="str">
        <f t="shared" si="8"/>
        <v/>
      </c>
    </row>
    <row r="186" spans="1:26" s="127" customFormat="1" ht="25">
      <c r="A186" s="636">
        <v>2493</v>
      </c>
      <c r="B186" s="637" t="s">
        <v>54</v>
      </c>
      <c r="C186" s="636" t="s">
        <v>2725</v>
      </c>
      <c r="D186" s="637" t="s">
        <v>106</v>
      </c>
      <c r="E186" s="637" t="s">
        <v>107</v>
      </c>
      <c r="F186" s="636">
        <v>4226</v>
      </c>
      <c r="G186" s="637" t="s">
        <v>57</v>
      </c>
      <c r="H186" s="637" t="s">
        <v>1162</v>
      </c>
      <c r="I186" s="637" t="s">
        <v>58</v>
      </c>
      <c r="J186" s="636">
        <v>22</v>
      </c>
      <c r="K186" s="636">
        <v>1</v>
      </c>
      <c r="L186" s="637" t="s">
        <v>34</v>
      </c>
      <c r="M186" s="637" t="s">
        <v>42</v>
      </c>
      <c r="N186" s="637" t="s">
        <v>61</v>
      </c>
      <c r="O186" s="637" t="s">
        <v>61</v>
      </c>
      <c r="P186" s="637" t="s">
        <v>47</v>
      </c>
      <c r="Q186" s="638">
        <v>58182</v>
      </c>
      <c r="R186" s="638">
        <v>33841</v>
      </c>
      <c r="S186" s="638">
        <v>350011</v>
      </c>
      <c r="T186" s="638">
        <v>203615</v>
      </c>
      <c r="U186" s="638">
        <v>25063.518</v>
      </c>
      <c r="V186" s="636">
        <v>2022</v>
      </c>
      <c r="W186" s="640"/>
      <c r="X186" s="641">
        <f t="shared" si="6"/>
        <v>8.1239592941421872</v>
      </c>
      <c r="Y186" s="642" t="str">
        <f t="shared" si="7"/>
        <v/>
      </c>
      <c r="Z186" s="642" t="str">
        <f t="shared" si="8"/>
        <v/>
      </c>
    </row>
    <row r="187" spans="1:26" s="127" customFormat="1" ht="25">
      <c r="A187" s="636">
        <v>2494</v>
      </c>
      <c r="B187" s="637" t="s">
        <v>33</v>
      </c>
      <c r="C187" s="636" t="s">
        <v>2725</v>
      </c>
      <c r="D187" s="637" t="s">
        <v>108</v>
      </c>
      <c r="E187" s="637" t="s">
        <v>109</v>
      </c>
      <c r="F187" s="636">
        <v>54863</v>
      </c>
      <c r="G187" s="637" t="s">
        <v>57</v>
      </c>
      <c r="H187" s="637" t="s">
        <v>1162</v>
      </c>
      <c r="I187" s="637" t="s">
        <v>58</v>
      </c>
      <c r="J187" s="636">
        <v>22</v>
      </c>
      <c r="K187" s="636">
        <v>2</v>
      </c>
      <c r="L187" s="637" t="s">
        <v>52</v>
      </c>
      <c r="M187" s="637" t="s">
        <v>50</v>
      </c>
      <c r="N187" s="637" t="s">
        <v>46</v>
      </c>
      <c r="O187" s="637" t="s">
        <v>46</v>
      </c>
      <c r="P187" s="637" t="s">
        <v>47</v>
      </c>
      <c r="Q187" s="638">
        <v>5786</v>
      </c>
      <c r="R187" s="638">
        <v>5786</v>
      </c>
      <c r="S187" s="638">
        <v>33732</v>
      </c>
      <c r="T187" s="638">
        <v>33732</v>
      </c>
      <c r="U187" s="638">
        <v>1918.9110000000001</v>
      </c>
      <c r="V187" s="636">
        <v>2022</v>
      </c>
      <c r="W187" s="640" t="s">
        <v>3934</v>
      </c>
      <c r="X187" s="641">
        <f t="shared" si="6"/>
        <v>17.578720430494169</v>
      </c>
      <c r="Y187" s="642" t="str">
        <f t="shared" si="7"/>
        <v/>
      </c>
      <c r="Z187" s="642" t="str">
        <f t="shared" si="8"/>
        <v/>
      </c>
    </row>
    <row r="188" spans="1:26" s="127" customFormat="1" ht="25">
      <c r="A188" s="636">
        <v>2494</v>
      </c>
      <c r="B188" s="637" t="s">
        <v>33</v>
      </c>
      <c r="C188" s="636" t="s">
        <v>2725</v>
      </c>
      <c r="D188" s="637" t="s">
        <v>108</v>
      </c>
      <c r="E188" s="637" t="s">
        <v>109</v>
      </c>
      <c r="F188" s="636">
        <v>54863</v>
      </c>
      <c r="G188" s="637" t="s">
        <v>57</v>
      </c>
      <c r="H188" s="637" t="s">
        <v>1162</v>
      </c>
      <c r="I188" s="637" t="s">
        <v>58</v>
      </c>
      <c r="J188" s="636">
        <v>22</v>
      </c>
      <c r="K188" s="636">
        <v>2</v>
      </c>
      <c r="L188" s="637" t="s">
        <v>52</v>
      </c>
      <c r="M188" s="637" t="s">
        <v>50</v>
      </c>
      <c r="N188" s="637" t="s">
        <v>39</v>
      </c>
      <c r="O188" s="637" t="s">
        <v>39</v>
      </c>
      <c r="P188" s="637" t="s">
        <v>1020</v>
      </c>
      <c r="Q188" s="638">
        <v>235014</v>
      </c>
      <c r="R188" s="638">
        <v>235014</v>
      </c>
      <c r="S188" s="638">
        <v>241592</v>
      </c>
      <c r="T188" s="638">
        <v>241592</v>
      </c>
      <c r="U188" s="638">
        <v>13741.088</v>
      </c>
      <c r="V188" s="636">
        <v>2022</v>
      </c>
      <c r="W188" s="640" t="s">
        <v>3934</v>
      </c>
      <c r="X188" s="641">
        <f t="shared" si="6"/>
        <v>17.58172278643438</v>
      </c>
      <c r="Y188" s="642" t="str">
        <f t="shared" si="7"/>
        <v/>
      </c>
      <c r="Z188" s="642" t="str">
        <f t="shared" si="8"/>
        <v/>
      </c>
    </row>
    <row r="189" spans="1:26" s="127" customFormat="1" ht="25">
      <c r="A189" s="636">
        <v>2494</v>
      </c>
      <c r="B189" s="637" t="s">
        <v>33</v>
      </c>
      <c r="C189" s="636" t="s">
        <v>2725</v>
      </c>
      <c r="D189" s="637" t="s">
        <v>108</v>
      </c>
      <c r="E189" s="637" t="s">
        <v>109</v>
      </c>
      <c r="F189" s="636">
        <v>54863</v>
      </c>
      <c r="G189" s="637" t="s">
        <v>57</v>
      </c>
      <c r="H189" s="637" t="s">
        <v>1162</v>
      </c>
      <c r="I189" s="637" t="s">
        <v>58</v>
      </c>
      <c r="J189" s="636">
        <v>22</v>
      </c>
      <c r="K189" s="636">
        <v>2</v>
      </c>
      <c r="L189" s="637" t="s">
        <v>52</v>
      </c>
      <c r="M189" s="637" t="s">
        <v>50</v>
      </c>
      <c r="N189" s="637" t="s">
        <v>61</v>
      </c>
      <c r="O189" s="637" t="s">
        <v>61</v>
      </c>
      <c r="P189" s="637" t="s">
        <v>47</v>
      </c>
      <c r="Q189" s="638">
        <v>0</v>
      </c>
      <c r="R189" s="638">
        <v>0</v>
      </c>
      <c r="S189" s="638">
        <v>0</v>
      </c>
      <c r="T189" s="638">
        <v>0</v>
      </c>
      <c r="U189" s="638">
        <v>0</v>
      </c>
      <c r="V189" s="636">
        <v>2022</v>
      </c>
      <c r="W189" s="640" t="s">
        <v>3934</v>
      </c>
      <c r="X189" s="641" t="str">
        <f t="shared" si="6"/>
        <v/>
      </c>
      <c r="Y189" s="642" t="str">
        <f t="shared" si="7"/>
        <v/>
      </c>
      <c r="Z189" s="642" t="str">
        <f t="shared" si="8"/>
        <v/>
      </c>
    </row>
    <row r="190" spans="1:26" s="127" customFormat="1" ht="25">
      <c r="A190" s="636">
        <v>2496</v>
      </c>
      <c r="B190" s="637" t="s">
        <v>33</v>
      </c>
      <c r="C190" s="636" t="s">
        <v>2725</v>
      </c>
      <c r="D190" s="637" t="s">
        <v>616</v>
      </c>
      <c r="E190" s="637" t="s">
        <v>107</v>
      </c>
      <c r="F190" s="636">
        <v>4226</v>
      </c>
      <c r="G190" s="637" t="s">
        <v>57</v>
      </c>
      <c r="H190" s="637" t="s">
        <v>1162</v>
      </c>
      <c r="I190" s="637" t="s">
        <v>58</v>
      </c>
      <c r="J190" s="636">
        <v>22</v>
      </c>
      <c r="K190" s="636">
        <v>1</v>
      </c>
      <c r="L190" s="637" t="s">
        <v>34</v>
      </c>
      <c r="M190" s="637" t="s">
        <v>50</v>
      </c>
      <c r="N190" s="637" t="s">
        <v>46</v>
      </c>
      <c r="O190" s="637" t="s">
        <v>46</v>
      </c>
      <c r="P190" s="637" t="s">
        <v>47</v>
      </c>
      <c r="Q190" s="638">
        <v>0</v>
      </c>
      <c r="R190" s="638">
        <v>0</v>
      </c>
      <c r="S190" s="638">
        <v>0</v>
      </c>
      <c r="T190" s="638">
        <v>0</v>
      </c>
      <c r="U190" s="638">
        <v>0</v>
      </c>
      <c r="V190" s="636">
        <v>2022</v>
      </c>
      <c r="W190" s="640" t="s">
        <v>3934</v>
      </c>
      <c r="X190" s="641" t="str">
        <f t="shared" si="6"/>
        <v/>
      </c>
      <c r="Y190" s="642" t="str">
        <f t="shared" si="7"/>
        <v/>
      </c>
      <c r="Z190" s="642" t="str">
        <f t="shared" si="8"/>
        <v/>
      </c>
    </row>
    <row r="191" spans="1:26" s="127" customFormat="1" ht="25">
      <c r="A191" s="636">
        <v>2496</v>
      </c>
      <c r="B191" s="637" t="s">
        <v>33</v>
      </c>
      <c r="C191" s="636" t="s">
        <v>2725</v>
      </c>
      <c r="D191" s="637" t="s">
        <v>616</v>
      </c>
      <c r="E191" s="637" t="s">
        <v>107</v>
      </c>
      <c r="F191" s="636">
        <v>4226</v>
      </c>
      <c r="G191" s="637" t="s">
        <v>57</v>
      </c>
      <c r="H191" s="637" t="s">
        <v>1162</v>
      </c>
      <c r="I191" s="637" t="s">
        <v>58</v>
      </c>
      <c r="J191" s="636">
        <v>22</v>
      </c>
      <c r="K191" s="636">
        <v>1</v>
      </c>
      <c r="L191" s="637" t="s">
        <v>34</v>
      </c>
      <c r="M191" s="637" t="s">
        <v>50</v>
      </c>
      <c r="N191" s="637" t="s">
        <v>76</v>
      </c>
      <c r="O191" s="637" t="s">
        <v>67</v>
      </c>
      <c r="P191" s="637" t="s">
        <v>47</v>
      </c>
      <c r="Q191" s="638">
        <v>1342</v>
      </c>
      <c r="R191" s="638">
        <v>1342</v>
      </c>
      <c r="S191" s="638">
        <v>7595</v>
      </c>
      <c r="T191" s="638">
        <v>7595</v>
      </c>
      <c r="U191" s="638">
        <v>468</v>
      </c>
      <c r="V191" s="636">
        <v>2022</v>
      </c>
      <c r="W191" s="640" t="s">
        <v>3934</v>
      </c>
      <c r="X191" s="641">
        <f t="shared" si="6"/>
        <v>16.228632478632477</v>
      </c>
      <c r="Y191" s="642" t="str">
        <f t="shared" si="7"/>
        <v/>
      </c>
      <c r="Z191" s="642" t="str">
        <f t="shared" si="8"/>
        <v/>
      </c>
    </row>
    <row r="192" spans="1:26" s="127" customFormat="1" ht="25">
      <c r="A192" s="636">
        <v>2499</v>
      </c>
      <c r="B192" s="637" t="s">
        <v>33</v>
      </c>
      <c r="C192" s="636" t="s">
        <v>2725</v>
      </c>
      <c r="D192" s="637" t="s">
        <v>110</v>
      </c>
      <c r="E192" s="637" t="s">
        <v>109</v>
      </c>
      <c r="F192" s="636">
        <v>54863</v>
      </c>
      <c r="G192" s="637" t="s">
        <v>57</v>
      </c>
      <c r="H192" s="637" t="s">
        <v>1162</v>
      </c>
      <c r="I192" s="637" t="s">
        <v>58</v>
      </c>
      <c r="J192" s="636">
        <v>22</v>
      </c>
      <c r="K192" s="636">
        <v>2</v>
      </c>
      <c r="L192" s="637" t="s">
        <v>52</v>
      </c>
      <c r="M192" s="637" t="s">
        <v>50</v>
      </c>
      <c r="N192" s="637" t="s">
        <v>46</v>
      </c>
      <c r="O192" s="637" t="s">
        <v>46</v>
      </c>
      <c r="P192" s="637" t="s">
        <v>47</v>
      </c>
      <c r="Q192" s="638">
        <v>7883</v>
      </c>
      <c r="R192" s="638">
        <v>7883</v>
      </c>
      <c r="S192" s="638">
        <v>45958</v>
      </c>
      <c r="T192" s="638">
        <v>45958</v>
      </c>
      <c r="U192" s="638">
        <v>2724.41</v>
      </c>
      <c r="V192" s="636">
        <v>2022</v>
      </c>
      <c r="W192" s="640" t="s">
        <v>3934</v>
      </c>
      <c r="X192" s="641">
        <f t="shared" si="6"/>
        <v>16.868973465814619</v>
      </c>
      <c r="Y192" s="642" t="str">
        <f t="shared" si="7"/>
        <v/>
      </c>
      <c r="Z192" s="642" t="str">
        <f t="shared" si="8"/>
        <v/>
      </c>
    </row>
    <row r="193" spans="1:26" s="127" customFormat="1" ht="25">
      <c r="A193" s="636">
        <v>2499</v>
      </c>
      <c r="B193" s="637" t="s">
        <v>33</v>
      </c>
      <c r="C193" s="636" t="s">
        <v>2725</v>
      </c>
      <c r="D193" s="637" t="s">
        <v>110</v>
      </c>
      <c r="E193" s="637" t="s">
        <v>109</v>
      </c>
      <c r="F193" s="636">
        <v>54863</v>
      </c>
      <c r="G193" s="637" t="s">
        <v>57</v>
      </c>
      <c r="H193" s="637" t="s">
        <v>1162</v>
      </c>
      <c r="I193" s="637" t="s">
        <v>58</v>
      </c>
      <c r="J193" s="636">
        <v>22</v>
      </c>
      <c r="K193" s="636">
        <v>2</v>
      </c>
      <c r="L193" s="637" t="s">
        <v>52</v>
      </c>
      <c r="M193" s="637" t="s">
        <v>50</v>
      </c>
      <c r="N193" s="637" t="s">
        <v>39</v>
      </c>
      <c r="O193" s="637" t="s">
        <v>39</v>
      </c>
      <c r="P193" s="637" t="s">
        <v>1020</v>
      </c>
      <c r="Q193" s="638">
        <v>756597</v>
      </c>
      <c r="R193" s="638">
        <v>756597</v>
      </c>
      <c r="S193" s="638">
        <v>777781</v>
      </c>
      <c r="T193" s="638">
        <v>777781</v>
      </c>
      <c r="U193" s="638">
        <v>46095.59</v>
      </c>
      <c r="V193" s="636">
        <v>2022</v>
      </c>
      <c r="W193" s="640" t="s">
        <v>3934</v>
      </c>
      <c r="X193" s="641">
        <f t="shared" si="6"/>
        <v>16.873219325319408</v>
      </c>
      <c r="Y193" s="642" t="str">
        <f t="shared" si="7"/>
        <v/>
      </c>
      <c r="Z193" s="642" t="str">
        <f t="shared" si="8"/>
        <v/>
      </c>
    </row>
    <row r="194" spans="1:26" s="127" customFormat="1" ht="25">
      <c r="A194" s="636">
        <v>2500</v>
      </c>
      <c r="B194" s="637" t="s">
        <v>33</v>
      </c>
      <c r="C194" s="636" t="s">
        <v>2725</v>
      </c>
      <c r="D194" s="637" t="s">
        <v>111</v>
      </c>
      <c r="E194" s="637" t="s">
        <v>2084</v>
      </c>
      <c r="F194" s="636">
        <v>61130</v>
      </c>
      <c r="G194" s="637" t="s">
        <v>57</v>
      </c>
      <c r="H194" s="637" t="s">
        <v>1162</v>
      </c>
      <c r="I194" s="637" t="s">
        <v>58</v>
      </c>
      <c r="J194" s="636">
        <v>22</v>
      </c>
      <c r="K194" s="636">
        <v>2</v>
      </c>
      <c r="L194" s="637" t="s">
        <v>52</v>
      </c>
      <c r="M194" s="637" t="s">
        <v>38</v>
      </c>
      <c r="N194" s="637" t="s">
        <v>76</v>
      </c>
      <c r="O194" s="637" t="s">
        <v>67</v>
      </c>
      <c r="P194" s="637" t="s">
        <v>47</v>
      </c>
      <c r="Q194" s="638">
        <v>0</v>
      </c>
      <c r="R194" s="638">
        <v>0</v>
      </c>
      <c r="S194" s="638">
        <v>0</v>
      </c>
      <c r="T194" s="638">
        <v>0</v>
      </c>
      <c r="U194" s="638">
        <v>0</v>
      </c>
      <c r="V194" s="636">
        <v>2022</v>
      </c>
      <c r="W194" s="640" t="s">
        <v>3934</v>
      </c>
      <c r="X194" s="641" t="str">
        <f t="shared" si="6"/>
        <v/>
      </c>
      <c r="Y194" s="642" t="str">
        <f t="shared" si="7"/>
        <v/>
      </c>
      <c r="Z194" s="642" t="str">
        <f t="shared" si="8"/>
        <v/>
      </c>
    </row>
    <row r="195" spans="1:26" s="127" customFormat="1" ht="25">
      <c r="A195" s="636">
        <v>2500</v>
      </c>
      <c r="B195" s="637" t="s">
        <v>33</v>
      </c>
      <c r="C195" s="636" t="s">
        <v>2725</v>
      </c>
      <c r="D195" s="637" t="s">
        <v>111</v>
      </c>
      <c r="E195" s="637" t="s">
        <v>2084</v>
      </c>
      <c r="F195" s="636">
        <v>61130</v>
      </c>
      <c r="G195" s="637" t="s">
        <v>57</v>
      </c>
      <c r="H195" s="637" t="s">
        <v>1162</v>
      </c>
      <c r="I195" s="637" t="s">
        <v>58</v>
      </c>
      <c r="J195" s="636">
        <v>22</v>
      </c>
      <c r="K195" s="636">
        <v>2</v>
      </c>
      <c r="L195" s="637" t="s">
        <v>52</v>
      </c>
      <c r="M195" s="637" t="s">
        <v>38</v>
      </c>
      <c r="N195" s="637" t="s">
        <v>39</v>
      </c>
      <c r="O195" s="637" t="s">
        <v>39</v>
      </c>
      <c r="P195" s="637" t="s">
        <v>1020</v>
      </c>
      <c r="Q195" s="638">
        <v>0</v>
      </c>
      <c r="R195" s="638">
        <v>0</v>
      </c>
      <c r="S195" s="638">
        <v>0</v>
      </c>
      <c r="T195" s="638">
        <v>0</v>
      </c>
      <c r="U195" s="638">
        <v>0</v>
      </c>
      <c r="V195" s="636">
        <v>2022</v>
      </c>
      <c r="W195" s="640" t="s">
        <v>3934</v>
      </c>
      <c r="X195" s="641" t="str">
        <f t="shared" si="6"/>
        <v/>
      </c>
      <c r="Y195" s="642" t="str">
        <f t="shared" si="7"/>
        <v/>
      </c>
      <c r="Z195" s="642" t="str">
        <f t="shared" si="8"/>
        <v/>
      </c>
    </row>
    <row r="196" spans="1:26" s="127" customFormat="1" ht="25">
      <c r="A196" s="636">
        <v>2500</v>
      </c>
      <c r="B196" s="637" t="s">
        <v>33</v>
      </c>
      <c r="C196" s="636" t="s">
        <v>2725</v>
      </c>
      <c r="D196" s="637" t="s">
        <v>111</v>
      </c>
      <c r="E196" s="637" t="s">
        <v>2084</v>
      </c>
      <c r="F196" s="636">
        <v>61130</v>
      </c>
      <c r="G196" s="637" t="s">
        <v>57</v>
      </c>
      <c r="H196" s="637" t="s">
        <v>1162</v>
      </c>
      <c r="I196" s="637" t="s">
        <v>58</v>
      </c>
      <c r="J196" s="636">
        <v>22</v>
      </c>
      <c r="K196" s="636">
        <v>2</v>
      </c>
      <c r="L196" s="637" t="s">
        <v>52</v>
      </c>
      <c r="M196" s="637" t="s">
        <v>41</v>
      </c>
      <c r="N196" s="637" t="s">
        <v>76</v>
      </c>
      <c r="O196" s="637" t="s">
        <v>67</v>
      </c>
      <c r="P196" s="637" t="s">
        <v>47</v>
      </c>
      <c r="Q196" s="638">
        <v>59513</v>
      </c>
      <c r="R196" s="638">
        <v>59513</v>
      </c>
      <c r="S196" s="638">
        <v>340270</v>
      </c>
      <c r="T196" s="638">
        <v>340270</v>
      </c>
      <c r="U196" s="638">
        <v>46491.624000000003</v>
      </c>
      <c r="V196" s="636">
        <v>2022</v>
      </c>
      <c r="W196" s="640" t="s">
        <v>3934</v>
      </c>
      <c r="X196" s="641">
        <f t="shared" si="6"/>
        <v>7.3189527644807582</v>
      </c>
      <c r="Y196" s="642" t="str">
        <f t="shared" si="7"/>
        <v/>
      </c>
      <c r="Z196" s="642" t="str">
        <f t="shared" si="8"/>
        <v/>
      </c>
    </row>
    <row r="197" spans="1:26" s="127" customFormat="1" ht="25">
      <c r="A197" s="636">
        <v>2500</v>
      </c>
      <c r="B197" s="637" t="s">
        <v>33</v>
      </c>
      <c r="C197" s="636" t="s">
        <v>2725</v>
      </c>
      <c r="D197" s="637" t="s">
        <v>111</v>
      </c>
      <c r="E197" s="637" t="s">
        <v>2084</v>
      </c>
      <c r="F197" s="636">
        <v>61130</v>
      </c>
      <c r="G197" s="637" t="s">
        <v>57</v>
      </c>
      <c r="H197" s="637" t="s">
        <v>1162</v>
      </c>
      <c r="I197" s="637" t="s">
        <v>58</v>
      </c>
      <c r="J197" s="636">
        <v>22</v>
      </c>
      <c r="K197" s="636">
        <v>2</v>
      </c>
      <c r="L197" s="637" t="s">
        <v>52</v>
      </c>
      <c r="M197" s="637" t="s">
        <v>41</v>
      </c>
      <c r="N197" s="637" t="s">
        <v>39</v>
      </c>
      <c r="O197" s="637" t="s">
        <v>39</v>
      </c>
      <c r="P197" s="637" t="s">
        <v>1020</v>
      </c>
      <c r="Q197" s="638">
        <v>10724167</v>
      </c>
      <c r="R197" s="638">
        <v>10724167</v>
      </c>
      <c r="S197" s="638">
        <v>11045891</v>
      </c>
      <c r="T197" s="638">
        <v>11045891</v>
      </c>
      <c r="U197" s="638">
        <v>1489886.4</v>
      </c>
      <c r="V197" s="636">
        <v>2022</v>
      </c>
      <c r="W197" s="640" t="s">
        <v>3934</v>
      </c>
      <c r="X197" s="641">
        <f t="shared" si="6"/>
        <v>7.4139149132443931</v>
      </c>
      <c r="Y197" s="642" t="str">
        <f t="shared" si="7"/>
        <v/>
      </c>
      <c r="Z197" s="642" t="str">
        <f t="shared" si="8"/>
        <v/>
      </c>
    </row>
    <row r="198" spans="1:26" s="127" customFormat="1" ht="25">
      <c r="A198" s="636">
        <v>2500</v>
      </c>
      <c r="B198" s="637" t="s">
        <v>33</v>
      </c>
      <c r="C198" s="636" t="s">
        <v>2725</v>
      </c>
      <c r="D198" s="637" t="s">
        <v>111</v>
      </c>
      <c r="E198" s="637" t="s">
        <v>2084</v>
      </c>
      <c r="F198" s="636">
        <v>61130</v>
      </c>
      <c r="G198" s="637" t="s">
        <v>57</v>
      </c>
      <c r="H198" s="637" t="s">
        <v>1162</v>
      </c>
      <c r="I198" s="637" t="s">
        <v>58</v>
      </c>
      <c r="J198" s="636">
        <v>22</v>
      </c>
      <c r="K198" s="636">
        <v>2</v>
      </c>
      <c r="L198" s="637" t="s">
        <v>52</v>
      </c>
      <c r="M198" s="637" t="s">
        <v>41</v>
      </c>
      <c r="N198" s="637" t="s">
        <v>61</v>
      </c>
      <c r="O198" s="637" t="s">
        <v>61</v>
      </c>
      <c r="P198" s="637" t="s">
        <v>47</v>
      </c>
      <c r="Q198" s="638">
        <v>0</v>
      </c>
      <c r="R198" s="638">
        <v>0</v>
      </c>
      <c r="S198" s="638">
        <v>0</v>
      </c>
      <c r="T198" s="638">
        <v>0</v>
      </c>
      <c r="U198" s="638">
        <v>0</v>
      </c>
      <c r="V198" s="636">
        <v>2022</v>
      </c>
      <c r="W198" s="640" t="s">
        <v>3934</v>
      </c>
      <c r="X198" s="641" t="str">
        <f t="shared" si="6"/>
        <v/>
      </c>
      <c r="Y198" s="642" t="str">
        <f t="shared" si="7"/>
        <v/>
      </c>
      <c r="Z198" s="642" t="str">
        <f t="shared" si="8"/>
        <v/>
      </c>
    </row>
    <row r="199" spans="1:26" s="127" customFormat="1" ht="25">
      <c r="A199" s="636">
        <v>2500</v>
      </c>
      <c r="B199" s="637" t="s">
        <v>33</v>
      </c>
      <c r="C199" s="636" t="s">
        <v>2725</v>
      </c>
      <c r="D199" s="637" t="s">
        <v>111</v>
      </c>
      <c r="E199" s="637" t="s">
        <v>2084</v>
      </c>
      <c r="F199" s="636">
        <v>61130</v>
      </c>
      <c r="G199" s="637" t="s">
        <v>57</v>
      </c>
      <c r="H199" s="637" t="s">
        <v>1162</v>
      </c>
      <c r="I199" s="637" t="s">
        <v>58</v>
      </c>
      <c r="J199" s="636">
        <v>22</v>
      </c>
      <c r="K199" s="636">
        <v>2</v>
      </c>
      <c r="L199" s="637" t="s">
        <v>52</v>
      </c>
      <c r="M199" s="637" t="s">
        <v>50</v>
      </c>
      <c r="N199" s="637" t="s">
        <v>76</v>
      </c>
      <c r="O199" s="637" t="s">
        <v>67</v>
      </c>
      <c r="P199" s="637" t="s">
        <v>47</v>
      </c>
      <c r="Q199" s="638">
        <v>0</v>
      </c>
      <c r="R199" s="638">
        <v>0</v>
      </c>
      <c r="S199" s="638">
        <v>0</v>
      </c>
      <c r="T199" s="638">
        <v>0</v>
      </c>
      <c r="U199" s="638">
        <v>0</v>
      </c>
      <c r="V199" s="636">
        <v>2022</v>
      </c>
      <c r="W199" s="640" t="s">
        <v>3934</v>
      </c>
      <c r="X199" s="641" t="str">
        <f t="shared" si="6"/>
        <v/>
      </c>
      <c r="Y199" s="642" t="str">
        <f t="shared" si="7"/>
        <v/>
      </c>
      <c r="Z199" s="642" t="str">
        <f t="shared" si="8"/>
        <v/>
      </c>
    </row>
    <row r="200" spans="1:26" s="127" customFormat="1" ht="25">
      <c r="A200" s="636">
        <v>2500</v>
      </c>
      <c r="B200" s="637" t="s">
        <v>33</v>
      </c>
      <c r="C200" s="636" t="s">
        <v>2725</v>
      </c>
      <c r="D200" s="637" t="s">
        <v>111</v>
      </c>
      <c r="E200" s="637" t="s">
        <v>2084</v>
      </c>
      <c r="F200" s="636">
        <v>61130</v>
      </c>
      <c r="G200" s="637" t="s">
        <v>57</v>
      </c>
      <c r="H200" s="637" t="s">
        <v>1162</v>
      </c>
      <c r="I200" s="637" t="s">
        <v>58</v>
      </c>
      <c r="J200" s="636">
        <v>22</v>
      </c>
      <c r="K200" s="636">
        <v>2</v>
      </c>
      <c r="L200" s="637" t="s">
        <v>52</v>
      </c>
      <c r="M200" s="637" t="s">
        <v>50</v>
      </c>
      <c r="N200" s="637" t="s">
        <v>39</v>
      </c>
      <c r="O200" s="637" t="s">
        <v>39</v>
      </c>
      <c r="P200" s="637" t="s">
        <v>1020</v>
      </c>
      <c r="Q200" s="638">
        <v>63781</v>
      </c>
      <c r="R200" s="638">
        <v>63781</v>
      </c>
      <c r="S200" s="638">
        <v>65694</v>
      </c>
      <c r="T200" s="638">
        <v>65694</v>
      </c>
      <c r="U200" s="638">
        <v>4084</v>
      </c>
      <c r="V200" s="636">
        <v>2022</v>
      </c>
      <c r="W200" s="640" t="s">
        <v>3934</v>
      </c>
      <c r="X200" s="641">
        <f t="shared" ref="X200:X263" si="9">IF(OR(K200&gt;3,T200=0,NOT(U200&gt;0)),"",T200/U200)</f>
        <v>16.085700293829579</v>
      </c>
      <c r="Y200" s="642" t="str">
        <f t="shared" ref="Y200:Y263" si="10">IF(AND($M200=$Y$2,$N200=$Y$3,NOT($Q200=$R200),NOT($U200=0)),IF($K200=5,$S200/($U200+(8/5)*$U200),IF($K200=7,$S200/($U200+(29/25)*$U200),"")),"")</f>
        <v/>
      </c>
      <c r="Z200" s="642" t="str">
        <f t="shared" si="8"/>
        <v/>
      </c>
    </row>
    <row r="201" spans="1:26" s="127" customFormat="1" ht="25">
      <c r="A201" s="636">
        <v>2500</v>
      </c>
      <c r="B201" s="637" t="s">
        <v>33</v>
      </c>
      <c r="C201" s="636" t="s">
        <v>2725</v>
      </c>
      <c r="D201" s="637" t="s">
        <v>111</v>
      </c>
      <c r="E201" s="637" t="s">
        <v>2084</v>
      </c>
      <c r="F201" s="636">
        <v>61130</v>
      </c>
      <c r="G201" s="637" t="s">
        <v>57</v>
      </c>
      <c r="H201" s="637" t="s">
        <v>1162</v>
      </c>
      <c r="I201" s="637" t="s">
        <v>58</v>
      </c>
      <c r="J201" s="636">
        <v>22</v>
      </c>
      <c r="K201" s="636">
        <v>2</v>
      </c>
      <c r="L201" s="637" t="s">
        <v>52</v>
      </c>
      <c r="M201" s="637" t="s">
        <v>42</v>
      </c>
      <c r="N201" s="637" t="s">
        <v>46</v>
      </c>
      <c r="O201" s="637" t="s">
        <v>46</v>
      </c>
      <c r="P201" s="637" t="s">
        <v>47</v>
      </c>
      <c r="Q201" s="638">
        <v>25315</v>
      </c>
      <c r="R201" s="638">
        <v>25315</v>
      </c>
      <c r="S201" s="638">
        <v>148839</v>
      </c>
      <c r="T201" s="638">
        <v>148839</v>
      </c>
      <c r="U201" s="638">
        <v>9668.69</v>
      </c>
      <c r="V201" s="636">
        <v>2022</v>
      </c>
      <c r="W201" s="640" t="s">
        <v>3934</v>
      </c>
      <c r="X201" s="641">
        <f t="shared" si="9"/>
        <v>15.393915825204861</v>
      </c>
      <c r="Y201" s="642" t="str">
        <f t="shared" si="10"/>
        <v/>
      </c>
      <c r="Z201" s="642" t="str">
        <f t="shared" si="8"/>
        <v/>
      </c>
    </row>
    <row r="202" spans="1:26" s="127" customFormat="1" ht="25">
      <c r="A202" s="636">
        <v>2500</v>
      </c>
      <c r="B202" s="637" t="s">
        <v>33</v>
      </c>
      <c r="C202" s="636" t="s">
        <v>2725</v>
      </c>
      <c r="D202" s="637" t="s">
        <v>111</v>
      </c>
      <c r="E202" s="637" t="s">
        <v>2084</v>
      </c>
      <c r="F202" s="636">
        <v>61130</v>
      </c>
      <c r="G202" s="637" t="s">
        <v>57</v>
      </c>
      <c r="H202" s="637" t="s">
        <v>1162</v>
      </c>
      <c r="I202" s="637" t="s">
        <v>58</v>
      </c>
      <c r="J202" s="636">
        <v>22</v>
      </c>
      <c r="K202" s="636">
        <v>2</v>
      </c>
      <c r="L202" s="637" t="s">
        <v>52</v>
      </c>
      <c r="M202" s="637" t="s">
        <v>42</v>
      </c>
      <c r="N202" s="637" t="s">
        <v>39</v>
      </c>
      <c r="O202" s="637" t="s">
        <v>39</v>
      </c>
      <c r="P202" s="637" t="s">
        <v>1020</v>
      </c>
      <c r="Q202" s="638">
        <v>5645517</v>
      </c>
      <c r="R202" s="638">
        <v>5645517</v>
      </c>
      <c r="S202" s="638">
        <v>5814884</v>
      </c>
      <c r="T202" s="638">
        <v>5814884</v>
      </c>
      <c r="U202" s="638">
        <v>465622.31</v>
      </c>
      <c r="V202" s="636">
        <v>2022</v>
      </c>
      <c r="W202" s="640" t="s">
        <v>3934</v>
      </c>
      <c r="X202" s="641">
        <f t="shared" si="9"/>
        <v>12.488413624338577</v>
      </c>
      <c r="Y202" s="642" t="str">
        <f t="shared" si="10"/>
        <v/>
      </c>
      <c r="Z202" s="642" t="str">
        <f t="shared" si="8"/>
        <v/>
      </c>
    </row>
    <row r="203" spans="1:26" s="127" customFormat="1" ht="25">
      <c r="A203" s="636">
        <v>2500</v>
      </c>
      <c r="B203" s="637" t="s">
        <v>33</v>
      </c>
      <c r="C203" s="636" t="s">
        <v>2725</v>
      </c>
      <c r="D203" s="637" t="s">
        <v>111</v>
      </c>
      <c r="E203" s="637" t="s">
        <v>2084</v>
      </c>
      <c r="F203" s="636">
        <v>61130</v>
      </c>
      <c r="G203" s="637" t="s">
        <v>57</v>
      </c>
      <c r="H203" s="637" t="s">
        <v>1162</v>
      </c>
      <c r="I203" s="637" t="s">
        <v>58</v>
      </c>
      <c r="J203" s="636">
        <v>22</v>
      </c>
      <c r="K203" s="636">
        <v>2</v>
      </c>
      <c r="L203" s="637" t="s">
        <v>52</v>
      </c>
      <c r="M203" s="637" t="s">
        <v>42</v>
      </c>
      <c r="N203" s="637" t="s">
        <v>61</v>
      </c>
      <c r="O203" s="637" t="s">
        <v>61</v>
      </c>
      <c r="P203" s="637" t="s">
        <v>47</v>
      </c>
      <c r="Q203" s="638">
        <v>0</v>
      </c>
      <c r="R203" s="638">
        <v>0</v>
      </c>
      <c r="S203" s="638">
        <v>0</v>
      </c>
      <c r="T203" s="638">
        <v>0</v>
      </c>
      <c r="U203" s="638">
        <v>0</v>
      </c>
      <c r="V203" s="636">
        <v>2022</v>
      </c>
      <c r="W203" s="640" t="s">
        <v>3934</v>
      </c>
      <c r="X203" s="641" t="str">
        <f t="shared" si="9"/>
        <v/>
      </c>
      <c r="Y203" s="642" t="str">
        <f t="shared" si="10"/>
        <v/>
      </c>
      <c r="Z203" s="642" t="str">
        <f t="shared" si="8"/>
        <v/>
      </c>
    </row>
    <row r="204" spans="1:26" s="127" customFormat="1" ht="25">
      <c r="A204" s="636">
        <v>2503</v>
      </c>
      <c r="B204" s="637" t="s">
        <v>33</v>
      </c>
      <c r="C204" s="636" t="s">
        <v>2725</v>
      </c>
      <c r="D204" s="637" t="s">
        <v>617</v>
      </c>
      <c r="E204" s="637" t="s">
        <v>107</v>
      </c>
      <c r="F204" s="636">
        <v>4226</v>
      </c>
      <c r="G204" s="637" t="s">
        <v>57</v>
      </c>
      <c r="H204" s="637" t="s">
        <v>1162</v>
      </c>
      <c r="I204" s="637" t="s">
        <v>58</v>
      </c>
      <c r="J204" s="636">
        <v>22</v>
      </c>
      <c r="K204" s="636">
        <v>1</v>
      </c>
      <c r="L204" s="637" t="s">
        <v>34</v>
      </c>
      <c r="M204" s="637" t="s">
        <v>50</v>
      </c>
      <c r="N204" s="637" t="s">
        <v>76</v>
      </c>
      <c r="O204" s="637" t="s">
        <v>67</v>
      </c>
      <c r="P204" s="637" t="s">
        <v>47</v>
      </c>
      <c r="Q204" s="638">
        <v>0</v>
      </c>
      <c r="R204" s="638">
        <v>0</v>
      </c>
      <c r="S204" s="638">
        <v>0</v>
      </c>
      <c r="T204" s="638">
        <v>0</v>
      </c>
      <c r="U204" s="638">
        <v>0</v>
      </c>
      <c r="V204" s="636">
        <v>2022</v>
      </c>
      <c r="W204" s="640"/>
      <c r="X204" s="641" t="str">
        <f t="shared" si="9"/>
        <v/>
      </c>
      <c r="Y204" s="642" t="str">
        <f t="shared" si="10"/>
        <v/>
      </c>
      <c r="Z204" s="642" t="str">
        <f t="shared" si="8"/>
        <v/>
      </c>
    </row>
    <row r="205" spans="1:26" s="127" customFormat="1" ht="25">
      <c r="A205" s="636">
        <v>2503</v>
      </c>
      <c r="B205" s="637" t="s">
        <v>33</v>
      </c>
      <c r="C205" s="636" t="s">
        <v>2725</v>
      </c>
      <c r="D205" s="637" t="s">
        <v>617</v>
      </c>
      <c r="E205" s="637" t="s">
        <v>107</v>
      </c>
      <c r="F205" s="636">
        <v>4226</v>
      </c>
      <c r="G205" s="637" t="s">
        <v>57</v>
      </c>
      <c r="H205" s="637" t="s">
        <v>1162</v>
      </c>
      <c r="I205" s="637" t="s">
        <v>58</v>
      </c>
      <c r="J205" s="636">
        <v>22</v>
      </c>
      <c r="K205" s="636">
        <v>1</v>
      </c>
      <c r="L205" s="637" t="s">
        <v>34</v>
      </c>
      <c r="M205" s="637" t="s">
        <v>50</v>
      </c>
      <c r="N205" s="637" t="s">
        <v>39</v>
      </c>
      <c r="O205" s="637" t="s">
        <v>39</v>
      </c>
      <c r="P205" s="637" t="s">
        <v>1020</v>
      </c>
      <c r="Q205" s="638">
        <v>5282</v>
      </c>
      <c r="R205" s="638">
        <v>5282</v>
      </c>
      <c r="S205" s="638">
        <v>5282</v>
      </c>
      <c r="T205" s="638">
        <v>5282</v>
      </c>
      <c r="U205" s="638">
        <v>230</v>
      </c>
      <c r="V205" s="636">
        <v>2022</v>
      </c>
      <c r="W205" s="640"/>
      <c r="X205" s="641">
        <f t="shared" si="9"/>
        <v>22.965217391304346</v>
      </c>
      <c r="Y205" s="642" t="str">
        <f t="shared" si="10"/>
        <v/>
      </c>
      <c r="Z205" s="642" t="str">
        <f t="shared" si="8"/>
        <v/>
      </c>
    </row>
    <row r="206" spans="1:26" s="127" customFormat="1" ht="25">
      <c r="A206" s="636">
        <v>2504</v>
      </c>
      <c r="B206" s="637" t="s">
        <v>33</v>
      </c>
      <c r="C206" s="636" t="s">
        <v>2725</v>
      </c>
      <c r="D206" s="637" t="s">
        <v>112</v>
      </c>
      <c r="E206" s="637" t="s">
        <v>107</v>
      </c>
      <c r="F206" s="636">
        <v>4226</v>
      </c>
      <c r="G206" s="637" t="s">
        <v>57</v>
      </c>
      <c r="H206" s="637" t="s">
        <v>1162</v>
      </c>
      <c r="I206" s="637" t="s">
        <v>58</v>
      </c>
      <c r="J206" s="636">
        <v>22</v>
      </c>
      <c r="K206" s="636">
        <v>1</v>
      </c>
      <c r="L206" s="637" t="s">
        <v>34</v>
      </c>
      <c r="M206" s="637" t="s">
        <v>50</v>
      </c>
      <c r="N206" s="637" t="s">
        <v>76</v>
      </c>
      <c r="O206" s="637" t="s">
        <v>67</v>
      </c>
      <c r="P206" s="637" t="s">
        <v>47</v>
      </c>
      <c r="Q206" s="638">
        <v>660</v>
      </c>
      <c r="R206" s="638">
        <v>660</v>
      </c>
      <c r="S206" s="638">
        <v>3716</v>
      </c>
      <c r="T206" s="638">
        <v>3716</v>
      </c>
      <c r="U206" s="638">
        <v>203</v>
      </c>
      <c r="V206" s="636">
        <v>2022</v>
      </c>
      <c r="W206" s="640" t="s">
        <v>3934</v>
      </c>
      <c r="X206" s="641">
        <f t="shared" si="9"/>
        <v>18.305418719211822</v>
      </c>
      <c r="Y206" s="642" t="str">
        <f t="shared" si="10"/>
        <v/>
      </c>
      <c r="Z206" s="642" t="str">
        <f t="shared" si="8"/>
        <v/>
      </c>
    </row>
    <row r="207" spans="1:26" s="127" customFormat="1" ht="25">
      <c r="A207" s="636">
        <v>2511</v>
      </c>
      <c r="B207" s="637" t="s">
        <v>33</v>
      </c>
      <c r="C207" s="636" t="s">
        <v>2725</v>
      </c>
      <c r="D207" s="637" t="s">
        <v>113</v>
      </c>
      <c r="E207" s="637" t="s">
        <v>618</v>
      </c>
      <c r="F207" s="636">
        <v>56505</v>
      </c>
      <c r="G207" s="637" t="s">
        <v>57</v>
      </c>
      <c r="H207" s="637" t="s">
        <v>1162</v>
      </c>
      <c r="I207" s="637" t="s">
        <v>58</v>
      </c>
      <c r="J207" s="636">
        <v>22</v>
      </c>
      <c r="K207" s="636">
        <v>1</v>
      </c>
      <c r="L207" s="637" t="s">
        <v>34</v>
      </c>
      <c r="M207" s="637" t="s">
        <v>50</v>
      </c>
      <c r="N207" s="637" t="s">
        <v>46</v>
      </c>
      <c r="O207" s="637" t="s">
        <v>46</v>
      </c>
      <c r="P207" s="637" t="s">
        <v>47</v>
      </c>
      <c r="Q207" s="638">
        <v>9395</v>
      </c>
      <c r="R207" s="638">
        <v>9395</v>
      </c>
      <c r="S207" s="638">
        <v>53440</v>
      </c>
      <c r="T207" s="638">
        <v>53440</v>
      </c>
      <c r="U207" s="638">
        <v>3218.634</v>
      </c>
      <c r="V207" s="636">
        <v>2022</v>
      </c>
      <c r="W207" s="640" t="s">
        <v>3934</v>
      </c>
      <c r="X207" s="641">
        <f t="shared" si="9"/>
        <v>16.603316810796134</v>
      </c>
      <c r="Y207" s="642" t="str">
        <f t="shared" si="10"/>
        <v/>
      </c>
      <c r="Z207" s="642" t="str">
        <f t="shared" si="8"/>
        <v/>
      </c>
    </row>
    <row r="208" spans="1:26" s="127" customFormat="1" ht="25">
      <c r="A208" s="636">
        <v>2511</v>
      </c>
      <c r="B208" s="637" t="s">
        <v>33</v>
      </c>
      <c r="C208" s="636" t="s">
        <v>2725</v>
      </c>
      <c r="D208" s="637" t="s">
        <v>113</v>
      </c>
      <c r="E208" s="637" t="s">
        <v>618</v>
      </c>
      <c r="F208" s="636">
        <v>56505</v>
      </c>
      <c r="G208" s="637" t="s">
        <v>57</v>
      </c>
      <c r="H208" s="637" t="s">
        <v>1162</v>
      </c>
      <c r="I208" s="637" t="s">
        <v>58</v>
      </c>
      <c r="J208" s="636">
        <v>22</v>
      </c>
      <c r="K208" s="636">
        <v>1</v>
      </c>
      <c r="L208" s="637" t="s">
        <v>34</v>
      </c>
      <c r="M208" s="637" t="s">
        <v>50</v>
      </c>
      <c r="N208" s="637" t="s">
        <v>39</v>
      </c>
      <c r="O208" s="637" t="s">
        <v>39</v>
      </c>
      <c r="P208" s="637" t="s">
        <v>1020</v>
      </c>
      <c r="Q208" s="638">
        <v>2652161</v>
      </c>
      <c r="R208" s="638">
        <v>2652161</v>
      </c>
      <c r="S208" s="638">
        <v>2731725</v>
      </c>
      <c r="T208" s="638">
        <v>2731725</v>
      </c>
      <c r="U208" s="638">
        <v>167256.37</v>
      </c>
      <c r="V208" s="636">
        <v>2022</v>
      </c>
      <c r="W208" s="640" t="s">
        <v>3934</v>
      </c>
      <c r="X208" s="641">
        <f t="shared" si="9"/>
        <v>16.332561803176766</v>
      </c>
      <c r="Y208" s="642" t="str">
        <f t="shared" si="10"/>
        <v/>
      </c>
      <c r="Z208" s="642" t="str">
        <f t="shared" ref="Z208:Z271" si="11">IF(AND($M208=$Y$2,$N208=$Y$4,NOT($Q208=$R208),NOT($U208=0)),IF($K208=5,$S208/($U208+(8/5)*$U208),IF($K208=7,$S208/($U208+(29/25)*$U208),"")),"")</f>
        <v/>
      </c>
    </row>
    <row r="209" spans="1:26" s="127" customFormat="1" ht="25">
      <c r="A209" s="636">
        <v>2511</v>
      </c>
      <c r="B209" s="637" t="s">
        <v>33</v>
      </c>
      <c r="C209" s="636" t="s">
        <v>2725</v>
      </c>
      <c r="D209" s="637" t="s">
        <v>113</v>
      </c>
      <c r="E209" s="637" t="s">
        <v>618</v>
      </c>
      <c r="F209" s="636">
        <v>56505</v>
      </c>
      <c r="G209" s="637" t="s">
        <v>57</v>
      </c>
      <c r="H209" s="637" t="s">
        <v>1162</v>
      </c>
      <c r="I209" s="637" t="s">
        <v>58</v>
      </c>
      <c r="J209" s="636">
        <v>22</v>
      </c>
      <c r="K209" s="636">
        <v>1</v>
      </c>
      <c r="L209" s="637" t="s">
        <v>34</v>
      </c>
      <c r="M209" s="637" t="s">
        <v>42</v>
      </c>
      <c r="N209" s="637" t="s">
        <v>39</v>
      </c>
      <c r="O209" s="637" t="s">
        <v>39</v>
      </c>
      <c r="P209" s="637" t="s">
        <v>1020</v>
      </c>
      <c r="Q209" s="638">
        <v>12632739</v>
      </c>
      <c r="R209" s="638">
        <v>12632739</v>
      </c>
      <c r="S209" s="638">
        <v>13001380</v>
      </c>
      <c r="T209" s="638">
        <v>13001380</v>
      </c>
      <c r="U209" s="638">
        <v>1178888.8</v>
      </c>
      <c r="V209" s="636">
        <v>2022</v>
      </c>
      <c r="W209" s="640" t="s">
        <v>3934</v>
      </c>
      <c r="X209" s="641">
        <f t="shared" si="9"/>
        <v>11.028504130330189</v>
      </c>
      <c r="Y209" s="642" t="str">
        <f t="shared" si="10"/>
        <v/>
      </c>
      <c r="Z209" s="642" t="str">
        <f t="shared" si="11"/>
        <v/>
      </c>
    </row>
    <row r="210" spans="1:26" s="127" customFormat="1" ht="25">
      <c r="A210" s="636">
        <v>2511</v>
      </c>
      <c r="B210" s="637" t="s">
        <v>33</v>
      </c>
      <c r="C210" s="636" t="s">
        <v>2725</v>
      </c>
      <c r="D210" s="637" t="s">
        <v>113</v>
      </c>
      <c r="E210" s="637" t="s">
        <v>618</v>
      </c>
      <c r="F210" s="636">
        <v>56505</v>
      </c>
      <c r="G210" s="637" t="s">
        <v>57</v>
      </c>
      <c r="H210" s="637" t="s">
        <v>1162</v>
      </c>
      <c r="I210" s="637" t="s">
        <v>58</v>
      </c>
      <c r="J210" s="636">
        <v>22</v>
      </c>
      <c r="K210" s="636">
        <v>1</v>
      </c>
      <c r="L210" s="637" t="s">
        <v>34</v>
      </c>
      <c r="M210" s="637" t="s">
        <v>42</v>
      </c>
      <c r="N210" s="637" t="s">
        <v>61</v>
      </c>
      <c r="O210" s="637" t="s">
        <v>61</v>
      </c>
      <c r="P210" s="637" t="s">
        <v>47</v>
      </c>
      <c r="Q210" s="638">
        <v>37028</v>
      </c>
      <c r="R210" s="638">
        <v>37028</v>
      </c>
      <c r="S210" s="638">
        <v>235373</v>
      </c>
      <c r="T210" s="638">
        <v>235373</v>
      </c>
      <c r="U210" s="638">
        <v>21461.216</v>
      </c>
      <c r="V210" s="636">
        <v>2022</v>
      </c>
      <c r="W210" s="640" t="s">
        <v>3934</v>
      </c>
      <c r="X210" s="641">
        <f t="shared" si="9"/>
        <v>10.967365502495293</v>
      </c>
      <c r="Y210" s="642" t="str">
        <f t="shared" si="10"/>
        <v/>
      </c>
      <c r="Z210" s="642" t="str">
        <f t="shared" si="11"/>
        <v/>
      </c>
    </row>
    <row r="211" spans="1:26" s="127" customFormat="1" ht="25">
      <c r="A211" s="636">
        <v>2512</v>
      </c>
      <c r="B211" s="637" t="s">
        <v>33</v>
      </c>
      <c r="C211" s="636" t="s">
        <v>2725</v>
      </c>
      <c r="D211" s="637" t="s">
        <v>619</v>
      </c>
      <c r="E211" s="637" t="s">
        <v>618</v>
      </c>
      <c r="F211" s="636">
        <v>56505</v>
      </c>
      <c r="G211" s="637" t="s">
        <v>57</v>
      </c>
      <c r="H211" s="637" t="s">
        <v>1162</v>
      </c>
      <c r="I211" s="637" t="s">
        <v>58</v>
      </c>
      <c r="J211" s="636">
        <v>22</v>
      </c>
      <c r="K211" s="636">
        <v>1</v>
      </c>
      <c r="L211" s="637" t="s">
        <v>34</v>
      </c>
      <c r="M211" s="637" t="s">
        <v>50</v>
      </c>
      <c r="N211" s="637" t="s">
        <v>46</v>
      </c>
      <c r="O211" s="637" t="s">
        <v>46</v>
      </c>
      <c r="P211" s="637" t="s">
        <v>47</v>
      </c>
      <c r="Q211" s="638">
        <v>31059</v>
      </c>
      <c r="R211" s="638">
        <v>31059</v>
      </c>
      <c r="S211" s="638">
        <v>176819</v>
      </c>
      <c r="T211" s="638">
        <v>176819</v>
      </c>
      <c r="U211" s="638">
        <v>12654</v>
      </c>
      <c r="V211" s="636">
        <v>2022</v>
      </c>
      <c r="W211" s="640"/>
      <c r="X211" s="641">
        <f t="shared" si="9"/>
        <v>13.973368104947053</v>
      </c>
      <c r="Y211" s="642" t="str">
        <f t="shared" si="10"/>
        <v/>
      </c>
      <c r="Z211" s="642" t="str">
        <f t="shared" si="11"/>
        <v/>
      </c>
    </row>
    <row r="212" spans="1:26" s="127" customFormat="1" ht="25">
      <c r="A212" s="636">
        <v>2512</v>
      </c>
      <c r="B212" s="637" t="s">
        <v>33</v>
      </c>
      <c r="C212" s="636" t="s">
        <v>2725</v>
      </c>
      <c r="D212" s="637" t="s">
        <v>619</v>
      </c>
      <c r="E212" s="637" t="s">
        <v>618</v>
      </c>
      <c r="F212" s="636">
        <v>56505</v>
      </c>
      <c r="G212" s="637" t="s">
        <v>57</v>
      </c>
      <c r="H212" s="637" t="s">
        <v>1162</v>
      </c>
      <c r="I212" s="637" t="s">
        <v>58</v>
      </c>
      <c r="J212" s="636">
        <v>22</v>
      </c>
      <c r="K212" s="636">
        <v>1</v>
      </c>
      <c r="L212" s="637" t="s">
        <v>34</v>
      </c>
      <c r="M212" s="637" t="s">
        <v>51</v>
      </c>
      <c r="N212" s="637" t="s">
        <v>46</v>
      </c>
      <c r="O212" s="637" t="s">
        <v>46</v>
      </c>
      <c r="P212" s="637" t="s">
        <v>47</v>
      </c>
      <c r="Q212" s="638">
        <v>4068</v>
      </c>
      <c r="R212" s="638">
        <v>4068</v>
      </c>
      <c r="S212" s="638">
        <v>23175</v>
      </c>
      <c r="T212" s="638">
        <v>23175</v>
      </c>
      <c r="U212" s="638">
        <v>2159</v>
      </c>
      <c r="V212" s="636">
        <v>2022</v>
      </c>
      <c r="W212" s="640"/>
      <c r="X212" s="641">
        <f t="shared" si="9"/>
        <v>10.734136174154701</v>
      </c>
      <c r="Y212" s="642" t="str">
        <f t="shared" si="10"/>
        <v/>
      </c>
      <c r="Z212" s="642" t="str">
        <f t="shared" si="11"/>
        <v/>
      </c>
    </row>
    <row r="213" spans="1:26" s="127" customFormat="1" ht="25">
      <c r="A213" s="636">
        <v>2514</v>
      </c>
      <c r="B213" s="637" t="s">
        <v>33</v>
      </c>
      <c r="C213" s="636" t="s">
        <v>2725</v>
      </c>
      <c r="D213" s="637" t="s">
        <v>114</v>
      </c>
      <c r="E213" s="637" t="s">
        <v>618</v>
      </c>
      <c r="F213" s="636">
        <v>56505</v>
      </c>
      <c r="G213" s="637" t="s">
        <v>57</v>
      </c>
      <c r="H213" s="637" t="s">
        <v>1162</v>
      </c>
      <c r="I213" s="637" t="s">
        <v>58</v>
      </c>
      <c r="J213" s="636">
        <v>22</v>
      </c>
      <c r="K213" s="636">
        <v>1</v>
      </c>
      <c r="L213" s="637" t="s">
        <v>34</v>
      </c>
      <c r="M213" s="637" t="s">
        <v>50</v>
      </c>
      <c r="N213" s="637" t="s">
        <v>46</v>
      </c>
      <c r="O213" s="637" t="s">
        <v>46</v>
      </c>
      <c r="P213" s="637" t="s">
        <v>47</v>
      </c>
      <c r="Q213" s="638">
        <v>7723</v>
      </c>
      <c r="R213" s="638">
        <v>7723</v>
      </c>
      <c r="S213" s="638">
        <v>43959</v>
      </c>
      <c r="T213" s="638">
        <v>43959</v>
      </c>
      <c r="U213" s="638">
        <v>2544.0010000000002</v>
      </c>
      <c r="V213" s="636">
        <v>2022</v>
      </c>
      <c r="W213" s="640" t="s">
        <v>3934</v>
      </c>
      <c r="X213" s="641">
        <f t="shared" si="9"/>
        <v>17.279474339829267</v>
      </c>
      <c r="Y213" s="642" t="str">
        <f t="shared" si="10"/>
        <v/>
      </c>
      <c r="Z213" s="642" t="str">
        <f t="shared" si="11"/>
        <v/>
      </c>
    </row>
    <row r="214" spans="1:26" s="127" customFormat="1" ht="25">
      <c r="A214" s="636">
        <v>2514</v>
      </c>
      <c r="B214" s="637" t="s">
        <v>33</v>
      </c>
      <c r="C214" s="636" t="s">
        <v>2725</v>
      </c>
      <c r="D214" s="637" t="s">
        <v>114</v>
      </c>
      <c r="E214" s="637" t="s">
        <v>618</v>
      </c>
      <c r="F214" s="636">
        <v>56505</v>
      </c>
      <c r="G214" s="637" t="s">
        <v>57</v>
      </c>
      <c r="H214" s="637" t="s">
        <v>1162</v>
      </c>
      <c r="I214" s="637" t="s">
        <v>58</v>
      </c>
      <c r="J214" s="636">
        <v>22</v>
      </c>
      <c r="K214" s="636">
        <v>1</v>
      </c>
      <c r="L214" s="637" t="s">
        <v>34</v>
      </c>
      <c r="M214" s="637" t="s">
        <v>50</v>
      </c>
      <c r="N214" s="637" t="s">
        <v>39</v>
      </c>
      <c r="O214" s="637" t="s">
        <v>39</v>
      </c>
      <c r="P214" s="637" t="s">
        <v>1020</v>
      </c>
      <c r="Q214" s="638">
        <v>0</v>
      </c>
      <c r="R214" s="638">
        <v>0</v>
      </c>
      <c r="S214" s="638">
        <v>0</v>
      </c>
      <c r="T214" s="638">
        <v>0</v>
      </c>
      <c r="U214" s="638">
        <v>0</v>
      </c>
      <c r="V214" s="636">
        <v>2022</v>
      </c>
      <c r="W214" s="640" t="s">
        <v>3934</v>
      </c>
      <c r="X214" s="641" t="str">
        <f t="shared" si="9"/>
        <v/>
      </c>
      <c r="Y214" s="642" t="str">
        <f t="shared" si="10"/>
        <v/>
      </c>
      <c r="Z214" s="642" t="str">
        <f t="shared" si="11"/>
        <v/>
      </c>
    </row>
    <row r="215" spans="1:26" s="127" customFormat="1" ht="25">
      <c r="A215" s="636">
        <v>2516</v>
      </c>
      <c r="B215" s="637" t="s">
        <v>33</v>
      </c>
      <c r="C215" s="636" t="s">
        <v>2725</v>
      </c>
      <c r="D215" s="637" t="s">
        <v>115</v>
      </c>
      <c r="E215" s="637" t="s">
        <v>618</v>
      </c>
      <c r="F215" s="636">
        <v>56505</v>
      </c>
      <c r="G215" s="637" t="s">
        <v>57</v>
      </c>
      <c r="H215" s="637" t="s">
        <v>1162</v>
      </c>
      <c r="I215" s="637" t="s">
        <v>58</v>
      </c>
      <c r="J215" s="636">
        <v>22</v>
      </c>
      <c r="K215" s="636">
        <v>1</v>
      </c>
      <c r="L215" s="637" t="s">
        <v>34</v>
      </c>
      <c r="M215" s="637" t="s">
        <v>50</v>
      </c>
      <c r="N215" s="637" t="s">
        <v>46</v>
      </c>
      <c r="O215" s="637" t="s">
        <v>46</v>
      </c>
      <c r="P215" s="637" t="s">
        <v>47</v>
      </c>
      <c r="Q215" s="638">
        <v>436</v>
      </c>
      <c r="R215" s="638">
        <v>436</v>
      </c>
      <c r="S215" s="638">
        <v>2494</v>
      </c>
      <c r="T215" s="638">
        <v>2494</v>
      </c>
      <c r="U215" s="638">
        <v>-32</v>
      </c>
      <c r="V215" s="636">
        <v>2022</v>
      </c>
      <c r="W215" s="640" t="s">
        <v>3934</v>
      </c>
      <c r="X215" s="641" t="str">
        <f t="shared" si="9"/>
        <v/>
      </c>
      <c r="Y215" s="642" t="str">
        <f t="shared" si="10"/>
        <v/>
      </c>
      <c r="Z215" s="642" t="str">
        <f t="shared" si="11"/>
        <v/>
      </c>
    </row>
    <row r="216" spans="1:26" s="127" customFormat="1" ht="25">
      <c r="A216" s="636">
        <v>2516</v>
      </c>
      <c r="B216" s="637" t="s">
        <v>33</v>
      </c>
      <c r="C216" s="636" t="s">
        <v>2725</v>
      </c>
      <c r="D216" s="637" t="s">
        <v>115</v>
      </c>
      <c r="E216" s="637" t="s">
        <v>618</v>
      </c>
      <c r="F216" s="636">
        <v>56505</v>
      </c>
      <c r="G216" s="637" t="s">
        <v>57</v>
      </c>
      <c r="H216" s="637" t="s">
        <v>1162</v>
      </c>
      <c r="I216" s="637" t="s">
        <v>58</v>
      </c>
      <c r="J216" s="636">
        <v>22</v>
      </c>
      <c r="K216" s="636">
        <v>1</v>
      </c>
      <c r="L216" s="637" t="s">
        <v>34</v>
      </c>
      <c r="M216" s="637" t="s">
        <v>42</v>
      </c>
      <c r="N216" s="637" t="s">
        <v>39</v>
      </c>
      <c r="O216" s="637" t="s">
        <v>39</v>
      </c>
      <c r="P216" s="637" t="s">
        <v>1020</v>
      </c>
      <c r="Q216" s="638">
        <v>26584342</v>
      </c>
      <c r="R216" s="638">
        <v>26584342</v>
      </c>
      <c r="S216" s="638">
        <v>27420426</v>
      </c>
      <c r="T216" s="638">
        <v>27420426</v>
      </c>
      <c r="U216" s="638">
        <v>2542943.5</v>
      </c>
      <c r="V216" s="636">
        <v>2022</v>
      </c>
      <c r="W216" s="640" t="s">
        <v>3934</v>
      </c>
      <c r="X216" s="641">
        <f t="shared" si="9"/>
        <v>10.782947399342534</v>
      </c>
      <c r="Y216" s="642" t="str">
        <f t="shared" si="10"/>
        <v/>
      </c>
      <c r="Z216" s="642" t="str">
        <f t="shared" si="11"/>
        <v/>
      </c>
    </row>
    <row r="217" spans="1:26" s="127" customFormat="1" ht="25">
      <c r="A217" s="636">
        <v>2516</v>
      </c>
      <c r="B217" s="637" t="s">
        <v>33</v>
      </c>
      <c r="C217" s="636" t="s">
        <v>2725</v>
      </c>
      <c r="D217" s="637" t="s">
        <v>115</v>
      </c>
      <c r="E217" s="637" t="s">
        <v>618</v>
      </c>
      <c r="F217" s="636">
        <v>56505</v>
      </c>
      <c r="G217" s="637" t="s">
        <v>57</v>
      </c>
      <c r="H217" s="637" t="s">
        <v>1162</v>
      </c>
      <c r="I217" s="637" t="s">
        <v>58</v>
      </c>
      <c r="J217" s="636">
        <v>22</v>
      </c>
      <c r="K217" s="636">
        <v>1</v>
      </c>
      <c r="L217" s="637" t="s">
        <v>34</v>
      </c>
      <c r="M217" s="637" t="s">
        <v>42</v>
      </c>
      <c r="N217" s="637" t="s">
        <v>61</v>
      </c>
      <c r="O217" s="637" t="s">
        <v>61</v>
      </c>
      <c r="P217" s="637" t="s">
        <v>47</v>
      </c>
      <c r="Q217" s="638">
        <v>602467</v>
      </c>
      <c r="R217" s="638">
        <v>602467</v>
      </c>
      <c r="S217" s="638">
        <v>3809341</v>
      </c>
      <c r="T217" s="638">
        <v>3809341</v>
      </c>
      <c r="U217" s="638">
        <v>357065.46</v>
      </c>
      <c r="V217" s="636">
        <v>2022</v>
      </c>
      <c r="W217" s="640" t="s">
        <v>3934</v>
      </c>
      <c r="X217" s="641">
        <f t="shared" si="9"/>
        <v>10.668466784773861</v>
      </c>
      <c r="Y217" s="642" t="str">
        <f t="shared" si="10"/>
        <v/>
      </c>
      <c r="Z217" s="642" t="str">
        <f t="shared" si="11"/>
        <v/>
      </c>
    </row>
    <row r="218" spans="1:26" s="127" customFormat="1" ht="25">
      <c r="A218" s="636">
        <v>2517</v>
      </c>
      <c r="B218" s="637" t="s">
        <v>33</v>
      </c>
      <c r="C218" s="636" t="s">
        <v>2725</v>
      </c>
      <c r="D218" s="637" t="s">
        <v>116</v>
      </c>
      <c r="E218" s="637" t="s">
        <v>618</v>
      </c>
      <c r="F218" s="636">
        <v>56505</v>
      </c>
      <c r="G218" s="637" t="s">
        <v>57</v>
      </c>
      <c r="H218" s="637" t="s">
        <v>1162</v>
      </c>
      <c r="I218" s="637" t="s">
        <v>58</v>
      </c>
      <c r="J218" s="636">
        <v>22</v>
      </c>
      <c r="K218" s="636">
        <v>1</v>
      </c>
      <c r="L218" s="637" t="s">
        <v>34</v>
      </c>
      <c r="M218" s="637" t="s">
        <v>50</v>
      </c>
      <c r="N218" s="637" t="s">
        <v>46</v>
      </c>
      <c r="O218" s="637" t="s">
        <v>46</v>
      </c>
      <c r="P218" s="637" t="s">
        <v>47</v>
      </c>
      <c r="Q218" s="638">
        <v>0</v>
      </c>
      <c r="R218" s="638">
        <v>0</v>
      </c>
      <c r="S218" s="638">
        <v>0</v>
      </c>
      <c r="T218" s="638">
        <v>0</v>
      </c>
      <c r="U218" s="638">
        <v>0</v>
      </c>
      <c r="V218" s="636">
        <v>2022</v>
      </c>
      <c r="W218" s="640" t="s">
        <v>3934</v>
      </c>
      <c r="X218" s="641" t="str">
        <f t="shared" si="9"/>
        <v/>
      </c>
      <c r="Y218" s="642" t="str">
        <f t="shared" si="10"/>
        <v/>
      </c>
      <c r="Z218" s="642" t="str">
        <f t="shared" si="11"/>
        <v/>
      </c>
    </row>
    <row r="219" spans="1:26" s="127" customFormat="1" ht="25">
      <c r="A219" s="636">
        <v>2517</v>
      </c>
      <c r="B219" s="637" t="s">
        <v>33</v>
      </c>
      <c r="C219" s="636" t="s">
        <v>2725</v>
      </c>
      <c r="D219" s="637" t="s">
        <v>116</v>
      </c>
      <c r="E219" s="637" t="s">
        <v>618</v>
      </c>
      <c r="F219" s="636">
        <v>56505</v>
      </c>
      <c r="G219" s="637" t="s">
        <v>57</v>
      </c>
      <c r="H219" s="637" t="s">
        <v>1162</v>
      </c>
      <c r="I219" s="637" t="s">
        <v>58</v>
      </c>
      <c r="J219" s="636">
        <v>22</v>
      </c>
      <c r="K219" s="636">
        <v>1</v>
      </c>
      <c r="L219" s="637" t="s">
        <v>34</v>
      </c>
      <c r="M219" s="637" t="s">
        <v>50</v>
      </c>
      <c r="N219" s="637" t="s">
        <v>76</v>
      </c>
      <c r="O219" s="637" t="s">
        <v>67</v>
      </c>
      <c r="P219" s="637" t="s">
        <v>47</v>
      </c>
      <c r="Q219" s="638">
        <v>5503</v>
      </c>
      <c r="R219" s="638">
        <v>5503</v>
      </c>
      <c r="S219" s="638">
        <v>31400</v>
      </c>
      <c r="T219" s="638">
        <v>31400</v>
      </c>
      <c r="U219" s="638">
        <v>2762.47</v>
      </c>
      <c r="V219" s="636">
        <v>2022</v>
      </c>
      <c r="W219" s="640" t="s">
        <v>3934</v>
      </c>
      <c r="X219" s="641">
        <f t="shared" si="9"/>
        <v>11.366639275720642</v>
      </c>
      <c r="Y219" s="642" t="str">
        <f t="shared" si="10"/>
        <v/>
      </c>
      <c r="Z219" s="642" t="str">
        <f t="shared" si="11"/>
        <v/>
      </c>
    </row>
    <row r="220" spans="1:26" s="127" customFormat="1" ht="25">
      <c r="A220" s="636">
        <v>2517</v>
      </c>
      <c r="B220" s="637" t="s">
        <v>33</v>
      </c>
      <c r="C220" s="636" t="s">
        <v>2725</v>
      </c>
      <c r="D220" s="637" t="s">
        <v>116</v>
      </c>
      <c r="E220" s="637" t="s">
        <v>618</v>
      </c>
      <c r="F220" s="636">
        <v>56505</v>
      </c>
      <c r="G220" s="637" t="s">
        <v>57</v>
      </c>
      <c r="H220" s="637" t="s">
        <v>1162</v>
      </c>
      <c r="I220" s="637" t="s">
        <v>58</v>
      </c>
      <c r="J220" s="636">
        <v>22</v>
      </c>
      <c r="K220" s="636">
        <v>1</v>
      </c>
      <c r="L220" s="143" t="s">
        <v>34</v>
      </c>
      <c r="M220" s="637" t="s">
        <v>50</v>
      </c>
      <c r="N220" s="637" t="s">
        <v>39</v>
      </c>
      <c r="O220" s="637" t="s">
        <v>39</v>
      </c>
      <c r="P220" s="637" t="s">
        <v>1020</v>
      </c>
      <c r="Q220" s="638">
        <v>940740</v>
      </c>
      <c r="R220" s="638">
        <v>940740</v>
      </c>
      <c r="S220" s="638">
        <v>969618</v>
      </c>
      <c r="T220" s="638">
        <v>969618</v>
      </c>
      <c r="U220" s="638">
        <v>93548.53</v>
      </c>
      <c r="V220" s="636">
        <v>2022</v>
      </c>
      <c r="W220" s="640" t="s">
        <v>3934</v>
      </c>
      <c r="X220" s="641">
        <f t="shared" si="9"/>
        <v>10.36486623573882</v>
      </c>
      <c r="Y220" s="642" t="str">
        <f t="shared" si="10"/>
        <v/>
      </c>
      <c r="Z220" s="642" t="str">
        <f t="shared" si="11"/>
        <v/>
      </c>
    </row>
    <row r="221" spans="1:26" s="127" customFormat="1" ht="25">
      <c r="A221" s="636">
        <v>2517</v>
      </c>
      <c r="B221" s="637" t="s">
        <v>33</v>
      </c>
      <c r="C221" s="636" t="s">
        <v>2725</v>
      </c>
      <c r="D221" s="637" t="s">
        <v>116</v>
      </c>
      <c r="E221" s="637" t="s">
        <v>618</v>
      </c>
      <c r="F221" s="636">
        <v>56505</v>
      </c>
      <c r="G221" s="637" t="s">
        <v>57</v>
      </c>
      <c r="H221" s="637" t="s">
        <v>1162</v>
      </c>
      <c r="I221" s="637" t="s">
        <v>58</v>
      </c>
      <c r="J221" s="636">
        <v>22</v>
      </c>
      <c r="K221" s="636">
        <v>1</v>
      </c>
      <c r="L221" s="637" t="s">
        <v>34</v>
      </c>
      <c r="M221" s="637" t="s">
        <v>42</v>
      </c>
      <c r="N221" s="637" t="s">
        <v>39</v>
      </c>
      <c r="O221" s="637" t="s">
        <v>39</v>
      </c>
      <c r="P221" s="637" t="s">
        <v>1020</v>
      </c>
      <c r="Q221" s="638">
        <v>2864449</v>
      </c>
      <c r="R221" s="638">
        <v>2864449</v>
      </c>
      <c r="S221" s="638">
        <v>2952105</v>
      </c>
      <c r="T221" s="638">
        <v>2952105</v>
      </c>
      <c r="U221" s="638">
        <v>243423.56</v>
      </c>
      <c r="V221" s="636">
        <v>2022</v>
      </c>
      <c r="W221" s="640" t="s">
        <v>3934</v>
      </c>
      <c r="X221" s="641">
        <f t="shared" si="9"/>
        <v>12.12744156728297</v>
      </c>
      <c r="Y221" s="642" t="str">
        <f t="shared" si="10"/>
        <v/>
      </c>
      <c r="Z221" s="642" t="str">
        <f t="shared" si="11"/>
        <v/>
      </c>
    </row>
    <row r="222" spans="1:26" s="127" customFormat="1" ht="25">
      <c r="A222" s="636">
        <v>2517</v>
      </c>
      <c r="B222" s="637" t="s">
        <v>33</v>
      </c>
      <c r="C222" s="636" t="s">
        <v>2725</v>
      </c>
      <c r="D222" s="637" t="s">
        <v>116</v>
      </c>
      <c r="E222" s="637" t="s">
        <v>618</v>
      </c>
      <c r="F222" s="636">
        <v>56505</v>
      </c>
      <c r="G222" s="637" t="s">
        <v>57</v>
      </c>
      <c r="H222" s="637" t="s">
        <v>1162</v>
      </c>
      <c r="I222" s="637" t="s">
        <v>58</v>
      </c>
      <c r="J222" s="636">
        <v>22</v>
      </c>
      <c r="K222" s="636">
        <v>1</v>
      </c>
      <c r="L222" s="637" t="s">
        <v>34</v>
      </c>
      <c r="M222" s="637" t="s">
        <v>42</v>
      </c>
      <c r="N222" s="637" t="s">
        <v>61</v>
      </c>
      <c r="O222" s="637" t="s">
        <v>61</v>
      </c>
      <c r="P222" s="637" t="s">
        <v>47</v>
      </c>
      <c r="Q222" s="638">
        <v>147100</v>
      </c>
      <c r="R222" s="638">
        <v>147100</v>
      </c>
      <c r="S222" s="638">
        <v>932762</v>
      </c>
      <c r="T222" s="638">
        <v>932762</v>
      </c>
      <c r="U222" s="638">
        <v>79657.440000000002</v>
      </c>
      <c r="V222" s="636">
        <v>2022</v>
      </c>
      <c r="W222" s="640" t="s">
        <v>3934</v>
      </c>
      <c r="X222" s="641">
        <f t="shared" si="9"/>
        <v>11.709665788908104</v>
      </c>
      <c r="Y222" s="642" t="str">
        <f t="shared" si="10"/>
        <v/>
      </c>
      <c r="Z222" s="642" t="str">
        <f t="shared" si="11"/>
        <v/>
      </c>
    </row>
    <row r="223" spans="1:26" s="127" customFormat="1" ht="25">
      <c r="A223" s="636">
        <v>2518</v>
      </c>
      <c r="B223" s="637" t="s">
        <v>33</v>
      </c>
      <c r="C223" s="636" t="s">
        <v>2725</v>
      </c>
      <c r="D223" s="637" t="s">
        <v>620</v>
      </c>
      <c r="E223" s="637" t="s">
        <v>618</v>
      </c>
      <c r="F223" s="636">
        <v>56505</v>
      </c>
      <c r="G223" s="637" t="s">
        <v>57</v>
      </c>
      <c r="H223" s="637" t="s">
        <v>1162</v>
      </c>
      <c r="I223" s="637" t="s">
        <v>58</v>
      </c>
      <c r="J223" s="636">
        <v>22</v>
      </c>
      <c r="K223" s="636">
        <v>1</v>
      </c>
      <c r="L223" s="637" t="s">
        <v>34</v>
      </c>
      <c r="M223" s="637" t="s">
        <v>50</v>
      </c>
      <c r="N223" s="637" t="s">
        <v>46</v>
      </c>
      <c r="O223" s="637" t="s">
        <v>46</v>
      </c>
      <c r="P223" s="637" t="s">
        <v>47</v>
      </c>
      <c r="Q223" s="638">
        <v>3019</v>
      </c>
      <c r="R223" s="638">
        <v>3019</v>
      </c>
      <c r="S223" s="638">
        <v>17184</v>
      </c>
      <c r="T223" s="638">
        <v>17184</v>
      </c>
      <c r="U223" s="638">
        <v>858</v>
      </c>
      <c r="V223" s="636">
        <v>2022</v>
      </c>
      <c r="W223" s="640"/>
      <c r="X223" s="641">
        <f t="shared" si="9"/>
        <v>20.027972027972027</v>
      </c>
      <c r="Y223" s="642" t="str">
        <f t="shared" si="10"/>
        <v/>
      </c>
      <c r="Z223" s="642" t="str">
        <f t="shared" si="11"/>
        <v/>
      </c>
    </row>
    <row r="224" spans="1:26" s="127" customFormat="1" ht="25">
      <c r="A224" s="636">
        <v>2519</v>
      </c>
      <c r="B224" s="637" t="s">
        <v>33</v>
      </c>
      <c r="C224" s="636" t="s">
        <v>2725</v>
      </c>
      <c r="D224" s="637" t="s">
        <v>621</v>
      </c>
      <c r="E224" s="637" t="s">
        <v>618</v>
      </c>
      <c r="F224" s="636">
        <v>56505</v>
      </c>
      <c r="G224" s="637" t="s">
        <v>57</v>
      </c>
      <c r="H224" s="637" t="s">
        <v>1162</v>
      </c>
      <c r="I224" s="637" t="s">
        <v>58</v>
      </c>
      <c r="J224" s="636">
        <v>22</v>
      </c>
      <c r="K224" s="636">
        <v>1</v>
      </c>
      <c r="L224" s="637" t="s">
        <v>34</v>
      </c>
      <c r="M224" s="637" t="s">
        <v>50</v>
      </c>
      <c r="N224" s="637" t="s">
        <v>46</v>
      </c>
      <c r="O224" s="637" t="s">
        <v>46</v>
      </c>
      <c r="P224" s="637" t="s">
        <v>47</v>
      </c>
      <c r="Q224" s="638">
        <v>1563</v>
      </c>
      <c r="R224" s="638">
        <v>1563</v>
      </c>
      <c r="S224" s="638">
        <v>8887</v>
      </c>
      <c r="T224" s="638">
        <v>8887</v>
      </c>
      <c r="U224" s="638">
        <v>215</v>
      </c>
      <c r="V224" s="636">
        <v>2022</v>
      </c>
      <c r="W224" s="640"/>
      <c r="X224" s="641">
        <f t="shared" si="9"/>
        <v>41.334883720930236</v>
      </c>
      <c r="Y224" s="642" t="str">
        <f t="shared" si="10"/>
        <v/>
      </c>
      <c r="Z224" s="642" t="str">
        <f t="shared" si="11"/>
        <v/>
      </c>
    </row>
    <row r="225" spans="1:26" s="127" customFormat="1" ht="25">
      <c r="A225" s="636">
        <v>2520</v>
      </c>
      <c r="B225" s="637" t="s">
        <v>33</v>
      </c>
      <c r="C225" s="636" t="s">
        <v>2725</v>
      </c>
      <c r="D225" s="637" t="s">
        <v>622</v>
      </c>
      <c r="E225" s="637" t="s">
        <v>618</v>
      </c>
      <c r="F225" s="636">
        <v>56505</v>
      </c>
      <c r="G225" s="637" t="s">
        <v>57</v>
      </c>
      <c r="H225" s="637" t="s">
        <v>1162</v>
      </c>
      <c r="I225" s="637" t="s">
        <v>58</v>
      </c>
      <c r="J225" s="636">
        <v>22</v>
      </c>
      <c r="K225" s="636">
        <v>1</v>
      </c>
      <c r="L225" s="637" t="s">
        <v>34</v>
      </c>
      <c r="M225" s="637" t="s">
        <v>50</v>
      </c>
      <c r="N225" s="637" t="s">
        <v>46</v>
      </c>
      <c r="O225" s="637" t="s">
        <v>46</v>
      </c>
      <c r="P225" s="637" t="s">
        <v>47</v>
      </c>
      <c r="Q225" s="638">
        <v>3363</v>
      </c>
      <c r="R225" s="638">
        <v>3363</v>
      </c>
      <c r="S225" s="638">
        <v>19129</v>
      </c>
      <c r="T225" s="638">
        <v>19129</v>
      </c>
      <c r="U225" s="638">
        <v>834</v>
      </c>
      <c r="V225" s="636">
        <v>2022</v>
      </c>
      <c r="W225" s="640"/>
      <c r="X225" s="641">
        <f t="shared" si="9"/>
        <v>22.936450839328536</v>
      </c>
      <c r="Y225" s="642" t="str">
        <f t="shared" si="10"/>
        <v/>
      </c>
      <c r="Z225" s="642" t="str">
        <f t="shared" si="11"/>
        <v/>
      </c>
    </row>
    <row r="226" spans="1:26" s="127" customFormat="1" ht="25">
      <c r="A226" s="636">
        <v>2522</v>
      </c>
      <c r="B226" s="637" t="s">
        <v>33</v>
      </c>
      <c r="C226" s="636" t="s">
        <v>2725</v>
      </c>
      <c r="D226" s="637" t="s">
        <v>623</v>
      </c>
      <c r="E226" s="637" t="s">
        <v>570</v>
      </c>
      <c r="F226" s="636">
        <v>13511</v>
      </c>
      <c r="G226" s="637" t="s">
        <v>57</v>
      </c>
      <c r="H226" s="637" t="s">
        <v>1162</v>
      </c>
      <c r="I226" s="637" t="s">
        <v>58</v>
      </c>
      <c r="J226" s="636">
        <v>22</v>
      </c>
      <c r="K226" s="636">
        <v>1</v>
      </c>
      <c r="L226" s="637" t="s">
        <v>34</v>
      </c>
      <c r="M226" s="637" t="s">
        <v>35</v>
      </c>
      <c r="N226" s="637" t="s">
        <v>36</v>
      </c>
      <c r="O226" s="637" t="s">
        <v>37</v>
      </c>
      <c r="P226" s="637" t="s">
        <v>1156</v>
      </c>
      <c r="Q226" s="638">
        <v>0</v>
      </c>
      <c r="R226" s="638">
        <v>0</v>
      </c>
      <c r="S226" s="638">
        <v>65069</v>
      </c>
      <c r="T226" s="638">
        <v>65069</v>
      </c>
      <c r="U226" s="638">
        <v>19071</v>
      </c>
      <c r="V226" s="636">
        <v>2022</v>
      </c>
      <c r="W226" s="640"/>
      <c r="X226" s="641">
        <f t="shared" si="9"/>
        <v>3.4119343505846573</v>
      </c>
      <c r="Y226" s="642" t="str">
        <f t="shared" si="10"/>
        <v/>
      </c>
      <c r="Z226" s="642" t="str">
        <f t="shared" si="11"/>
        <v/>
      </c>
    </row>
    <row r="227" spans="1:26" s="127" customFormat="1" ht="25">
      <c r="A227" s="636">
        <v>2527</v>
      </c>
      <c r="B227" s="637" t="s">
        <v>33</v>
      </c>
      <c r="C227" s="636" t="s">
        <v>2725</v>
      </c>
      <c r="D227" s="637" t="s">
        <v>1551</v>
      </c>
      <c r="E227" s="637" t="s">
        <v>1552</v>
      </c>
      <c r="F227" s="636">
        <v>25</v>
      </c>
      <c r="G227" s="637" t="s">
        <v>57</v>
      </c>
      <c r="H227" s="637" t="s">
        <v>1162</v>
      </c>
      <c r="I227" s="637" t="s">
        <v>58</v>
      </c>
      <c r="J227" s="636">
        <v>22</v>
      </c>
      <c r="K227" s="636">
        <v>2</v>
      </c>
      <c r="L227" s="637" t="s">
        <v>52</v>
      </c>
      <c r="M227" s="637" t="s">
        <v>42</v>
      </c>
      <c r="N227" s="637" t="s">
        <v>43</v>
      </c>
      <c r="O227" s="637" t="s">
        <v>44</v>
      </c>
      <c r="P227" s="637" t="s">
        <v>45</v>
      </c>
      <c r="Q227" s="638">
        <v>0</v>
      </c>
      <c r="R227" s="638">
        <v>0</v>
      </c>
      <c r="S227" s="638">
        <v>0</v>
      </c>
      <c r="T227" s="638">
        <v>0</v>
      </c>
      <c r="U227" s="638">
        <v>0</v>
      </c>
      <c r="V227" s="636">
        <v>2022</v>
      </c>
      <c r="W227" s="640" t="s">
        <v>3934</v>
      </c>
      <c r="X227" s="641" t="str">
        <f t="shared" si="9"/>
        <v/>
      </c>
      <c r="Y227" s="642" t="str">
        <f t="shared" si="10"/>
        <v/>
      </c>
      <c r="Z227" s="642" t="str">
        <f t="shared" si="11"/>
        <v/>
      </c>
    </row>
    <row r="228" spans="1:26" s="127" customFormat="1" ht="25">
      <c r="A228" s="636">
        <v>2527</v>
      </c>
      <c r="B228" s="637" t="s">
        <v>33</v>
      </c>
      <c r="C228" s="636" t="s">
        <v>2725</v>
      </c>
      <c r="D228" s="637" t="s">
        <v>1551</v>
      </c>
      <c r="E228" s="637" t="s">
        <v>1552</v>
      </c>
      <c r="F228" s="636">
        <v>25</v>
      </c>
      <c r="G228" s="637" t="s">
        <v>57</v>
      </c>
      <c r="H228" s="637" t="s">
        <v>1162</v>
      </c>
      <c r="I228" s="637" t="s">
        <v>58</v>
      </c>
      <c r="J228" s="636">
        <v>22</v>
      </c>
      <c r="K228" s="636">
        <v>2</v>
      </c>
      <c r="L228" s="637" t="s">
        <v>52</v>
      </c>
      <c r="M228" s="637" t="s">
        <v>42</v>
      </c>
      <c r="N228" s="637" t="s">
        <v>46</v>
      </c>
      <c r="O228" s="637" t="s">
        <v>46</v>
      </c>
      <c r="P228" s="637" t="s">
        <v>47</v>
      </c>
      <c r="Q228" s="638">
        <v>0</v>
      </c>
      <c r="R228" s="638">
        <v>0</v>
      </c>
      <c r="S228" s="638">
        <v>0</v>
      </c>
      <c r="T228" s="638">
        <v>0</v>
      </c>
      <c r="U228" s="638">
        <v>0</v>
      </c>
      <c r="V228" s="636">
        <v>2022</v>
      </c>
      <c r="W228" s="640" t="s">
        <v>3934</v>
      </c>
      <c r="X228" s="641" t="str">
        <f t="shared" si="9"/>
        <v/>
      </c>
      <c r="Y228" s="642" t="str">
        <f t="shared" si="10"/>
        <v/>
      </c>
      <c r="Z228" s="642" t="str">
        <f t="shared" si="11"/>
        <v/>
      </c>
    </row>
    <row r="229" spans="1:26" s="127" customFormat="1" ht="25">
      <c r="A229" s="636">
        <v>2527</v>
      </c>
      <c r="B229" s="637" t="s">
        <v>33</v>
      </c>
      <c r="C229" s="636" t="s">
        <v>2725</v>
      </c>
      <c r="D229" s="637" t="s">
        <v>1551</v>
      </c>
      <c r="E229" s="637" t="s">
        <v>1552</v>
      </c>
      <c r="F229" s="636">
        <v>25</v>
      </c>
      <c r="G229" s="637" t="s">
        <v>57</v>
      </c>
      <c r="H229" s="637" t="s">
        <v>1162</v>
      </c>
      <c r="I229" s="637" t="s">
        <v>58</v>
      </c>
      <c r="J229" s="636">
        <v>22</v>
      </c>
      <c r="K229" s="636">
        <v>2</v>
      </c>
      <c r="L229" s="637" t="s">
        <v>52</v>
      </c>
      <c r="M229" s="637" t="s">
        <v>42</v>
      </c>
      <c r="N229" s="637" t="s">
        <v>39</v>
      </c>
      <c r="O229" s="637" t="s">
        <v>39</v>
      </c>
      <c r="P229" s="637" t="s">
        <v>1020</v>
      </c>
      <c r="Q229" s="638">
        <v>5809917</v>
      </c>
      <c r="R229" s="638">
        <v>5809917</v>
      </c>
      <c r="S229" s="638">
        <v>5972594</v>
      </c>
      <c r="T229" s="638">
        <v>5972594</v>
      </c>
      <c r="U229" s="638">
        <v>543006</v>
      </c>
      <c r="V229" s="636">
        <v>2022</v>
      </c>
      <c r="W229" s="640" t="s">
        <v>3934</v>
      </c>
      <c r="X229" s="641">
        <f t="shared" si="9"/>
        <v>10.999130764669268</v>
      </c>
      <c r="Y229" s="642" t="str">
        <f t="shared" si="10"/>
        <v/>
      </c>
      <c r="Z229" s="642" t="str">
        <f t="shared" si="11"/>
        <v/>
      </c>
    </row>
    <row r="230" spans="1:26" s="127" customFormat="1" ht="25">
      <c r="A230" s="636">
        <v>2527</v>
      </c>
      <c r="B230" s="637" t="s">
        <v>33</v>
      </c>
      <c r="C230" s="636" t="s">
        <v>2725</v>
      </c>
      <c r="D230" s="637" t="s">
        <v>1551</v>
      </c>
      <c r="E230" s="637" t="s">
        <v>1552</v>
      </c>
      <c r="F230" s="636">
        <v>25</v>
      </c>
      <c r="G230" s="637" t="s">
        <v>57</v>
      </c>
      <c r="H230" s="637" t="s">
        <v>1162</v>
      </c>
      <c r="I230" s="637" t="s">
        <v>58</v>
      </c>
      <c r="J230" s="636">
        <v>22</v>
      </c>
      <c r="K230" s="636">
        <v>2</v>
      </c>
      <c r="L230" s="637" t="s">
        <v>52</v>
      </c>
      <c r="M230" s="637" t="s">
        <v>42</v>
      </c>
      <c r="N230" s="637" t="s">
        <v>48</v>
      </c>
      <c r="O230" s="637" t="s">
        <v>44</v>
      </c>
      <c r="P230" s="637" t="s">
        <v>45</v>
      </c>
      <c r="Q230" s="638">
        <v>0</v>
      </c>
      <c r="R230" s="638">
        <v>0</v>
      </c>
      <c r="S230" s="638">
        <v>0</v>
      </c>
      <c r="T230" s="638">
        <v>0</v>
      </c>
      <c r="U230" s="638">
        <v>0</v>
      </c>
      <c r="V230" s="636">
        <v>2022</v>
      </c>
      <c r="W230" s="640" t="s">
        <v>3934</v>
      </c>
      <c r="X230" s="641" t="str">
        <f t="shared" si="9"/>
        <v/>
      </c>
      <c r="Y230" s="642" t="str">
        <f t="shared" si="10"/>
        <v/>
      </c>
      <c r="Z230" s="642" t="str">
        <f t="shared" si="11"/>
        <v/>
      </c>
    </row>
    <row r="231" spans="1:26" s="127" customFormat="1" ht="25">
      <c r="A231" s="636">
        <v>2527</v>
      </c>
      <c r="B231" s="637" t="s">
        <v>33</v>
      </c>
      <c r="C231" s="636" t="s">
        <v>2725</v>
      </c>
      <c r="D231" s="637" t="s">
        <v>1551</v>
      </c>
      <c r="E231" s="637" t="s">
        <v>1552</v>
      </c>
      <c r="F231" s="636">
        <v>25</v>
      </c>
      <c r="G231" s="637" t="s">
        <v>57</v>
      </c>
      <c r="H231" s="637" t="s">
        <v>1162</v>
      </c>
      <c r="I231" s="637" t="s">
        <v>58</v>
      </c>
      <c r="J231" s="636">
        <v>22</v>
      </c>
      <c r="K231" s="636">
        <v>2</v>
      </c>
      <c r="L231" s="637" t="s">
        <v>52</v>
      </c>
      <c r="M231" s="637" t="s">
        <v>42</v>
      </c>
      <c r="N231" s="637" t="s">
        <v>69</v>
      </c>
      <c r="O231" s="637" t="s">
        <v>70</v>
      </c>
      <c r="P231" s="637" t="s">
        <v>45</v>
      </c>
      <c r="Q231" s="638">
        <v>0</v>
      </c>
      <c r="R231" s="638">
        <v>0</v>
      </c>
      <c r="S231" s="638">
        <v>0</v>
      </c>
      <c r="T231" s="638">
        <v>0</v>
      </c>
      <c r="U231" s="638">
        <v>0</v>
      </c>
      <c r="V231" s="636">
        <v>2022</v>
      </c>
      <c r="W231" s="640" t="s">
        <v>3934</v>
      </c>
      <c r="X231" s="641" t="str">
        <f t="shared" si="9"/>
        <v/>
      </c>
      <c r="Y231" s="642" t="str">
        <f t="shared" si="10"/>
        <v/>
      </c>
      <c r="Z231" s="642" t="str">
        <f t="shared" si="11"/>
        <v/>
      </c>
    </row>
    <row r="232" spans="1:26" s="127" customFormat="1" ht="25">
      <c r="A232" s="636">
        <v>2528</v>
      </c>
      <c r="B232" s="637" t="s">
        <v>33</v>
      </c>
      <c r="C232" s="636" t="s">
        <v>2725</v>
      </c>
      <c r="D232" s="637" t="s">
        <v>1791</v>
      </c>
      <c r="E232" s="637" t="s">
        <v>570</v>
      </c>
      <c r="F232" s="636">
        <v>13511</v>
      </c>
      <c r="G232" s="637" t="s">
        <v>57</v>
      </c>
      <c r="H232" s="637" t="s">
        <v>1162</v>
      </c>
      <c r="I232" s="637" t="s">
        <v>58</v>
      </c>
      <c r="J232" s="636">
        <v>22</v>
      </c>
      <c r="K232" s="636">
        <v>1</v>
      </c>
      <c r="L232" s="637" t="s">
        <v>34</v>
      </c>
      <c r="M232" s="637" t="s">
        <v>51</v>
      </c>
      <c r="N232" s="637" t="s">
        <v>46</v>
      </c>
      <c r="O232" s="637" t="s">
        <v>46</v>
      </c>
      <c r="P232" s="637" t="s">
        <v>47</v>
      </c>
      <c r="Q232" s="638">
        <v>379</v>
      </c>
      <c r="R232" s="638">
        <v>379</v>
      </c>
      <c r="S232" s="638">
        <v>2158</v>
      </c>
      <c r="T232" s="638">
        <v>2158</v>
      </c>
      <c r="U232" s="638">
        <v>1</v>
      </c>
      <c r="V232" s="636">
        <v>2022</v>
      </c>
      <c r="W232" s="640"/>
      <c r="X232" s="641">
        <f t="shared" si="9"/>
        <v>2158</v>
      </c>
      <c r="Y232" s="642" t="str">
        <f t="shared" si="10"/>
        <v/>
      </c>
      <c r="Z232" s="642" t="str">
        <f t="shared" si="11"/>
        <v/>
      </c>
    </row>
    <row r="233" spans="1:26" s="127" customFormat="1" ht="25">
      <c r="A233" s="636">
        <v>2530</v>
      </c>
      <c r="B233" s="637" t="s">
        <v>33</v>
      </c>
      <c r="C233" s="636" t="s">
        <v>2725</v>
      </c>
      <c r="D233" s="637" t="s">
        <v>1553</v>
      </c>
      <c r="E233" s="637" t="s">
        <v>570</v>
      </c>
      <c r="F233" s="636">
        <v>13511</v>
      </c>
      <c r="G233" s="637" t="s">
        <v>57</v>
      </c>
      <c r="H233" s="637" t="s">
        <v>1162</v>
      </c>
      <c r="I233" s="637" t="s">
        <v>58</v>
      </c>
      <c r="J233" s="636">
        <v>22</v>
      </c>
      <c r="K233" s="636">
        <v>1</v>
      </c>
      <c r="L233" s="637" t="s">
        <v>34</v>
      </c>
      <c r="M233" s="637" t="s">
        <v>35</v>
      </c>
      <c r="N233" s="637" t="s">
        <v>36</v>
      </c>
      <c r="O233" s="637" t="s">
        <v>37</v>
      </c>
      <c r="P233" s="637" t="s">
        <v>1156</v>
      </c>
      <c r="Q233" s="638">
        <v>0</v>
      </c>
      <c r="R233" s="638">
        <v>0</v>
      </c>
      <c r="S233" s="638">
        <v>266276</v>
      </c>
      <c r="T233" s="638">
        <v>266276</v>
      </c>
      <c r="U233" s="638">
        <v>78041</v>
      </c>
      <c r="V233" s="636">
        <v>2022</v>
      </c>
      <c r="W233" s="640"/>
      <c r="X233" s="641">
        <f t="shared" si="9"/>
        <v>3.4120013838879562</v>
      </c>
      <c r="Y233" s="642" t="str">
        <f t="shared" si="10"/>
        <v/>
      </c>
      <c r="Z233" s="642" t="str">
        <f t="shared" si="11"/>
        <v/>
      </c>
    </row>
    <row r="234" spans="1:26" s="127" customFormat="1" ht="25">
      <c r="A234" s="636">
        <v>2532</v>
      </c>
      <c r="B234" s="637" t="s">
        <v>33</v>
      </c>
      <c r="C234" s="636" t="s">
        <v>2725</v>
      </c>
      <c r="D234" s="637" t="s">
        <v>624</v>
      </c>
      <c r="E234" s="637" t="s">
        <v>570</v>
      </c>
      <c r="F234" s="636">
        <v>13511</v>
      </c>
      <c r="G234" s="637" t="s">
        <v>57</v>
      </c>
      <c r="H234" s="637" t="s">
        <v>1162</v>
      </c>
      <c r="I234" s="637" t="s">
        <v>58</v>
      </c>
      <c r="J234" s="636">
        <v>22</v>
      </c>
      <c r="K234" s="636">
        <v>1</v>
      </c>
      <c r="L234" s="637" t="s">
        <v>34</v>
      </c>
      <c r="M234" s="637" t="s">
        <v>35</v>
      </c>
      <c r="N234" s="637" t="s">
        <v>36</v>
      </c>
      <c r="O234" s="637" t="s">
        <v>37</v>
      </c>
      <c r="P234" s="637" t="s">
        <v>1156</v>
      </c>
      <c r="Q234" s="638">
        <v>0</v>
      </c>
      <c r="R234" s="638">
        <v>0</v>
      </c>
      <c r="S234" s="638">
        <v>0</v>
      </c>
      <c r="T234" s="638">
        <v>0</v>
      </c>
      <c r="U234" s="638">
        <v>0</v>
      </c>
      <c r="V234" s="636">
        <v>2022</v>
      </c>
      <c r="W234" s="640"/>
      <c r="X234" s="641" t="str">
        <f t="shared" si="9"/>
        <v/>
      </c>
      <c r="Y234" s="642" t="str">
        <f t="shared" si="10"/>
        <v/>
      </c>
      <c r="Z234" s="642" t="str">
        <f t="shared" si="11"/>
        <v/>
      </c>
    </row>
    <row r="235" spans="1:26" s="127" customFormat="1" ht="25">
      <c r="A235" s="636">
        <v>2539</v>
      </c>
      <c r="B235" s="637" t="s">
        <v>33</v>
      </c>
      <c r="C235" s="636" t="s">
        <v>2725</v>
      </c>
      <c r="D235" s="637" t="s">
        <v>117</v>
      </c>
      <c r="E235" s="637" t="s">
        <v>3598</v>
      </c>
      <c r="F235" s="636">
        <v>65417</v>
      </c>
      <c r="G235" s="637" t="s">
        <v>57</v>
      </c>
      <c r="H235" s="637" t="s">
        <v>1162</v>
      </c>
      <c r="I235" s="637" t="s">
        <v>58</v>
      </c>
      <c r="J235" s="636">
        <v>22</v>
      </c>
      <c r="K235" s="636">
        <v>2</v>
      </c>
      <c r="L235" s="637" t="s">
        <v>52</v>
      </c>
      <c r="M235" s="637" t="s">
        <v>38</v>
      </c>
      <c r="N235" s="637" t="s">
        <v>76</v>
      </c>
      <c r="O235" s="637" t="s">
        <v>67</v>
      </c>
      <c r="P235" s="637" t="s">
        <v>47</v>
      </c>
      <c r="Q235" s="638">
        <v>0</v>
      </c>
      <c r="R235" s="638">
        <v>0</v>
      </c>
      <c r="S235" s="638">
        <v>0</v>
      </c>
      <c r="T235" s="638">
        <v>0</v>
      </c>
      <c r="U235" s="638">
        <v>0</v>
      </c>
      <c r="V235" s="636">
        <v>2022</v>
      </c>
      <c r="W235" s="640" t="s">
        <v>3934</v>
      </c>
      <c r="X235" s="641" t="str">
        <f t="shared" si="9"/>
        <v/>
      </c>
      <c r="Y235" s="642" t="str">
        <f t="shared" si="10"/>
        <v/>
      </c>
      <c r="Z235" s="642" t="str">
        <f t="shared" si="11"/>
        <v/>
      </c>
    </row>
    <row r="236" spans="1:26" s="127" customFormat="1" ht="25">
      <c r="A236" s="636">
        <v>2539</v>
      </c>
      <c r="B236" s="637" t="s">
        <v>33</v>
      </c>
      <c r="C236" s="636" t="s">
        <v>2725</v>
      </c>
      <c r="D236" s="637" t="s">
        <v>117</v>
      </c>
      <c r="E236" s="637" t="s">
        <v>3598</v>
      </c>
      <c r="F236" s="636">
        <v>65417</v>
      </c>
      <c r="G236" s="637" t="s">
        <v>57</v>
      </c>
      <c r="H236" s="637" t="s">
        <v>1162</v>
      </c>
      <c r="I236" s="637" t="s">
        <v>58</v>
      </c>
      <c r="J236" s="636">
        <v>22</v>
      </c>
      <c r="K236" s="636">
        <v>2</v>
      </c>
      <c r="L236" s="637" t="s">
        <v>52</v>
      </c>
      <c r="M236" s="637" t="s">
        <v>38</v>
      </c>
      <c r="N236" s="637" t="s">
        <v>39</v>
      </c>
      <c r="O236" s="637" t="s">
        <v>39</v>
      </c>
      <c r="P236" s="637" t="s">
        <v>1020</v>
      </c>
      <c r="Q236" s="638">
        <v>2787084</v>
      </c>
      <c r="R236" s="638">
        <v>2787084</v>
      </c>
      <c r="S236" s="638">
        <v>2868186</v>
      </c>
      <c r="T236" s="638">
        <v>2868186</v>
      </c>
      <c r="U236" s="638">
        <v>1457184</v>
      </c>
      <c r="V236" s="636">
        <v>2022</v>
      </c>
      <c r="W236" s="640" t="s">
        <v>3934</v>
      </c>
      <c r="X236" s="641">
        <f t="shared" si="9"/>
        <v>1.9683073654390935</v>
      </c>
      <c r="Y236" s="642" t="str">
        <f t="shared" si="10"/>
        <v/>
      </c>
      <c r="Z236" s="642" t="str">
        <f t="shared" si="11"/>
        <v/>
      </c>
    </row>
    <row r="237" spans="1:26" s="127" customFormat="1" ht="25">
      <c r="A237" s="636">
        <v>2539</v>
      </c>
      <c r="B237" s="637" t="s">
        <v>33</v>
      </c>
      <c r="C237" s="636" t="s">
        <v>2725</v>
      </c>
      <c r="D237" s="637" t="s">
        <v>117</v>
      </c>
      <c r="E237" s="637" t="s">
        <v>3598</v>
      </c>
      <c r="F237" s="636">
        <v>65417</v>
      </c>
      <c r="G237" s="637" t="s">
        <v>57</v>
      </c>
      <c r="H237" s="637" t="s">
        <v>1162</v>
      </c>
      <c r="I237" s="637" t="s">
        <v>58</v>
      </c>
      <c r="J237" s="636">
        <v>22</v>
      </c>
      <c r="K237" s="636">
        <v>2</v>
      </c>
      <c r="L237" s="637" t="s">
        <v>52</v>
      </c>
      <c r="M237" s="637" t="s">
        <v>41</v>
      </c>
      <c r="N237" s="637" t="s">
        <v>76</v>
      </c>
      <c r="O237" s="637" t="s">
        <v>67</v>
      </c>
      <c r="P237" s="637" t="s">
        <v>47</v>
      </c>
      <c r="Q237" s="638">
        <v>0</v>
      </c>
      <c r="R237" s="638">
        <v>0</v>
      </c>
      <c r="S237" s="638">
        <v>0</v>
      </c>
      <c r="T237" s="638">
        <v>0</v>
      </c>
      <c r="U237" s="638">
        <v>0</v>
      </c>
      <c r="V237" s="636">
        <v>2022</v>
      </c>
      <c r="W237" s="640" t="s">
        <v>3934</v>
      </c>
      <c r="X237" s="641" t="str">
        <f t="shared" si="9"/>
        <v/>
      </c>
      <c r="Y237" s="642" t="str">
        <f t="shared" si="10"/>
        <v/>
      </c>
      <c r="Z237" s="642" t="str">
        <f t="shared" si="11"/>
        <v/>
      </c>
    </row>
    <row r="238" spans="1:26" s="127" customFormat="1" ht="25">
      <c r="A238" s="636">
        <v>2539</v>
      </c>
      <c r="B238" s="637" t="s">
        <v>33</v>
      </c>
      <c r="C238" s="636" t="s">
        <v>2725</v>
      </c>
      <c r="D238" s="637" t="s">
        <v>117</v>
      </c>
      <c r="E238" s="637" t="s">
        <v>3598</v>
      </c>
      <c r="F238" s="636">
        <v>65417</v>
      </c>
      <c r="G238" s="637" t="s">
        <v>57</v>
      </c>
      <c r="H238" s="637" t="s">
        <v>1162</v>
      </c>
      <c r="I238" s="637" t="s">
        <v>58</v>
      </c>
      <c r="J238" s="636">
        <v>22</v>
      </c>
      <c r="K238" s="636">
        <v>2</v>
      </c>
      <c r="L238" s="637" t="s">
        <v>52</v>
      </c>
      <c r="M238" s="637" t="s">
        <v>41</v>
      </c>
      <c r="N238" s="637" t="s">
        <v>39</v>
      </c>
      <c r="O238" s="637" t="s">
        <v>39</v>
      </c>
      <c r="P238" s="637" t="s">
        <v>1020</v>
      </c>
      <c r="Q238" s="638">
        <v>26604863</v>
      </c>
      <c r="R238" s="638">
        <v>26604863</v>
      </c>
      <c r="S238" s="638">
        <v>27411423</v>
      </c>
      <c r="T238" s="638">
        <v>27411423</v>
      </c>
      <c r="U238" s="638">
        <v>2805326</v>
      </c>
      <c r="V238" s="636">
        <v>2022</v>
      </c>
      <c r="W238" s="640" t="s">
        <v>3934</v>
      </c>
      <c r="X238" s="641">
        <f t="shared" si="9"/>
        <v>9.7712076956474938</v>
      </c>
      <c r="Y238" s="642" t="str">
        <f t="shared" si="10"/>
        <v/>
      </c>
      <c r="Z238" s="642" t="str">
        <f t="shared" si="11"/>
        <v/>
      </c>
    </row>
    <row r="239" spans="1:26" s="127" customFormat="1" ht="25">
      <c r="A239" s="636">
        <v>2540</v>
      </c>
      <c r="B239" s="637" t="s">
        <v>33</v>
      </c>
      <c r="C239" s="636" t="s">
        <v>2725</v>
      </c>
      <c r="D239" s="637" t="s">
        <v>625</v>
      </c>
      <c r="E239" s="637" t="s">
        <v>118</v>
      </c>
      <c r="F239" s="636">
        <v>5914</v>
      </c>
      <c r="G239" s="637" t="s">
        <v>57</v>
      </c>
      <c r="H239" s="637" t="s">
        <v>1162</v>
      </c>
      <c r="I239" s="637" t="s">
        <v>58</v>
      </c>
      <c r="J239" s="636">
        <v>22</v>
      </c>
      <c r="K239" s="636">
        <v>2</v>
      </c>
      <c r="L239" s="637" t="s">
        <v>52</v>
      </c>
      <c r="M239" s="637" t="s">
        <v>35</v>
      </c>
      <c r="N239" s="637" t="s">
        <v>36</v>
      </c>
      <c r="O239" s="637" t="s">
        <v>37</v>
      </c>
      <c r="P239" s="637" t="s">
        <v>1156</v>
      </c>
      <c r="Q239" s="638">
        <v>0</v>
      </c>
      <c r="R239" s="638">
        <v>0</v>
      </c>
      <c r="S239" s="638">
        <v>86467</v>
      </c>
      <c r="T239" s="638">
        <v>86467</v>
      </c>
      <c r="U239" s="638">
        <v>25342</v>
      </c>
      <c r="V239" s="636">
        <v>2022</v>
      </c>
      <c r="W239" s="640"/>
      <c r="X239" s="641">
        <f t="shared" si="9"/>
        <v>3.4120037881777288</v>
      </c>
      <c r="Y239" s="642" t="str">
        <f t="shared" si="10"/>
        <v/>
      </c>
      <c r="Z239" s="642" t="str">
        <f t="shared" si="11"/>
        <v/>
      </c>
    </row>
    <row r="240" spans="1:26" s="127" customFormat="1" ht="25">
      <c r="A240" s="636">
        <v>2543</v>
      </c>
      <c r="B240" s="637" t="s">
        <v>33</v>
      </c>
      <c r="C240" s="636" t="s">
        <v>2725</v>
      </c>
      <c r="D240" s="637" t="s">
        <v>626</v>
      </c>
      <c r="E240" s="637" t="s">
        <v>118</v>
      </c>
      <c r="F240" s="636">
        <v>5914</v>
      </c>
      <c r="G240" s="637" t="s">
        <v>57</v>
      </c>
      <c r="H240" s="637" t="s">
        <v>1162</v>
      </c>
      <c r="I240" s="637" t="s">
        <v>58</v>
      </c>
      <c r="J240" s="636">
        <v>22</v>
      </c>
      <c r="K240" s="636">
        <v>2</v>
      </c>
      <c r="L240" s="637" t="s">
        <v>52</v>
      </c>
      <c r="M240" s="637" t="s">
        <v>35</v>
      </c>
      <c r="N240" s="637" t="s">
        <v>36</v>
      </c>
      <c r="O240" s="637" t="s">
        <v>37</v>
      </c>
      <c r="P240" s="637" t="s">
        <v>1156</v>
      </c>
      <c r="Q240" s="638">
        <v>0</v>
      </c>
      <c r="R240" s="638">
        <v>0</v>
      </c>
      <c r="S240" s="638">
        <v>180454</v>
      </c>
      <c r="T240" s="638">
        <v>180454</v>
      </c>
      <c r="U240" s="638">
        <v>52888</v>
      </c>
      <c r="V240" s="636">
        <v>2022</v>
      </c>
      <c r="W240" s="640"/>
      <c r="X240" s="641">
        <f t="shared" si="9"/>
        <v>3.4120027227348357</v>
      </c>
      <c r="Y240" s="642" t="str">
        <f t="shared" si="10"/>
        <v/>
      </c>
      <c r="Z240" s="642" t="str">
        <f t="shared" si="11"/>
        <v/>
      </c>
    </row>
    <row r="241" spans="1:26" s="127" customFormat="1" ht="25">
      <c r="A241" s="636">
        <v>2544</v>
      </c>
      <c r="B241" s="637" t="s">
        <v>33</v>
      </c>
      <c r="C241" s="636" t="s">
        <v>2725</v>
      </c>
      <c r="D241" s="637" t="s">
        <v>627</v>
      </c>
      <c r="E241" s="637" t="s">
        <v>118</v>
      </c>
      <c r="F241" s="636">
        <v>5914</v>
      </c>
      <c r="G241" s="637" t="s">
        <v>57</v>
      </c>
      <c r="H241" s="637" t="s">
        <v>1162</v>
      </c>
      <c r="I241" s="637" t="s">
        <v>58</v>
      </c>
      <c r="J241" s="636">
        <v>22</v>
      </c>
      <c r="K241" s="636">
        <v>2</v>
      </c>
      <c r="L241" s="637" t="s">
        <v>52</v>
      </c>
      <c r="M241" s="637" t="s">
        <v>35</v>
      </c>
      <c r="N241" s="637" t="s">
        <v>36</v>
      </c>
      <c r="O241" s="637" t="s">
        <v>37</v>
      </c>
      <c r="P241" s="637" t="s">
        <v>1156</v>
      </c>
      <c r="Q241" s="638">
        <v>0</v>
      </c>
      <c r="R241" s="638">
        <v>0</v>
      </c>
      <c r="S241" s="638">
        <v>40610</v>
      </c>
      <c r="T241" s="638">
        <v>40610</v>
      </c>
      <c r="U241" s="638">
        <v>11902</v>
      </c>
      <c r="V241" s="636">
        <v>2022</v>
      </c>
      <c r="W241" s="640"/>
      <c r="X241" s="641">
        <f t="shared" si="9"/>
        <v>3.4120315913291885</v>
      </c>
      <c r="Y241" s="642" t="str">
        <f t="shared" si="10"/>
        <v/>
      </c>
      <c r="Z241" s="642" t="str">
        <f t="shared" si="11"/>
        <v/>
      </c>
    </row>
    <row r="242" spans="1:26" s="127" customFormat="1" ht="25">
      <c r="A242" s="636">
        <v>2545</v>
      </c>
      <c r="B242" s="637" t="s">
        <v>33</v>
      </c>
      <c r="C242" s="636" t="s">
        <v>2725</v>
      </c>
      <c r="D242" s="637" t="s">
        <v>628</v>
      </c>
      <c r="E242" s="637" t="s">
        <v>118</v>
      </c>
      <c r="F242" s="636">
        <v>5914</v>
      </c>
      <c r="G242" s="637" t="s">
        <v>57</v>
      </c>
      <c r="H242" s="637" t="s">
        <v>1162</v>
      </c>
      <c r="I242" s="637" t="s">
        <v>58</v>
      </c>
      <c r="J242" s="636">
        <v>22</v>
      </c>
      <c r="K242" s="636">
        <v>2</v>
      </c>
      <c r="L242" s="637" t="s">
        <v>52</v>
      </c>
      <c r="M242" s="637" t="s">
        <v>35</v>
      </c>
      <c r="N242" s="637" t="s">
        <v>36</v>
      </c>
      <c r="O242" s="637" t="s">
        <v>37</v>
      </c>
      <c r="P242" s="637" t="s">
        <v>1156</v>
      </c>
      <c r="Q242" s="638">
        <v>0</v>
      </c>
      <c r="R242" s="638">
        <v>0</v>
      </c>
      <c r="S242" s="638">
        <v>294333</v>
      </c>
      <c r="T242" s="638">
        <v>294333</v>
      </c>
      <c r="U242" s="638">
        <v>86264</v>
      </c>
      <c r="V242" s="636">
        <v>2022</v>
      </c>
      <c r="W242" s="640"/>
      <c r="X242" s="641">
        <f t="shared" si="9"/>
        <v>3.4120026894185291</v>
      </c>
      <c r="Y242" s="642" t="str">
        <f t="shared" si="10"/>
        <v/>
      </c>
      <c r="Z242" s="642" t="str">
        <f t="shared" si="11"/>
        <v/>
      </c>
    </row>
    <row r="243" spans="1:26" s="127" customFormat="1" ht="25">
      <c r="A243" s="636">
        <v>2546</v>
      </c>
      <c r="B243" s="637" t="s">
        <v>33</v>
      </c>
      <c r="C243" s="636" t="s">
        <v>2725</v>
      </c>
      <c r="D243" s="637" t="s">
        <v>629</v>
      </c>
      <c r="E243" s="637" t="s">
        <v>118</v>
      </c>
      <c r="F243" s="636">
        <v>5914</v>
      </c>
      <c r="G243" s="637" t="s">
        <v>57</v>
      </c>
      <c r="H243" s="637" t="s">
        <v>1162</v>
      </c>
      <c r="I243" s="637" t="s">
        <v>58</v>
      </c>
      <c r="J243" s="636">
        <v>22</v>
      </c>
      <c r="K243" s="636">
        <v>2</v>
      </c>
      <c r="L243" s="637" t="s">
        <v>52</v>
      </c>
      <c r="M243" s="637" t="s">
        <v>35</v>
      </c>
      <c r="N243" s="637" t="s">
        <v>36</v>
      </c>
      <c r="O243" s="637" t="s">
        <v>37</v>
      </c>
      <c r="P243" s="637" t="s">
        <v>1156</v>
      </c>
      <c r="Q243" s="638">
        <v>0</v>
      </c>
      <c r="R243" s="638">
        <v>0</v>
      </c>
      <c r="S243" s="638">
        <v>117232</v>
      </c>
      <c r="T243" s="638">
        <v>117232</v>
      </c>
      <c r="U243" s="638">
        <v>34359</v>
      </c>
      <c r="V243" s="636">
        <v>2022</v>
      </c>
      <c r="W243" s="640"/>
      <c r="X243" s="641">
        <f t="shared" si="9"/>
        <v>3.4119735731540497</v>
      </c>
      <c r="Y243" s="642" t="str">
        <f t="shared" si="10"/>
        <v/>
      </c>
      <c r="Z243" s="642" t="str">
        <f t="shared" si="11"/>
        <v/>
      </c>
    </row>
    <row r="244" spans="1:26" s="127" customFormat="1" ht="25">
      <c r="A244" s="636">
        <v>2547</v>
      </c>
      <c r="B244" s="637" t="s">
        <v>33</v>
      </c>
      <c r="C244" s="636" t="s">
        <v>2725</v>
      </c>
      <c r="D244" s="637" t="s">
        <v>630</v>
      </c>
      <c r="E244" s="637" t="s">
        <v>118</v>
      </c>
      <c r="F244" s="636">
        <v>5914</v>
      </c>
      <c r="G244" s="637" t="s">
        <v>57</v>
      </c>
      <c r="H244" s="637" t="s">
        <v>1162</v>
      </c>
      <c r="I244" s="637" t="s">
        <v>58</v>
      </c>
      <c r="J244" s="636">
        <v>22</v>
      </c>
      <c r="K244" s="636">
        <v>2</v>
      </c>
      <c r="L244" s="637" t="s">
        <v>52</v>
      </c>
      <c r="M244" s="637" t="s">
        <v>35</v>
      </c>
      <c r="N244" s="637" t="s">
        <v>36</v>
      </c>
      <c r="O244" s="637" t="s">
        <v>37</v>
      </c>
      <c r="P244" s="637" t="s">
        <v>1156</v>
      </c>
      <c r="Q244" s="638">
        <v>0</v>
      </c>
      <c r="R244" s="638">
        <v>0</v>
      </c>
      <c r="S244" s="638">
        <v>201451</v>
      </c>
      <c r="T244" s="638">
        <v>201451</v>
      </c>
      <c r="U244" s="638">
        <v>59042</v>
      </c>
      <c r="V244" s="636">
        <v>2022</v>
      </c>
      <c r="W244" s="640"/>
      <c r="X244" s="641">
        <f t="shared" si="9"/>
        <v>3.4119948511229294</v>
      </c>
      <c r="Y244" s="642" t="str">
        <f t="shared" si="10"/>
        <v/>
      </c>
      <c r="Z244" s="642" t="str">
        <f t="shared" si="11"/>
        <v/>
      </c>
    </row>
    <row r="245" spans="1:26" s="127" customFormat="1" ht="25">
      <c r="A245" s="636">
        <v>2548</v>
      </c>
      <c r="B245" s="637" t="s">
        <v>33</v>
      </c>
      <c r="C245" s="636" t="s">
        <v>2725</v>
      </c>
      <c r="D245" s="637" t="s">
        <v>631</v>
      </c>
      <c r="E245" s="637" t="s">
        <v>118</v>
      </c>
      <c r="F245" s="636">
        <v>5914</v>
      </c>
      <c r="G245" s="637" t="s">
        <v>57</v>
      </c>
      <c r="H245" s="637" t="s">
        <v>1162</v>
      </c>
      <c r="I245" s="637" t="s">
        <v>58</v>
      </c>
      <c r="J245" s="636">
        <v>22</v>
      </c>
      <c r="K245" s="636">
        <v>2</v>
      </c>
      <c r="L245" s="637" t="s">
        <v>52</v>
      </c>
      <c r="M245" s="637" t="s">
        <v>35</v>
      </c>
      <c r="N245" s="637" t="s">
        <v>36</v>
      </c>
      <c r="O245" s="637" t="s">
        <v>37</v>
      </c>
      <c r="P245" s="637" t="s">
        <v>1156</v>
      </c>
      <c r="Q245" s="638">
        <v>0</v>
      </c>
      <c r="R245" s="638">
        <v>0</v>
      </c>
      <c r="S245" s="638">
        <v>197216</v>
      </c>
      <c r="T245" s="638">
        <v>197216</v>
      </c>
      <c r="U245" s="638">
        <v>57801</v>
      </c>
      <c r="V245" s="636">
        <v>2022</v>
      </c>
      <c r="W245" s="640"/>
      <c r="X245" s="641">
        <f t="shared" si="9"/>
        <v>3.4119824916523935</v>
      </c>
      <c r="Y245" s="642" t="str">
        <f t="shared" si="10"/>
        <v/>
      </c>
      <c r="Z245" s="642" t="str">
        <f t="shared" si="11"/>
        <v/>
      </c>
    </row>
    <row r="246" spans="1:26" s="127" customFormat="1" ht="25">
      <c r="A246" s="636">
        <v>2550</v>
      </c>
      <c r="B246" s="637" t="s">
        <v>33</v>
      </c>
      <c r="C246" s="636" t="s">
        <v>2725</v>
      </c>
      <c r="D246" s="637" t="s">
        <v>632</v>
      </c>
      <c r="E246" s="637" t="s">
        <v>118</v>
      </c>
      <c r="F246" s="636">
        <v>5914</v>
      </c>
      <c r="G246" s="637" t="s">
        <v>57</v>
      </c>
      <c r="H246" s="637" t="s">
        <v>1162</v>
      </c>
      <c r="I246" s="637" t="s">
        <v>58</v>
      </c>
      <c r="J246" s="636">
        <v>22</v>
      </c>
      <c r="K246" s="636">
        <v>2</v>
      </c>
      <c r="L246" s="637" t="s">
        <v>52</v>
      </c>
      <c r="M246" s="637" t="s">
        <v>35</v>
      </c>
      <c r="N246" s="637" t="s">
        <v>36</v>
      </c>
      <c r="O246" s="637" t="s">
        <v>37</v>
      </c>
      <c r="P246" s="637" t="s">
        <v>1156</v>
      </c>
      <c r="Q246" s="638">
        <v>0</v>
      </c>
      <c r="R246" s="638">
        <v>0</v>
      </c>
      <c r="S246" s="638">
        <v>73371</v>
      </c>
      <c r="T246" s="638">
        <v>73371</v>
      </c>
      <c r="U246" s="638">
        <v>21504</v>
      </c>
      <c r="V246" s="636">
        <v>2022</v>
      </c>
      <c r="W246" s="640"/>
      <c r="X246" s="641">
        <f t="shared" si="9"/>
        <v>3.4119698660714284</v>
      </c>
      <c r="Y246" s="642" t="str">
        <f t="shared" si="10"/>
        <v/>
      </c>
      <c r="Z246" s="642" t="str">
        <f t="shared" si="11"/>
        <v/>
      </c>
    </row>
    <row r="247" spans="1:26" s="127" customFormat="1" ht="25">
      <c r="A247" s="636">
        <v>2551</v>
      </c>
      <c r="B247" s="637" t="s">
        <v>33</v>
      </c>
      <c r="C247" s="636" t="s">
        <v>2725</v>
      </c>
      <c r="D247" s="637" t="s">
        <v>633</v>
      </c>
      <c r="E247" s="637" t="s">
        <v>118</v>
      </c>
      <c r="F247" s="636">
        <v>5914</v>
      </c>
      <c r="G247" s="637" t="s">
        <v>57</v>
      </c>
      <c r="H247" s="637" t="s">
        <v>1162</v>
      </c>
      <c r="I247" s="637" t="s">
        <v>58</v>
      </c>
      <c r="J247" s="636">
        <v>22</v>
      </c>
      <c r="K247" s="636">
        <v>2</v>
      </c>
      <c r="L247" s="637" t="s">
        <v>52</v>
      </c>
      <c r="M247" s="637" t="s">
        <v>35</v>
      </c>
      <c r="N247" s="637" t="s">
        <v>36</v>
      </c>
      <c r="O247" s="637" t="s">
        <v>37</v>
      </c>
      <c r="P247" s="637" t="s">
        <v>1156</v>
      </c>
      <c r="Q247" s="638">
        <v>0</v>
      </c>
      <c r="R247" s="638">
        <v>0</v>
      </c>
      <c r="S247" s="638">
        <v>461228</v>
      </c>
      <c r="T247" s="638">
        <v>461228</v>
      </c>
      <c r="U247" s="638">
        <v>135178</v>
      </c>
      <c r="V247" s="636">
        <v>2022</v>
      </c>
      <c r="W247" s="640"/>
      <c r="X247" s="641">
        <f t="shared" si="9"/>
        <v>3.4120049120419003</v>
      </c>
      <c r="Y247" s="642" t="str">
        <f t="shared" si="10"/>
        <v/>
      </c>
      <c r="Z247" s="642" t="str">
        <f t="shared" si="11"/>
        <v/>
      </c>
    </row>
    <row r="248" spans="1:26" s="127" customFormat="1" ht="25">
      <c r="A248" s="636">
        <v>2552</v>
      </c>
      <c r="B248" s="637" t="s">
        <v>33</v>
      </c>
      <c r="C248" s="636" t="s">
        <v>2725</v>
      </c>
      <c r="D248" s="637" t="s">
        <v>634</v>
      </c>
      <c r="E248" s="637" t="s">
        <v>118</v>
      </c>
      <c r="F248" s="636">
        <v>5914</v>
      </c>
      <c r="G248" s="637" t="s">
        <v>57</v>
      </c>
      <c r="H248" s="637" t="s">
        <v>1162</v>
      </c>
      <c r="I248" s="637" t="s">
        <v>58</v>
      </c>
      <c r="J248" s="636">
        <v>22</v>
      </c>
      <c r="K248" s="636">
        <v>2</v>
      </c>
      <c r="L248" s="637" t="s">
        <v>52</v>
      </c>
      <c r="M248" s="637" t="s">
        <v>35</v>
      </c>
      <c r="N248" s="637" t="s">
        <v>36</v>
      </c>
      <c r="O248" s="637" t="s">
        <v>37</v>
      </c>
      <c r="P248" s="637" t="s">
        <v>1156</v>
      </c>
      <c r="Q248" s="638">
        <v>0</v>
      </c>
      <c r="R248" s="638">
        <v>0</v>
      </c>
      <c r="S248" s="638">
        <v>187177</v>
      </c>
      <c r="T248" s="638">
        <v>187177</v>
      </c>
      <c r="U248" s="638">
        <v>54858</v>
      </c>
      <c r="V248" s="636">
        <v>2022</v>
      </c>
      <c r="W248" s="640"/>
      <c r="X248" s="641">
        <f t="shared" si="9"/>
        <v>3.412027416238288</v>
      </c>
      <c r="Y248" s="642" t="str">
        <f t="shared" si="10"/>
        <v/>
      </c>
      <c r="Z248" s="642" t="str">
        <f t="shared" si="11"/>
        <v/>
      </c>
    </row>
    <row r="249" spans="1:26" s="127" customFormat="1" ht="25">
      <c r="A249" s="636">
        <v>2555</v>
      </c>
      <c r="B249" s="637" t="s">
        <v>33</v>
      </c>
      <c r="C249" s="636" t="s">
        <v>2725</v>
      </c>
      <c r="D249" s="637" t="s">
        <v>635</v>
      </c>
      <c r="E249" s="637" t="s">
        <v>118</v>
      </c>
      <c r="F249" s="636">
        <v>5914</v>
      </c>
      <c r="G249" s="637" t="s">
        <v>57</v>
      </c>
      <c r="H249" s="637" t="s">
        <v>1162</v>
      </c>
      <c r="I249" s="637" t="s">
        <v>58</v>
      </c>
      <c r="J249" s="636">
        <v>22</v>
      </c>
      <c r="K249" s="636">
        <v>2</v>
      </c>
      <c r="L249" s="637" t="s">
        <v>52</v>
      </c>
      <c r="M249" s="637" t="s">
        <v>35</v>
      </c>
      <c r="N249" s="637" t="s">
        <v>36</v>
      </c>
      <c r="O249" s="637" t="s">
        <v>37</v>
      </c>
      <c r="P249" s="637" t="s">
        <v>1156</v>
      </c>
      <c r="Q249" s="638">
        <v>0</v>
      </c>
      <c r="R249" s="638">
        <v>0</v>
      </c>
      <c r="S249" s="638">
        <v>113057</v>
      </c>
      <c r="T249" s="638">
        <v>113057</v>
      </c>
      <c r="U249" s="638">
        <v>33135</v>
      </c>
      <c r="V249" s="636">
        <v>2022</v>
      </c>
      <c r="W249" s="640"/>
      <c r="X249" s="641">
        <f t="shared" si="9"/>
        <v>3.4120114682360043</v>
      </c>
      <c r="Y249" s="642" t="str">
        <f t="shared" si="10"/>
        <v/>
      </c>
      <c r="Z249" s="642" t="str">
        <f t="shared" si="11"/>
        <v/>
      </c>
    </row>
    <row r="250" spans="1:26" s="127" customFormat="1" ht="25">
      <c r="A250" s="636">
        <v>2556</v>
      </c>
      <c r="B250" s="637" t="s">
        <v>33</v>
      </c>
      <c r="C250" s="636" t="s">
        <v>2725</v>
      </c>
      <c r="D250" s="637" t="s">
        <v>636</v>
      </c>
      <c r="E250" s="637" t="s">
        <v>118</v>
      </c>
      <c r="F250" s="636">
        <v>5914</v>
      </c>
      <c r="G250" s="637" t="s">
        <v>57</v>
      </c>
      <c r="H250" s="637" t="s">
        <v>1162</v>
      </c>
      <c r="I250" s="637" t="s">
        <v>58</v>
      </c>
      <c r="J250" s="636">
        <v>22</v>
      </c>
      <c r="K250" s="636">
        <v>2</v>
      </c>
      <c r="L250" s="637" t="s">
        <v>52</v>
      </c>
      <c r="M250" s="637" t="s">
        <v>35</v>
      </c>
      <c r="N250" s="637" t="s">
        <v>36</v>
      </c>
      <c r="O250" s="637" t="s">
        <v>37</v>
      </c>
      <c r="P250" s="637" t="s">
        <v>1156</v>
      </c>
      <c r="Q250" s="638">
        <v>0</v>
      </c>
      <c r="R250" s="638">
        <v>0</v>
      </c>
      <c r="S250" s="638">
        <v>29155</v>
      </c>
      <c r="T250" s="638">
        <v>29155</v>
      </c>
      <c r="U250" s="638">
        <v>8545</v>
      </c>
      <c r="V250" s="636">
        <v>2022</v>
      </c>
      <c r="W250" s="640"/>
      <c r="X250" s="641">
        <f t="shared" si="9"/>
        <v>3.4119368051492103</v>
      </c>
      <c r="Y250" s="642" t="str">
        <f t="shared" si="10"/>
        <v/>
      </c>
      <c r="Z250" s="642" t="str">
        <f t="shared" si="11"/>
        <v/>
      </c>
    </row>
    <row r="251" spans="1:26" s="127" customFormat="1" ht="25">
      <c r="A251" s="636">
        <v>2557</v>
      </c>
      <c r="B251" s="637" t="s">
        <v>33</v>
      </c>
      <c r="C251" s="636" t="s">
        <v>2725</v>
      </c>
      <c r="D251" s="637" t="s">
        <v>637</v>
      </c>
      <c r="E251" s="637" t="s">
        <v>118</v>
      </c>
      <c r="F251" s="636">
        <v>5914</v>
      </c>
      <c r="G251" s="637" t="s">
        <v>57</v>
      </c>
      <c r="H251" s="637" t="s">
        <v>1162</v>
      </c>
      <c r="I251" s="637" t="s">
        <v>58</v>
      </c>
      <c r="J251" s="636">
        <v>22</v>
      </c>
      <c r="K251" s="636">
        <v>2</v>
      </c>
      <c r="L251" s="637" t="s">
        <v>52</v>
      </c>
      <c r="M251" s="637" t="s">
        <v>35</v>
      </c>
      <c r="N251" s="637" t="s">
        <v>36</v>
      </c>
      <c r="O251" s="637" t="s">
        <v>37</v>
      </c>
      <c r="P251" s="637" t="s">
        <v>1156</v>
      </c>
      <c r="Q251" s="638">
        <v>0</v>
      </c>
      <c r="R251" s="638">
        <v>0</v>
      </c>
      <c r="S251" s="638">
        <v>54293</v>
      </c>
      <c r="T251" s="638">
        <v>54293</v>
      </c>
      <c r="U251" s="638">
        <v>15912</v>
      </c>
      <c r="V251" s="636">
        <v>2022</v>
      </c>
      <c r="W251" s="640"/>
      <c r="X251" s="641">
        <f t="shared" si="9"/>
        <v>3.4120789341377575</v>
      </c>
      <c r="Y251" s="642" t="str">
        <f t="shared" si="10"/>
        <v/>
      </c>
      <c r="Z251" s="642" t="str">
        <f t="shared" si="11"/>
        <v/>
      </c>
    </row>
    <row r="252" spans="1:26" s="127" customFormat="1" ht="25">
      <c r="A252" s="636">
        <v>2559</v>
      </c>
      <c r="B252" s="637" t="s">
        <v>33</v>
      </c>
      <c r="C252" s="636" t="s">
        <v>2725</v>
      </c>
      <c r="D252" s="637" t="s">
        <v>638</v>
      </c>
      <c r="E252" s="637" t="s">
        <v>118</v>
      </c>
      <c r="F252" s="636">
        <v>5914</v>
      </c>
      <c r="G252" s="637" t="s">
        <v>57</v>
      </c>
      <c r="H252" s="637" t="s">
        <v>1162</v>
      </c>
      <c r="I252" s="637" t="s">
        <v>58</v>
      </c>
      <c r="J252" s="636">
        <v>22</v>
      </c>
      <c r="K252" s="636">
        <v>2</v>
      </c>
      <c r="L252" s="637" t="s">
        <v>52</v>
      </c>
      <c r="M252" s="637" t="s">
        <v>35</v>
      </c>
      <c r="N252" s="637" t="s">
        <v>36</v>
      </c>
      <c r="O252" s="637" t="s">
        <v>37</v>
      </c>
      <c r="P252" s="637" t="s">
        <v>1156</v>
      </c>
      <c r="Q252" s="638">
        <v>0</v>
      </c>
      <c r="R252" s="638">
        <v>0</v>
      </c>
      <c r="S252" s="638">
        <v>35281</v>
      </c>
      <c r="T252" s="638">
        <v>35281</v>
      </c>
      <c r="U252" s="638">
        <v>10340</v>
      </c>
      <c r="V252" s="636">
        <v>2022</v>
      </c>
      <c r="W252" s="640"/>
      <c r="X252" s="641">
        <f t="shared" si="9"/>
        <v>3.4120889748549321</v>
      </c>
      <c r="Y252" s="642" t="str">
        <f t="shared" si="10"/>
        <v/>
      </c>
      <c r="Z252" s="642" t="str">
        <f t="shared" si="11"/>
        <v/>
      </c>
    </row>
    <row r="253" spans="1:26" s="127" customFormat="1" ht="25">
      <c r="A253" s="636">
        <v>2560</v>
      </c>
      <c r="B253" s="637" t="s">
        <v>33</v>
      </c>
      <c r="C253" s="636" t="s">
        <v>2725</v>
      </c>
      <c r="D253" s="637" t="s">
        <v>639</v>
      </c>
      <c r="E253" s="637" t="s">
        <v>118</v>
      </c>
      <c r="F253" s="636">
        <v>5914</v>
      </c>
      <c r="G253" s="637" t="s">
        <v>57</v>
      </c>
      <c r="H253" s="637" t="s">
        <v>1162</v>
      </c>
      <c r="I253" s="637" t="s">
        <v>58</v>
      </c>
      <c r="J253" s="636">
        <v>22</v>
      </c>
      <c r="K253" s="636">
        <v>2</v>
      </c>
      <c r="L253" s="637" t="s">
        <v>52</v>
      </c>
      <c r="M253" s="637" t="s">
        <v>35</v>
      </c>
      <c r="N253" s="637" t="s">
        <v>36</v>
      </c>
      <c r="O253" s="637" t="s">
        <v>37</v>
      </c>
      <c r="P253" s="637" t="s">
        <v>1156</v>
      </c>
      <c r="Q253" s="638">
        <v>0</v>
      </c>
      <c r="R253" s="638">
        <v>0</v>
      </c>
      <c r="S253" s="638">
        <v>40688</v>
      </c>
      <c r="T253" s="638">
        <v>40688</v>
      </c>
      <c r="U253" s="638">
        <v>11925</v>
      </c>
      <c r="V253" s="636">
        <v>2022</v>
      </c>
      <c r="W253" s="640"/>
      <c r="X253" s="641">
        <f t="shared" si="9"/>
        <v>3.4119916142557654</v>
      </c>
      <c r="Y253" s="642" t="str">
        <f t="shared" si="10"/>
        <v/>
      </c>
      <c r="Z253" s="642" t="str">
        <f t="shared" si="11"/>
        <v/>
      </c>
    </row>
    <row r="254" spans="1:26" s="127" customFormat="1" ht="25">
      <c r="A254" s="636">
        <v>2561</v>
      </c>
      <c r="B254" s="637" t="s">
        <v>33</v>
      </c>
      <c r="C254" s="636" t="s">
        <v>2725</v>
      </c>
      <c r="D254" s="637" t="s">
        <v>640</v>
      </c>
      <c r="E254" s="637" t="s">
        <v>118</v>
      </c>
      <c r="F254" s="636">
        <v>5914</v>
      </c>
      <c r="G254" s="637" t="s">
        <v>57</v>
      </c>
      <c r="H254" s="637" t="s">
        <v>1162</v>
      </c>
      <c r="I254" s="637" t="s">
        <v>58</v>
      </c>
      <c r="J254" s="636">
        <v>22</v>
      </c>
      <c r="K254" s="636">
        <v>2</v>
      </c>
      <c r="L254" s="637" t="s">
        <v>52</v>
      </c>
      <c r="M254" s="637" t="s">
        <v>35</v>
      </c>
      <c r="N254" s="637" t="s">
        <v>36</v>
      </c>
      <c r="O254" s="637" t="s">
        <v>37</v>
      </c>
      <c r="P254" s="637" t="s">
        <v>1156</v>
      </c>
      <c r="Q254" s="638">
        <v>0</v>
      </c>
      <c r="R254" s="638">
        <v>0</v>
      </c>
      <c r="S254" s="638">
        <v>88054</v>
      </c>
      <c r="T254" s="638">
        <v>88054</v>
      </c>
      <c r="U254" s="638">
        <v>25807</v>
      </c>
      <c r="V254" s="636">
        <v>2022</v>
      </c>
      <c r="W254" s="640"/>
      <c r="X254" s="641">
        <f t="shared" si="9"/>
        <v>3.4120199945751151</v>
      </c>
      <c r="Y254" s="642" t="str">
        <f t="shared" si="10"/>
        <v/>
      </c>
      <c r="Z254" s="642" t="str">
        <f t="shared" si="11"/>
        <v/>
      </c>
    </row>
    <row r="255" spans="1:26" s="127" customFormat="1" ht="25">
      <c r="A255" s="636">
        <v>2562</v>
      </c>
      <c r="B255" s="637" t="s">
        <v>33</v>
      </c>
      <c r="C255" s="636" t="s">
        <v>2725</v>
      </c>
      <c r="D255" s="637" t="s">
        <v>641</v>
      </c>
      <c r="E255" s="637" t="s">
        <v>118</v>
      </c>
      <c r="F255" s="636">
        <v>5914</v>
      </c>
      <c r="G255" s="637" t="s">
        <v>57</v>
      </c>
      <c r="H255" s="637" t="s">
        <v>1162</v>
      </c>
      <c r="I255" s="637" t="s">
        <v>58</v>
      </c>
      <c r="J255" s="636">
        <v>22</v>
      </c>
      <c r="K255" s="636">
        <v>2</v>
      </c>
      <c r="L255" s="637" t="s">
        <v>52</v>
      </c>
      <c r="M255" s="637" t="s">
        <v>35</v>
      </c>
      <c r="N255" s="637" t="s">
        <v>36</v>
      </c>
      <c r="O255" s="637" t="s">
        <v>37</v>
      </c>
      <c r="P255" s="637" t="s">
        <v>1156</v>
      </c>
      <c r="Q255" s="638">
        <v>0</v>
      </c>
      <c r="R255" s="638">
        <v>0</v>
      </c>
      <c r="S255" s="638">
        <v>332725</v>
      </c>
      <c r="T255" s="638">
        <v>332725</v>
      </c>
      <c r="U255" s="638">
        <v>97516</v>
      </c>
      <c r="V255" s="636">
        <v>2022</v>
      </c>
      <c r="W255" s="640"/>
      <c r="X255" s="641">
        <f t="shared" si="9"/>
        <v>3.4120041839287913</v>
      </c>
      <c r="Y255" s="642" t="str">
        <f t="shared" si="10"/>
        <v/>
      </c>
      <c r="Z255" s="642" t="str">
        <f t="shared" si="11"/>
        <v/>
      </c>
    </row>
    <row r="256" spans="1:26" s="127" customFormat="1" ht="25">
      <c r="A256" s="636">
        <v>2563</v>
      </c>
      <c r="B256" s="637" t="s">
        <v>33</v>
      </c>
      <c r="C256" s="636" t="s">
        <v>2725</v>
      </c>
      <c r="D256" s="637" t="s">
        <v>642</v>
      </c>
      <c r="E256" s="637" t="s">
        <v>118</v>
      </c>
      <c r="F256" s="636">
        <v>5914</v>
      </c>
      <c r="G256" s="637" t="s">
        <v>57</v>
      </c>
      <c r="H256" s="637" t="s">
        <v>1162</v>
      </c>
      <c r="I256" s="637" t="s">
        <v>58</v>
      </c>
      <c r="J256" s="636">
        <v>22</v>
      </c>
      <c r="K256" s="636">
        <v>2</v>
      </c>
      <c r="L256" s="637" t="s">
        <v>52</v>
      </c>
      <c r="M256" s="637" t="s">
        <v>35</v>
      </c>
      <c r="N256" s="637" t="s">
        <v>36</v>
      </c>
      <c r="O256" s="637" t="s">
        <v>37</v>
      </c>
      <c r="P256" s="637" t="s">
        <v>1156</v>
      </c>
      <c r="Q256" s="638">
        <v>0</v>
      </c>
      <c r="R256" s="638">
        <v>0</v>
      </c>
      <c r="S256" s="638">
        <v>65944</v>
      </c>
      <c r="T256" s="638">
        <v>65944</v>
      </c>
      <c r="U256" s="638">
        <v>19327</v>
      </c>
      <c r="V256" s="636">
        <v>2022</v>
      </c>
      <c r="W256" s="640"/>
      <c r="X256" s="641">
        <f t="shared" si="9"/>
        <v>3.412014280540177</v>
      </c>
      <c r="Y256" s="642" t="str">
        <f t="shared" si="10"/>
        <v/>
      </c>
      <c r="Z256" s="642" t="str">
        <f t="shared" si="11"/>
        <v/>
      </c>
    </row>
    <row r="257" spans="1:26" s="127" customFormat="1" ht="25">
      <c r="A257" s="636">
        <v>2564</v>
      </c>
      <c r="B257" s="637" t="s">
        <v>33</v>
      </c>
      <c r="C257" s="636" t="s">
        <v>2725</v>
      </c>
      <c r="D257" s="637" t="s">
        <v>1554</v>
      </c>
      <c r="E257" s="637" t="s">
        <v>118</v>
      </c>
      <c r="F257" s="636">
        <v>5914</v>
      </c>
      <c r="G257" s="637" t="s">
        <v>57</v>
      </c>
      <c r="H257" s="637" t="s">
        <v>1162</v>
      </c>
      <c r="I257" s="637" t="s">
        <v>58</v>
      </c>
      <c r="J257" s="636">
        <v>22</v>
      </c>
      <c r="K257" s="636">
        <v>2</v>
      </c>
      <c r="L257" s="637" t="s">
        <v>52</v>
      </c>
      <c r="M257" s="637" t="s">
        <v>35</v>
      </c>
      <c r="N257" s="637" t="s">
        <v>36</v>
      </c>
      <c r="O257" s="637" t="s">
        <v>37</v>
      </c>
      <c r="P257" s="637" t="s">
        <v>1156</v>
      </c>
      <c r="Q257" s="638">
        <v>0</v>
      </c>
      <c r="R257" s="638">
        <v>0</v>
      </c>
      <c r="S257" s="638">
        <v>35844</v>
      </c>
      <c r="T257" s="638">
        <v>35844</v>
      </c>
      <c r="U257" s="638">
        <v>10506</v>
      </c>
      <c r="V257" s="636">
        <v>2022</v>
      </c>
      <c r="W257" s="640"/>
      <c r="X257" s="641">
        <f t="shared" si="9"/>
        <v>3.4117647058823528</v>
      </c>
      <c r="Y257" s="642" t="str">
        <f t="shared" si="10"/>
        <v/>
      </c>
      <c r="Z257" s="642" t="str">
        <f t="shared" si="11"/>
        <v/>
      </c>
    </row>
    <row r="258" spans="1:26" s="127" customFormat="1" ht="25">
      <c r="A258" s="636">
        <v>2566</v>
      </c>
      <c r="B258" s="637" t="s">
        <v>33</v>
      </c>
      <c r="C258" s="636" t="s">
        <v>2725</v>
      </c>
      <c r="D258" s="637" t="s">
        <v>1863</v>
      </c>
      <c r="E258" s="637" t="s">
        <v>118</v>
      </c>
      <c r="F258" s="636">
        <v>5914</v>
      </c>
      <c r="G258" s="637" t="s">
        <v>57</v>
      </c>
      <c r="H258" s="637" t="s">
        <v>1162</v>
      </c>
      <c r="I258" s="637" t="s">
        <v>58</v>
      </c>
      <c r="J258" s="636">
        <v>22</v>
      </c>
      <c r="K258" s="636">
        <v>2</v>
      </c>
      <c r="L258" s="637" t="s">
        <v>52</v>
      </c>
      <c r="M258" s="637" t="s">
        <v>35</v>
      </c>
      <c r="N258" s="637" t="s">
        <v>36</v>
      </c>
      <c r="O258" s="637" t="s">
        <v>37</v>
      </c>
      <c r="P258" s="637" t="s">
        <v>1156</v>
      </c>
      <c r="Q258" s="638">
        <v>0</v>
      </c>
      <c r="R258" s="638">
        <v>0</v>
      </c>
      <c r="S258" s="638">
        <v>17931</v>
      </c>
      <c r="T258" s="638">
        <v>17931</v>
      </c>
      <c r="U258" s="638">
        <v>5255</v>
      </c>
      <c r="V258" s="636">
        <v>2022</v>
      </c>
      <c r="W258" s="640"/>
      <c r="X258" s="641">
        <f t="shared" si="9"/>
        <v>3.4121788772597528</v>
      </c>
      <c r="Y258" s="642" t="str">
        <f t="shared" si="10"/>
        <v/>
      </c>
      <c r="Z258" s="642" t="str">
        <f t="shared" si="11"/>
        <v/>
      </c>
    </row>
    <row r="259" spans="1:26" s="127" customFormat="1" ht="25">
      <c r="A259" s="636">
        <v>2568</v>
      </c>
      <c r="B259" s="637" t="s">
        <v>33</v>
      </c>
      <c r="C259" s="636" t="s">
        <v>2725</v>
      </c>
      <c r="D259" s="637" t="s">
        <v>1555</v>
      </c>
      <c r="E259" s="637" t="s">
        <v>118</v>
      </c>
      <c r="F259" s="636">
        <v>5914</v>
      </c>
      <c r="G259" s="637" t="s">
        <v>57</v>
      </c>
      <c r="H259" s="637" t="s">
        <v>1162</v>
      </c>
      <c r="I259" s="637" t="s">
        <v>58</v>
      </c>
      <c r="J259" s="636">
        <v>22</v>
      </c>
      <c r="K259" s="636">
        <v>2</v>
      </c>
      <c r="L259" s="637" t="s">
        <v>52</v>
      </c>
      <c r="M259" s="637" t="s">
        <v>35</v>
      </c>
      <c r="N259" s="637" t="s">
        <v>36</v>
      </c>
      <c r="O259" s="637" t="s">
        <v>37</v>
      </c>
      <c r="P259" s="637" t="s">
        <v>1156</v>
      </c>
      <c r="Q259" s="638">
        <v>0</v>
      </c>
      <c r="R259" s="638">
        <v>0</v>
      </c>
      <c r="S259" s="638">
        <v>19870</v>
      </c>
      <c r="T259" s="638">
        <v>19870</v>
      </c>
      <c r="U259" s="638">
        <v>5823</v>
      </c>
      <c r="V259" s="636">
        <v>2022</v>
      </c>
      <c r="W259" s="640"/>
      <c r="X259" s="641">
        <f t="shared" si="9"/>
        <v>3.4123304138760089</v>
      </c>
      <c r="Y259" s="642" t="str">
        <f t="shared" si="10"/>
        <v/>
      </c>
      <c r="Z259" s="642" t="str">
        <f t="shared" si="11"/>
        <v/>
      </c>
    </row>
    <row r="260" spans="1:26" s="127" customFormat="1" ht="25">
      <c r="A260" s="636">
        <v>2569</v>
      </c>
      <c r="B260" s="637" t="s">
        <v>33</v>
      </c>
      <c r="C260" s="636" t="s">
        <v>2725</v>
      </c>
      <c r="D260" s="637" t="s">
        <v>643</v>
      </c>
      <c r="E260" s="637" t="s">
        <v>118</v>
      </c>
      <c r="F260" s="636">
        <v>5914</v>
      </c>
      <c r="G260" s="637" t="s">
        <v>57</v>
      </c>
      <c r="H260" s="637" t="s">
        <v>1162</v>
      </c>
      <c r="I260" s="637" t="s">
        <v>58</v>
      </c>
      <c r="J260" s="636">
        <v>22</v>
      </c>
      <c r="K260" s="636">
        <v>2</v>
      </c>
      <c r="L260" s="637" t="s">
        <v>52</v>
      </c>
      <c r="M260" s="637" t="s">
        <v>35</v>
      </c>
      <c r="N260" s="637" t="s">
        <v>36</v>
      </c>
      <c r="O260" s="637" t="s">
        <v>37</v>
      </c>
      <c r="P260" s="637" t="s">
        <v>1156</v>
      </c>
      <c r="Q260" s="638">
        <v>0</v>
      </c>
      <c r="R260" s="638">
        <v>0</v>
      </c>
      <c r="S260" s="638">
        <v>101060</v>
      </c>
      <c r="T260" s="638">
        <v>101060</v>
      </c>
      <c r="U260" s="638">
        <v>29619</v>
      </c>
      <c r="V260" s="636">
        <v>2022</v>
      </c>
      <c r="W260" s="640"/>
      <c r="X260" s="641">
        <f t="shared" si="9"/>
        <v>3.4119990546608596</v>
      </c>
      <c r="Y260" s="642" t="str">
        <f t="shared" si="10"/>
        <v/>
      </c>
      <c r="Z260" s="642" t="str">
        <f t="shared" si="11"/>
        <v/>
      </c>
    </row>
    <row r="261" spans="1:26" s="127" customFormat="1" ht="25">
      <c r="A261" s="636">
        <v>2571</v>
      </c>
      <c r="B261" s="637" t="s">
        <v>33</v>
      </c>
      <c r="C261" s="636" t="s">
        <v>2725</v>
      </c>
      <c r="D261" s="637" t="s">
        <v>644</v>
      </c>
      <c r="E261" s="637" t="s">
        <v>118</v>
      </c>
      <c r="F261" s="636">
        <v>5914</v>
      </c>
      <c r="G261" s="637" t="s">
        <v>57</v>
      </c>
      <c r="H261" s="637" t="s">
        <v>1162</v>
      </c>
      <c r="I261" s="637" t="s">
        <v>58</v>
      </c>
      <c r="J261" s="636">
        <v>22</v>
      </c>
      <c r="K261" s="636">
        <v>2</v>
      </c>
      <c r="L261" s="637" t="s">
        <v>52</v>
      </c>
      <c r="M261" s="637" t="s">
        <v>35</v>
      </c>
      <c r="N261" s="637" t="s">
        <v>36</v>
      </c>
      <c r="O261" s="637" t="s">
        <v>37</v>
      </c>
      <c r="P261" s="637" t="s">
        <v>1156</v>
      </c>
      <c r="Q261" s="638">
        <v>0</v>
      </c>
      <c r="R261" s="638">
        <v>0</v>
      </c>
      <c r="S261" s="638">
        <v>178079</v>
      </c>
      <c r="T261" s="638">
        <v>178079</v>
      </c>
      <c r="U261" s="638">
        <v>52192</v>
      </c>
      <c r="V261" s="636">
        <v>2022</v>
      </c>
      <c r="W261" s="640"/>
      <c r="X261" s="641">
        <f t="shared" si="9"/>
        <v>3.4119980073574494</v>
      </c>
      <c r="Y261" s="642" t="str">
        <f t="shared" si="10"/>
        <v/>
      </c>
      <c r="Z261" s="642" t="str">
        <f t="shared" si="11"/>
        <v/>
      </c>
    </row>
    <row r="262" spans="1:26" s="127" customFormat="1" ht="25">
      <c r="A262" s="636">
        <v>2572</v>
      </c>
      <c r="B262" s="637" t="s">
        <v>33</v>
      </c>
      <c r="C262" s="636" t="s">
        <v>2725</v>
      </c>
      <c r="D262" s="637" t="s">
        <v>645</v>
      </c>
      <c r="E262" s="637" t="s">
        <v>118</v>
      </c>
      <c r="F262" s="636">
        <v>5914</v>
      </c>
      <c r="G262" s="637" t="s">
        <v>57</v>
      </c>
      <c r="H262" s="637" t="s">
        <v>1162</v>
      </c>
      <c r="I262" s="637" t="s">
        <v>58</v>
      </c>
      <c r="J262" s="636">
        <v>22</v>
      </c>
      <c r="K262" s="636">
        <v>2</v>
      </c>
      <c r="L262" s="637" t="s">
        <v>52</v>
      </c>
      <c r="M262" s="637" t="s">
        <v>35</v>
      </c>
      <c r="N262" s="637" t="s">
        <v>36</v>
      </c>
      <c r="O262" s="637" t="s">
        <v>37</v>
      </c>
      <c r="P262" s="637" t="s">
        <v>1156</v>
      </c>
      <c r="Q262" s="638">
        <v>0</v>
      </c>
      <c r="R262" s="638">
        <v>0</v>
      </c>
      <c r="S262" s="638">
        <v>81421</v>
      </c>
      <c r="T262" s="638">
        <v>81421</v>
      </c>
      <c r="U262" s="638">
        <v>23863</v>
      </c>
      <c r="V262" s="636">
        <v>2022</v>
      </c>
      <c r="W262" s="640"/>
      <c r="X262" s="641">
        <f t="shared" si="9"/>
        <v>3.4120186062104514</v>
      </c>
      <c r="Y262" s="642" t="str">
        <f t="shared" si="10"/>
        <v/>
      </c>
      <c r="Z262" s="642" t="str">
        <f t="shared" si="11"/>
        <v/>
      </c>
    </row>
    <row r="263" spans="1:26" s="127" customFormat="1" ht="25">
      <c r="A263" s="636">
        <v>2573</v>
      </c>
      <c r="B263" s="637" t="s">
        <v>33</v>
      </c>
      <c r="C263" s="636" t="s">
        <v>2725</v>
      </c>
      <c r="D263" s="637" t="s">
        <v>646</v>
      </c>
      <c r="E263" s="637" t="s">
        <v>118</v>
      </c>
      <c r="F263" s="636">
        <v>5914</v>
      </c>
      <c r="G263" s="637" t="s">
        <v>57</v>
      </c>
      <c r="H263" s="637" t="s">
        <v>1162</v>
      </c>
      <c r="I263" s="637" t="s">
        <v>58</v>
      </c>
      <c r="J263" s="636">
        <v>22</v>
      </c>
      <c r="K263" s="636">
        <v>2</v>
      </c>
      <c r="L263" s="637" t="s">
        <v>52</v>
      </c>
      <c r="M263" s="637" t="s">
        <v>35</v>
      </c>
      <c r="N263" s="637" t="s">
        <v>36</v>
      </c>
      <c r="O263" s="637" t="s">
        <v>37</v>
      </c>
      <c r="P263" s="637" t="s">
        <v>1156</v>
      </c>
      <c r="Q263" s="638">
        <v>0</v>
      </c>
      <c r="R263" s="638">
        <v>0</v>
      </c>
      <c r="S263" s="638">
        <v>16159</v>
      </c>
      <c r="T263" s="638">
        <v>16159</v>
      </c>
      <c r="U263" s="638">
        <v>4736</v>
      </c>
      <c r="V263" s="636">
        <v>2022</v>
      </c>
      <c r="W263" s="640"/>
      <c r="X263" s="641">
        <f t="shared" si="9"/>
        <v>3.4119510135135136</v>
      </c>
      <c r="Y263" s="642" t="str">
        <f t="shared" si="10"/>
        <v/>
      </c>
      <c r="Z263" s="642" t="str">
        <f t="shared" si="11"/>
        <v/>
      </c>
    </row>
    <row r="264" spans="1:26" s="127" customFormat="1" ht="25">
      <c r="A264" s="636">
        <v>2574</v>
      </c>
      <c r="B264" s="637" t="s">
        <v>33</v>
      </c>
      <c r="C264" s="636" t="s">
        <v>2725</v>
      </c>
      <c r="D264" s="637" t="s">
        <v>647</v>
      </c>
      <c r="E264" s="637" t="s">
        <v>648</v>
      </c>
      <c r="F264" s="636">
        <v>14240</v>
      </c>
      <c r="G264" s="637" t="s">
        <v>57</v>
      </c>
      <c r="H264" s="637" t="s">
        <v>1162</v>
      </c>
      <c r="I264" s="637" t="s">
        <v>58</v>
      </c>
      <c r="J264" s="636">
        <v>22</v>
      </c>
      <c r="K264" s="636">
        <v>1</v>
      </c>
      <c r="L264" s="637" t="s">
        <v>34</v>
      </c>
      <c r="M264" s="637" t="s">
        <v>35</v>
      </c>
      <c r="N264" s="637" t="s">
        <v>36</v>
      </c>
      <c r="O264" s="637" t="s">
        <v>37</v>
      </c>
      <c r="P264" s="637" t="s">
        <v>1156</v>
      </c>
      <c r="Q264" s="638">
        <v>0</v>
      </c>
      <c r="R264" s="638">
        <v>0</v>
      </c>
      <c r="S264" s="638">
        <v>0</v>
      </c>
      <c r="T264" s="638">
        <v>0</v>
      </c>
      <c r="U264" s="638">
        <v>0</v>
      </c>
      <c r="V264" s="636">
        <v>2022</v>
      </c>
      <c r="W264" s="640"/>
      <c r="X264" s="641" t="str">
        <f t="shared" ref="X264:X327" si="12">IF(OR(K264&gt;3,T264=0,NOT(U264&gt;0)),"",T264/U264)</f>
        <v/>
      </c>
      <c r="Y264" s="642" t="str">
        <f t="shared" ref="Y264:Y327" si="13">IF(AND($M264=$Y$2,$N264=$Y$3,NOT($Q264=$R264),NOT($U264=0)),IF($K264=5,$S264/($U264+(8/5)*$U264),IF($K264=7,$S264/($U264+(29/25)*$U264),"")),"")</f>
        <v/>
      </c>
      <c r="Z264" s="642" t="str">
        <f t="shared" si="11"/>
        <v/>
      </c>
    </row>
    <row r="265" spans="1:26" s="127" customFormat="1" ht="25">
      <c r="A265" s="636">
        <v>2575</v>
      </c>
      <c r="B265" s="637" t="s">
        <v>33</v>
      </c>
      <c r="C265" s="636" t="s">
        <v>2725</v>
      </c>
      <c r="D265" s="637" t="s">
        <v>1556</v>
      </c>
      <c r="E265" s="637" t="s">
        <v>118</v>
      </c>
      <c r="F265" s="636">
        <v>5914</v>
      </c>
      <c r="G265" s="637" t="s">
        <v>57</v>
      </c>
      <c r="H265" s="637" t="s">
        <v>1162</v>
      </c>
      <c r="I265" s="637" t="s">
        <v>58</v>
      </c>
      <c r="J265" s="636">
        <v>22</v>
      </c>
      <c r="K265" s="636">
        <v>2</v>
      </c>
      <c r="L265" s="637" t="s">
        <v>52</v>
      </c>
      <c r="M265" s="637" t="s">
        <v>35</v>
      </c>
      <c r="N265" s="637" t="s">
        <v>36</v>
      </c>
      <c r="O265" s="637" t="s">
        <v>37</v>
      </c>
      <c r="P265" s="637" t="s">
        <v>1156</v>
      </c>
      <c r="Q265" s="638">
        <v>0</v>
      </c>
      <c r="R265" s="638">
        <v>0</v>
      </c>
      <c r="S265" s="638">
        <v>106099</v>
      </c>
      <c r="T265" s="638">
        <v>106099</v>
      </c>
      <c r="U265" s="638">
        <v>31096</v>
      </c>
      <c r="V265" s="636">
        <v>2022</v>
      </c>
      <c r="W265" s="640"/>
      <c r="X265" s="641">
        <f t="shared" si="12"/>
        <v>3.4119822485207099</v>
      </c>
      <c r="Y265" s="642" t="str">
        <f t="shared" si="13"/>
        <v/>
      </c>
      <c r="Z265" s="642" t="str">
        <f t="shared" si="11"/>
        <v/>
      </c>
    </row>
    <row r="266" spans="1:26" s="127" customFormat="1" ht="25">
      <c r="A266" s="636">
        <v>2576</v>
      </c>
      <c r="B266" s="637" t="s">
        <v>33</v>
      </c>
      <c r="C266" s="636" t="s">
        <v>2725</v>
      </c>
      <c r="D266" s="637" t="s">
        <v>649</v>
      </c>
      <c r="E266" s="637" t="s">
        <v>118</v>
      </c>
      <c r="F266" s="636">
        <v>5914</v>
      </c>
      <c r="G266" s="637" t="s">
        <v>57</v>
      </c>
      <c r="H266" s="637" t="s">
        <v>1162</v>
      </c>
      <c r="I266" s="637" t="s">
        <v>58</v>
      </c>
      <c r="J266" s="636">
        <v>22</v>
      </c>
      <c r="K266" s="636">
        <v>2</v>
      </c>
      <c r="L266" s="637" t="s">
        <v>52</v>
      </c>
      <c r="M266" s="637" t="s">
        <v>35</v>
      </c>
      <c r="N266" s="637" t="s">
        <v>36</v>
      </c>
      <c r="O266" s="637" t="s">
        <v>37</v>
      </c>
      <c r="P266" s="637" t="s">
        <v>1156</v>
      </c>
      <c r="Q266" s="638">
        <v>0</v>
      </c>
      <c r="R266" s="638">
        <v>0</v>
      </c>
      <c r="S266" s="638">
        <v>126983</v>
      </c>
      <c r="T266" s="638">
        <v>126983</v>
      </c>
      <c r="U266" s="638">
        <v>37216</v>
      </c>
      <c r="V266" s="636">
        <v>2022</v>
      </c>
      <c r="W266" s="640"/>
      <c r="X266" s="641">
        <f t="shared" si="12"/>
        <v>3.412053955288048</v>
      </c>
      <c r="Y266" s="642" t="str">
        <f t="shared" si="13"/>
        <v/>
      </c>
      <c r="Z266" s="642" t="str">
        <f t="shared" si="11"/>
        <v/>
      </c>
    </row>
    <row r="267" spans="1:26" s="127" customFormat="1" ht="25">
      <c r="A267" s="636">
        <v>2578</v>
      </c>
      <c r="B267" s="637" t="s">
        <v>33</v>
      </c>
      <c r="C267" s="636" t="s">
        <v>2725</v>
      </c>
      <c r="D267" s="637" t="s">
        <v>650</v>
      </c>
      <c r="E267" s="637" t="s">
        <v>118</v>
      </c>
      <c r="F267" s="636">
        <v>5914</v>
      </c>
      <c r="G267" s="637" t="s">
        <v>57</v>
      </c>
      <c r="H267" s="637" t="s">
        <v>1162</v>
      </c>
      <c r="I267" s="637" t="s">
        <v>58</v>
      </c>
      <c r="J267" s="636">
        <v>22</v>
      </c>
      <c r="K267" s="636">
        <v>2</v>
      </c>
      <c r="L267" s="637" t="s">
        <v>52</v>
      </c>
      <c r="M267" s="637" t="s">
        <v>35</v>
      </c>
      <c r="N267" s="637" t="s">
        <v>36</v>
      </c>
      <c r="O267" s="637" t="s">
        <v>37</v>
      </c>
      <c r="P267" s="637" t="s">
        <v>1156</v>
      </c>
      <c r="Q267" s="638">
        <v>0</v>
      </c>
      <c r="R267" s="638">
        <v>0</v>
      </c>
      <c r="S267" s="638">
        <v>24211</v>
      </c>
      <c r="T267" s="638">
        <v>24211</v>
      </c>
      <c r="U267" s="638">
        <v>7096</v>
      </c>
      <c r="V267" s="636">
        <v>2022</v>
      </c>
      <c r="W267" s="640"/>
      <c r="X267" s="641">
        <f t="shared" si="12"/>
        <v>3.4119222096956032</v>
      </c>
      <c r="Y267" s="642" t="str">
        <f t="shared" si="13"/>
        <v/>
      </c>
      <c r="Z267" s="642" t="str">
        <f t="shared" si="11"/>
        <v/>
      </c>
    </row>
    <row r="268" spans="1:26" s="127" customFormat="1" ht="25">
      <c r="A268" s="636">
        <v>2579</v>
      </c>
      <c r="B268" s="637" t="s">
        <v>33</v>
      </c>
      <c r="C268" s="636" t="s">
        <v>2725</v>
      </c>
      <c r="D268" s="637" t="s">
        <v>651</v>
      </c>
      <c r="E268" s="637" t="s">
        <v>118</v>
      </c>
      <c r="F268" s="636">
        <v>5914</v>
      </c>
      <c r="G268" s="637" t="s">
        <v>57</v>
      </c>
      <c r="H268" s="637" t="s">
        <v>1162</v>
      </c>
      <c r="I268" s="637" t="s">
        <v>58</v>
      </c>
      <c r="J268" s="636">
        <v>22</v>
      </c>
      <c r="K268" s="636">
        <v>2</v>
      </c>
      <c r="L268" s="637" t="s">
        <v>52</v>
      </c>
      <c r="M268" s="637" t="s">
        <v>35</v>
      </c>
      <c r="N268" s="637" t="s">
        <v>36</v>
      </c>
      <c r="O268" s="637" t="s">
        <v>37</v>
      </c>
      <c r="P268" s="637" t="s">
        <v>1156</v>
      </c>
      <c r="Q268" s="638">
        <v>0</v>
      </c>
      <c r="R268" s="638">
        <v>0</v>
      </c>
      <c r="S268" s="638">
        <v>99252</v>
      </c>
      <c r="T268" s="638">
        <v>99252</v>
      </c>
      <c r="U268" s="638">
        <v>29089</v>
      </c>
      <c r="V268" s="636">
        <v>2022</v>
      </c>
      <c r="W268" s="640"/>
      <c r="X268" s="641">
        <f t="shared" si="12"/>
        <v>3.4120114132489943</v>
      </c>
      <c r="Y268" s="642" t="str">
        <f t="shared" si="13"/>
        <v/>
      </c>
      <c r="Z268" s="642" t="str">
        <f t="shared" si="11"/>
        <v/>
      </c>
    </row>
    <row r="269" spans="1:26" s="127" customFormat="1" ht="25">
      <c r="A269" s="636">
        <v>2580</v>
      </c>
      <c r="B269" s="637" t="s">
        <v>33</v>
      </c>
      <c r="C269" s="636" t="s">
        <v>2725</v>
      </c>
      <c r="D269" s="637" t="s">
        <v>1557</v>
      </c>
      <c r="E269" s="637" t="s">
        <v>118</v>
      </c>
      <c r="F269" s="636">
        <v>5914</v>
      </c>
      <c r="G269" s="637" t="s">
        <v>57</v>
      </c>
      <c r="H269" s="637" t="s">
        <v>1162</v>
      </c>
      <c r="I269" s="637" t="s">
        <v>58</v>
      </c>
      <c r="J269" s="636">
        <v>22</v>
      </c>
      <c r="K269" s="636">
        <v>2</v>
      </c>
      <c r="L269" s="637" t="s">
        <v>52</v>
      </c>
      <c r="M269" s="637" t="s">
        <v>35</v>
      </c>
      <c r="N269" s="637" t="s">
        <v>36</v>
      </c>
      <c r="O269" s="637" t="s">
        <v>37</v>
      </c>
      <c r="P269" s="637" t="s">
        <v>1156</v>
      </c>
      <c r="Q269" s="638">
        <v>0</v>
      </c>
      <c r="R269" s="638">
        <v>0</v>
      </c>
      <c r="S269" s="638">
        <v>23719</v>
      </c>
      <c r="T269" s="638">
        <v>23719</v>
      </c>
      <c r="U269" s="638">
        <v>6952</v>
      </c>
      <c r="V269" s="636">
        <v>2022</v>
      </c>
      <c r="W269" s="640"/>
      <c r="X269" s="641">
        <f t="shared" si="12"/>
        <v>3.4118239355581128</v>
      </c>
      <c r="Y269" s="642" t="str">
        <f t="shared" si="13"/>
        <v/>
      </c>
      <c r="Z269" s="642" t="str">
        <f t="shared" si="11"/>
        <v/>
      </c>
    </row>
    <row r="270" spans="1:26" s="127" customFormat="1" ht="25">
      <c r="A270" s="636">
        <v>2581</v>
      </c>
      <c r="B270" s="637" t="s">
        <v>33</v>
      </c>
      <c r="C270" s="636" t="s">
        <v>2725</v>
      </c>
      <c r="D270" s="637" t="s">
        <v>652</v>
      </c>
      <c r="E270" s="637" t="s">
        <v>118</v>
      </c>
      <c r="F270" s="636">
        <v>5914</v>
      </c>
      <c r="G270" s="637" t="s">
        <v>57</v>
      </c>
      <c r="H270" s="637" t="s">
        <v>1162</v>
      </c>
      <c r="I270" s="637" t="s">
        <v>58</v>
      </c>
      <c r="J270" s="636">
        <v>22</v>
      </c>
      <c r="K270" s="636">
        <v>2</v>
      </c>
      <c r="L270" s="637" t="s">
        <v>52</v>
      </c>
      <c r="M270" s="637" t="s">
        <v>35</v>
      </c>
      <c r="N270" s="637" t="s">
        <v>36</v>
      </c>
      <c r="O270" s="637" t="s">
        <v>37</v>
      </c>
      <c r="P270" s="637" t="s">
        <v>1156</v>
      </c>
      <c r="Q270" s="638">
        <v>0</v>
      </c>
      <c r="R270" s="638">
        <v>0</v>
      </c>
      <c r="S270" s="638">
        <v>89240</v>
      </c>
      <c r="T270" s="638">
        <v>89240</v>
      </c>
      <c r="U270" s="638">
        <v>26155</v>
      </c>
      <c r="V270" s="636">
        <v>2022</v>
      </c>
      <c r="W270" s="640"/>
      <c r="X270" s="641">
        <f t="shared" si="12"/>
        <v>3.411967119097687</v>
      </c>
      <c r="Y270" s="642" t="str">
        <f t="shared" si="13"/>
        <v/>
      </c>
      <c r="Z270" s="642" t="str">
        <f t="shared" si="11"/>
        <v/>
      </c>
    </row>
    <row r="271" spans="1:26" s="127" customFormat="1" ht="25">
      <c r="A271" s="636">
        <v>2582</v>
      </c>
      <c r="B271" s="637" t="s">
        <v>33</v>
      </c>
      <c r="C271" s="636" t="s">
        <v>2725</v>
      </c>
      <c r="D271" s="637" t="s">
        <v>653</v>
      </c>
      <c r="E271" s="637" t="s">
        <v>118</v>
      </c>
      <c r="F271" s="636">
        <v>5914</v>
      </c>
      <c r="G271" s="637" t="s">
        <v>57</v>
      </c>
      <c r="H271" s="637" t="s">
        <v>1162</v>
      </c>
      <c r="I271" s="637" t="s">
        <v>58</v>
      </c>
      <c r="J271" s="636">
        <v>22</v>
      </c>
      <c r="K271" s="636">
        <v>2</v>
      </c>
      <c r="L271" s="637" t="s">
        <v>52</v>
      </c>
      <c r="M271" s="637" t="s">
        <v>35</v>
      </c>
      <c r="N271" s="637" t="s">
        <v>36</v>
      </c>
      <c r="O271" s="637" t="s">
        <v>37</v>
      </c>
      <c r="P271" s="637" t="s">
        <v>1156</v>
      </c>
      <c r="Q271" s="638">
        <v>0</v>
      </c>
      <c r="R271" s="638">
        <v>0</v>
      </c>
      <c r="S271" s="638">
        <v>72992</v>
      </c>
      <c r="T271" s="638">
        <v>72992</v>
      </c>
      <c r="U271" s="638">
        <v>21393</v>
      </c>
      <c r="V271" s="636">
        <v>2022</v>
      </c>
      <c r="W271" s="640"/>
      <c r="X271" s="641">
        <f t="shared" si="12"/>
        <v>3.4119571822558781</v>
      </c>
      <c r="Y271" s="642" t="str">
        <f t="shared" si="13"/>
        <v/>
      </c>
      <c r="Z271" s="642" t="str">
        <f t="shared" si="11"/>
        <v/>
      </c>
    </row>
    <row r="272" spans="1:26" s="127" customFormat="1" ht="25">
      <c r="A272" s="636">
        <v>2583</v>
      </c>
      <c r="B272" s="637" t="s">
        <v>33</v>
      </c>
      <c r="C272" s="636" t="s">
        <v>2725</v>
      </c>
      <c r="D272" s="637" t="s">
        <v>654</v>
      </c>
      <c r="E272" s="637" t="s">
        <v>118</v>
      </c>
      <c r="F272" s="636">
        <v>5914</v>
      </c>
      <c r="G272" s="637" t="s">
        <v>57</v>
      </c>
      <c r="H272" s="637" t="s">
        <v>1162</v>
      </c>
      <c r="I272" s="637" t="s">
        <v>58</v>
      </c>
      <c r="J272" s="636">
        <v>22</v>
      </c>
      <c r="K272" s="636">
        <v>2</v>
      </c>
      <c r="L272" s="637" t="s">
        <v>52</v>
      </c>
      <c r="M272" s="637" t="s">
        <v>35</v>
      </c>
      <c r="N272" s="637" t="s">
        <v>36</v>
      </c>
      <c r="O272" s="637" t="s">
        <v>37</v>
      </c>
      <c r="P272" s="637" t="s">
        <v>1156</v>
      </c>
      <c r="Q272" s="638">
        <v>0</v>
      </c>
      <c r="R272" s="638">
        <v>0</v>
      </c>
      <c r="S272" s="638">
        <v>19659</v>
      </c>
      <c r="T272" s="638">
        <v>19659</v>
      </c>
      <c r="U272" s="638">
        <v>5762</v>
      </c>
      <c r="V272" s="636">
        <v>2022</v>
      </c>
      <c r="W272" s="640"/>
      <c r="X272" s="641">
        <f t="shared" si="12"/>
        <v>3.4118361679972233</v>
      </c>
      <c r="Y272" s="642" t="str">
        <f t="shared" si="13"/>
        <v/>
      </c>
      <c r="Z272" s="642" t="str">
        <f t="shared" ref="Z272:Z335" si="14">IF(AND($M272=$Y$2,$N272=$Y$4,NOT($Q272=$R272),NOT($U272=0)),IF($K272=5,$S272/($U272+(8/5)*$U272),IF($K272=7,$S272/($U272+(29/25)*$U272),"")),"")</f>
        <v/>
      </c>
    </row>
    <row r="273" spans="1:26" s="127" customFormat="1" ht="25">
      <c r="A273" s="636">
        <v>2586</v>
      </c>
      <c r="B273" s="637" t="s">
        <v>33</v>
      </c>
      <c r="C273" s="636" t="s">
        <v>2725</v>
      </c>
      <c r="D273" s="637" t="s">
        <v>655</v>
      </c>
      <c r="E273" s="637" t="s">
        <v>118</v>
      </c>
      <c r="F273" s="636">
        <v>5914</v>
      </c>
      <c r="G273" s="637" t="s">
        <v>57</v>
      </c>
      <c r="H273" s="637" t="s">
        <v>1162</v>
      </c>
      <c r="I273" s="637" t="s">
        <v>58</v>
      </c>
      <c r="J273" s="636">
        <v>22</v>
      </c>
      <c r="K273" s="636">
        <v>2</v>
      </c>
      <c r="L273" s="637" t="s">
        <v>52</v>
      </c>
      <c r="M273" s="637" t="s">
        <v>35</v>
      </c>
      <c r="N273" s="637" t="s">
        <v>36</v>
      </c>
      <c r="O273" s="637" t="s">
        <v>37</v>
      </c>
      <c r="P273" s="637" t="s">
        <v>1156</v>
      </c>
      <c r="Q273" s="638">
        <v>0</v>
      </c>
      <c r="R273" s="638">
        <v>0</v>
      </c>
      <c r="S273" s="638">
        <v>85081</v>
      </c>
      <c r="T273" s="638">
        <v>85081</v>
      </c>
      <c r="U273" s="638">
        <v>24936</v>
      </c>
      <c r="V273" s="636">
        <v>2022</v>
      </c>
      <c r="W273" s="640"/>
      <c r="X273" s="641">
        <f t="shared" si="12"/>
        <v>3.4119746551171</v>
      </c>
      <c r="Y273" s="642" t="str">
        <f t="shared" si="13"/>
        <v/>
      </c>
      <c r="Z273" s="642" t="str">
        <f t="shared" si="14"/>
        <v/>
      </c>
    </row>
    <row r="274" spans="1:26" s="127" customFormat="1" ht="25">
      <c r="A274" s="636">
        <v>2588</v>
      </c>
      <c r="B274" s="637" t="s">
        <v>33</v>
      </c>
      <c r="C274" s="636" t="s">
        <v>2725</v>
      </c>
      <c r="D274" s="637" t="s">
        <v>656</v>
      </c>
      <c r="E274" s="637" t="s">
        <v>118</v>
      </c>
      <c r="F274" s="636">
        <v>5914</v>
      </c>
      <c r="G274" s="637" t="s">
        <v>57</v>
      </c>
      <c r="H274" s="637" t="s">
        <v>1162</v>
      </c>
      <c r="I274" s="637" t="s">
        <v>58</v>
      </c>
      <c r="J274" s="636">
        <v>22</v>
      </c>
      <c r="K274" s="636">
        <v>2</v>
      </c>
      <c r="L274" s="637" t="s">
        <v>52</v>
      </c>
      <c r="M274" s="637" t="s">
        <v>35</v>
      </c>
      <c r="N274" s="637" t="s">
        <v>36</v>
      </c>
      <c r="O274" s="637" t="s">
        <v>37</v>
      </c>
      <c r="P274" s="637" t="s">
        <v>1156</v>
      </c>
      <c r="Q274" s="638">
        <v>0</v>
      </c>
      <c r="R274" s="638">
        <v>0</v>
      </c>
      <c r="S274" s="638">
        <v>139794</v>
      </c>
      <c r="T274" s="638">
        <v>139794</v>
      </c>
      <c r="U274" s="638">
        <v>40971</v>
      </c>
      <c r="V274" s="636">
        <v>2022</v>
      </c>
      <c r="W274" s="640"/>
      <c r="X274" s="641">
        <f t="shared" si="12"/>
        <v>3.4120231383173465</v>
      </c>
      <c r="Y274" s="642" t="str">
        <f t="shared" si="13"/>
        <v/>
      </c>
      <c r="Z274" s="642" t="str">
        <f t="shared" si="14"/>
        <v/>
      </c>
    </row>
    <row r="275" spans="1:26" s="127" customFormat="1" ht="25">
      <c r="A275" s="636">
        <v>2589</v>
      </c>
      <c r="B275" s="637" t="s">
        <v>33</v>
      </c>
      <c r="C275" s="636">
        <v>2</v>
      </c>
      <c r="D275" s="637" t="s">
        <v>119</v>
      </c>
      <c r="E275" s="637" t="s">
        <v>3599</v>
      </c>
      <c r="F275" s="636">
        <v>55951</v>
      </c>
      <c r="G275" s="637" t="s">
        <v>57</v>
      </c>
      <c r="H275" s="637" t="s">
        <v>1162</v>
      </c>
      <c r="I275" s="637" t="s">
        <v>58</v>
      </c>
      <c r="J275" s="636">
        <v>22</v>
      </c>
      <c r="K275" s="636">
        <v>2</v>
      </c>
      <c r="L275" s="637" t="s">
        <v>52</v>
      </c>
      <c r="M275" s="637" t="s">
        <v>42</v>
      </c>
      <c r="N275" s="637" t="s">
        <v>53</v>
      </c>
      <c r="O275" s="637" t="s">
        <v>53</v>
      </c>
      <c r="P275" s="637" t="s">
        <v>1156</v>
      </c>
      <c r="Q275" s="638">
        <v>0</v>
      </c>
      <c r="R275" s="638">
        <v>0</v>
      </c>
      <c r="S275" s="638">
        <v>0</v>
      </c>
      <c r="T275" s="638">
        <v>0</v>
      </c>
      <c r="U275" s="638">
        <v>9804697</v>
      </c>
      <c r="V275" s="636">
        <v>2022</v>
      </c>
      <c r="W275" s="640"/>
      <c r="X275" s="641" t="str">
        <f t="shared" si="12"/>
        <v/>
      </c>
      <c r="Y275" s="642" t="str">
        <f t="shared" si="13"/>
        <v/>
      </c>
      <c r="Z275" s="642" t="str">
        <f t="shared" si="14"/>
        <v/>
      </c>
    </row>
    <row r="276" spans="1:26" s="127" customFormat="1" ht="25">
      <c r="A276" s="636">
        <v>2589</v>
      </c>
      <c r="B276" s="637" t="s">
        <v>33</v>
      </c>
      <c r="C276" s="636">
        <v>1</v>
      </c>
      <c r="D276" s="637" t="s">
        <v>119</v>
      </c>
      <c r="E276" s="637" t="s">
        <v>3599</v>
      </c>
      <c r="F276" s="636">
        <v>55951</v>
      </c>
      <c r="G276" s="637" t="s">
        <v>57</v>
      </c>
      <c r="H276" s="637" t="s">
        <v>1162</v>
      </c>
      <c r="I276" s="637" t="s">
        <v>58</v>
      </c>
      <c r="J276" s="636">
        <v>22</v>
      </c>
      <c r="K276" s="636">
        <v>2</v>
      </c>
      <c r="L276" s="637" t="s">
        <v>52</v>
      </c>
      <c r="M276" s="637" t="s">
        <v>42</v>
      </c>
      <c r="N276" s="637" t="s">
        <v>53</v>
      </c>
      <c r="O276" s="637" t="s">
        <v>53</v>
      </c>
      <c r="P276" s="637" t="s">
        <v>1156</v>
      </c>
      <c r="Q276" s="638">
        <v>0</v>
      </c>
      <c r="R276" s="638">
        <v>0</v>
      </c>
      <c r="S276" s="638">
        <v>0</v>
      </c>
      <c r="T276" s="638">
        <v>0</v>
      </c>
      <c r="U276" s="638">
        <v>5356134</v>
      </c>
      <c r="V276" s="636">
        <v>2022</v>
      </c>
      <c r="W276" s="640"/>
      <c r="X276" s="641" t="str">
        <f t="shared" si="12"/>
        <v/>
      </c>
      <c r="Y276" s="642" t="str">
        <f t="shared" si="13"/>
        <v/>
      </c>
      <c r="Z276" s="642" t="str">
        <f t="shared" si="14"/>
        <v/>
      </c>
    </row>
    <row r="277" spans="1:26" s="127" customFormat="1" ht="25">
      <c r="A277" s="636">
        <v>2590</v>
      </c>
      <c r="B277" s="637" t="s">
        <v>33</v>
      </c>
      <c r="C277" s="636" t="s">
        <v>2725</v>
      </c>
      <c r="D277" s="637" t="s">
        <v>657</v>
      </c>
      <c r="E277" s="637" t="s">
        <v>118</v>
      </c>
      <c r="F277" s="636">
        <v>5914</v>
      </c>
      <c r="G277" s="637" t="s">
        <v>57</v>
      </c>
      <c r="H277" s="637" t="s">
        <v>1162</v>
      </c>
      <c r="I277" s="637" t="s">
        <v>58</v>
      </c>
      <c r="J277" s="636">
        <v>22</v>
      </c>
      <c r="K277" s="636">
        <v>2</v>
      </c>
      <c r="L277" s="637" t="s">
        <v>52</v>
      </c>
      <c r="M277" s="637" t="s">
        <v>35</v>
      </c>
      <c r="N277" s="637" t="s">
        <v>36</v>
      </c>
      <c r="O277" s="637" t="s">
        <v>37</v>
      </c>
      <c r="P277" s="637" t="s">
        <v>1156</v>
      </c>
      <c r="Q277" s="638">
        <v>0</v>
      </c>
      <c r="R277" s="638">
        <v>0</v>
      </c>
      <c r="S277" s="638">
        <v>101017</v>
      </c>
      <c r="T277" s="638">
        <v>101017</v>
      </c>
      <c r="U277" s="638">
        <v>29606</v>
      </c>
      <c r="V277" s="636">
        <v>2022</v>
      </c>
      <c r="W277" s="640"/>
      <c r="X277" s="641">
        <f t="shared" si="12"/>
        <v>3.4120448557724785</v>
      </c>
      <c r="Y277" s="642" t="str">
        <f t="shared" si="13"/>
        <v/>
      </c>
      <c r="Z277" s="642" t="str">
        <f t="shared" si="14"/>
        <v/>
      </c>
    </row>
    <row r="278" spans="1:26" s="127" customFormat="1" ht="25">
      <c r="A278" s="636">
        <v>2591</v>
      </c>
      <c r="B278" s="637" t="s">
        <v>33</v>
      </c>
      <c r="C278" s="636" t="s">
        <v>2725</v>
      </c>
      <c r="D278" s="637" t="s">
        <v>658</v>
      </c>
      <c r="E278" s="637" t="s">
        <v>118</v>
      </c>
      <c r="F278" s="636">
        <v>5914</v>
      </c>
      <c r="G278" s="637" t="s">
        <v>57</v>
      </c>
      <c r="H278" s="637" t="s">
        <v>1162</v>
      </c>
      <c r="I278" s="637" t="s">
        <v>58</v>
      </c>
      <c r="J278" s="636">
        <v>22</v>
      </c>
      <c r="K278" s="636">
        <v>2</v>
      </c>
      <c r="L278" s="637" t="s">
        <v>52</v>
      </c>
      <c r="M278" s="637" t="s">
        <v>35</v>
      </c>
      <c r="N278" s="637" t="s">
        <v>36</v>
      </c>
      <c r="O278" s="637" t="s">
        <v>37</v>
      </c>
      <c r="P278" s="637" t="s">
        <v>1156</v>
      </c>
      <c r="Q278" s="638">
        <v>0</v>
      </c>
      <c r="R278" s="638">
        <v>0</v>
      </c>
      <c r="S278" s="638">
        <v>46413</v>
      </c>
      <c r="T278" s="638">
        <v>46413</v>
      </c>
      <c r="U278" s="638">
        <v>13603</v>
      </c>
      <c r="V278" s="636">
        <v>2022</v>
      </c>
      <c r="W278" s="640"/>
      <c r="X278" s="641">
        <f t="shared" si="12"/>
        <v>3.4119679482467102</v>
      </c>
      <c r="Y278" s="642" t="str">
        <f t="shared" si="13"/>
        <v/>
      </c>
      <c r="Z278" s="642" t="str">
        <f t="shared" si="14"/>
        <v/>
      </c>
    </row>
    <row r="279" spans="1:26" s="127" customFormat="1" ht="25">
      <c r="A279" s="636">
        <v>2594</v>
      </c>
      <c r="B279" s="637" t="s">
        <v>33</v>
      </c>
      <c r="C279" s="636" t="s">
        <v>2725</v>
      </c>
      <c r="D279" s="637" t="s">
        <v>120</v>
      </c>
      <c r="E279" s="637" t="s">
        <v>120</v>
      </c>
      <c r="F279" s="636">
        <v>64701</v>
      </c>
      <c r="G279" s="637" t="s">
        <v>57</v>
      </c>
      <c r="H279" s="637" t="s">
        <v>1162</v>
      </c>
      <c r="I279" s="637" t="s">
        <v>58</v>
      </c>
      <c r="J279" s="636">
        <v>22</v>
      </c>
      <c r="K279" s="636">
        <v>2</v>
      </c>
      <c r="L279" s="637" t="s">
        <v>52</v>
      </c>
      <c r="M279" s="637" t="s">
        <v>42</v>
      </c>
      <c r="N279" s="637" t="s">
        <v>46</v>
      </c>
      <c r="O279" s="637" t="s">
        <v>46</v>
      </c>
      <c r="P279" s="637" t="s">
        <v>47</v>
      </c>
      <c r="Q279" s="638">
        <v>0</v>
      </c>
      <c r="R279" s="638">
        <v>0</v>
      </c>
      <c r="S279" s="638">
        <v>0</v>
      </c>
      <c r="T279" s="638">
        <v>0</v>
      </c>
      <c r="U279" s="638">
        <v>0</v>
      </c>
      <c r="V279" s="636">
        <v>2022</v>
      </c>
      <c r="W279" s="640" t="s">
        <v>3934</v>
      </c>
      <c r="X279" s="641" t="str">
        <f t="shared" si="12"/>
        <v/>
      </c>
      <c r="Y279" s="642" t="str">
        <f t="shared" si="13"/>
        <v/>
      </c>
      <c r="Z279" s="642" t="str">
        <f t="shared" si="14"/>
        <v/>
      </c>
    </row>
    <row r="280" spans="1:26" s="127" customFormat="1" ht="25">
      <c r="A280" s="636">
        <v>2594</v>
      </c>
      <c r="B280" s="637" t="s">
        <v>33</v>
      </c>
      <c r="C280" s="636" t="s">
        <v>2725</v>
      </c>
      <c r="D280" s="637" t="s">
        <v>120</v>
      </c>
      <c r="E280" s="637" t="s">
        <v>120</v>
      </c>
      <c r="F280" s="636">
        <v>64701</v>
      </c>
      <c r="G280" s="637" t="s">
        <v>57</v>
      </c>
      <c r="H280" s="637" t="s">
        <v>1162</v>
      </c>
      <c r="I280" s="637" t="s">
        <v>58</v>
      </c>
      <c r="J280" s="636">
        <v>22</v>
      </c>
      <c r="K280" s="636">
        <v>2</v>
      </c>
      <c r="L280" s="637" t="s">
        <v>52</v>
      </c>
      <c r="M280" s="637" t="s">
        <v>42</v>
      </c>
      <c r="N280" s="637" t="s">
        <v>39</v>
      </c>
      <c r="O280" s="637" t="s">
        <v>39</v>
      </c>
      <c r="P280" s="637" t="s">
        <v>1020</v>
      </c>
      <c r="Q280" s="638">
        <v>117591</v>
      </c>
      <c r="R280" s="638">
        <v>117591</v>
      </c>
      <c r="S280" s="638">
        <v>121408</v>
      </c>
      <c r="T280" s="638">
        <v>121408</v>
      </c>
      <c r="U280" s="638">
        <v>28.324999999999999</v>
      </c>
      <c r="V280" s="636">
        <v>2022</v>
      </c>
      <c r="W280" s="640" t="s">
        <v>3934</v>
      </c>
      <c r="X280" s="641">
        <f t="shared" si="12"/>
        <v>4286.2488967343334</v>
      </c>
      <c r="Y280" s="642" t="str">
        <f t="shared" si="13"/>
        <v/>
      </c>
      <c r="Z280" s="642" t="str">
        <f t="shared" si="14"/>
        <v/>
      </c>
    </row>
    <row r="281" spans="1:26" s="127" customFormat="1" ht="25">
      <c r="A281" s="636">
        <v>2594</v>
      </c>
      <c r="B281" s="637" t="s">
        <v>33</v>
      </c>
      <c r="C281" s="636" t="s">
        <v>2725</v>
      </c>
      <c r="D281" s="637" t="s">
        <v>120</v>
      </c>
      <c r="E281" s="637" t="s">
        <v>120</v>
      </c>
      <c r="F281" s="636">
        <v>64701</v>
      </c>
      <c r="G281" s="637" t="s">
        <v>57</v>
      </c>
      <c r="H281" s="637" t="s">
        <v>1162</v>
      </c>
      <c r="I281" s="637" t="s">
        <v>58</v>
      </c>
      <c r="J281" s="636">
        <v>22</v>
      </c>
      <c r="K281" s="636">
        <v>2</v>
      </c>
      <c r="L281" s="637" t="s">
        <v>52</v>
      </c>
      <c r="M281" s="637" t="s">
        <v>42</v>
      </c>
      <c r="N281" s="637" t="s">
        <v>61</v>
      </c>
      <c r="O281" s="637" t="s">
        <v>61</v>
      </c>
      <c r="P281" s="637" t="s">
        <v>47</v>
      </c>
      <c r="Q281" s="638">
        <v>92133</v>
      </c>
      <c r="R281" s="638">
        <v>92133</v>
      </c>
      <c r="S281" s="638">
        <v>556982</v>
      </c>
      <c r="T281" s="638">
        <v>556982</v>
      </c>
      <c r="U281" s="638">
        <v>41047.675000000003</v>
      </c>
      <c r="V281" s="636">
        <v>2022</v>
      </c>
      <c r="W281" s="640" t="s">
        <v>3934</v>
      </c>
      <c r="X281" s="641">
        <f t="shared" si="12"/>
        <v>13.569148557135087</v>
      </c>
      <c r="Y281" s="642" t="str">
        <f t="shared" si="13"/>
        <v/>
      </c>
      <c r="Z281" s="642" t="str">
        <f t="shared" si="14"/>
        <v/>
      </c>
    </row>
    <row r="282" spans="1:26" s="127" customFormat="1" ht="25">
      <c r="A282" s="636">
        <v>2595</v>
      </c>
      <c r="B282" s="637" t="s">
        <v>33</v>
      </c>
      <c r="C282" s="636" t="s">
        <v>2725</v>
      </c>
      <c r="D282" s="637" t="s">
        <v>659</v>
      </c>
      <c r="E282" s="637" t="s">
        <v>118</v>
      </c>
      <c r="F282" s="636">
        <v>5914</v>
      </c>
      <c r="G282" s="637" t="s">
        <v>57</v>
      </c>
      <c r="H282" s="637" t="s">
        <v>1162</v>
      </c>
      <c r="I282" s="637" t="s">
        <v>58</v>
      </c>
      <c r="J282" s="636">
        <v>22</v>
      </c>
      <c r="K282" s="636">
        <v>2</v>
      </c>
      <c r="L282" s="637" t="s">
        <v>52</v>
      </c>
      <c r="M282" s="637" t="s">
        <v>35</v>
      </c>
      <c r="N282" s="637" t="s">
        <v>36</v>
      </c>
      <c r="O282" s="637" t="s">
        <v>37</v>
      </c>
      <c r="P282" s="637" t="s">
        <v>1156</v>
      </c>
      <c r="Q282" s="638">
        <v>0</v>
      </c>
      <c r="R282" s="638">
        <v>0</v>
      </c>
      <c r="S282" s="638">
        <v>75577</v>
      </c>
      <c r="T282" s="638">
        <v>75577</v>
      </c>
      <c r="U282" s="638">
        <v>22150</v>
      </c>
      <c r="V282" s="636">
        <v>2022</v>
      </c>
      <c r="W282" s="640"/>
      <c r="X282" s="641">
        <f t="shared" si="12"/>
        <v>3.4120541760722349</v>
      </c>
      <c r="Y282" s="642" t="str">
        <f t="shared" si="13"/>
        <v/>
      </c>
      <c r="Z282" s="642" t="str">
        <f t="shared" si="14"/>
        <v/>
      </c>
    </row>
    <row r="283" spans="1:26" s="127" customFormat="1" ht="25">
      <c r="A283" s="636">
        <v>2596</v>
      </c>
      <c r="B283" s="637" t="s">
        <v>33</v>
      </c>
      <c r="C283" s="636" t="s">
        <v>2725</v>
      </c>
      <c r="D283" s="637" t="s">
        <v>660</v>
      </c>
      <c r="E283" s="637" t="s">
        <v>118</v>
      </c>
      <c r="F283" s="636">
        <v>5914</v>
      </c>
      <c r="G283" s="637" t="s">
        <v>57</v>
      </c>
      <c r="H283" s="637" t="s">
        <v>1162</v>
      </c>
      <c r="I283" s="637" t="s">
        <v>58</v>
      </c>
      <c r="J283" s="636">
        <v>22</v>
      </c>
      <c r="K283" s="636">
        <v>2</v>
      </c>
      <c r="L283" s="637" t="s">
        <v>52</v>
      </c>
      <c r="M283" s="637" t="s">
        <v>35</v>
      </c>
      <c r="N283" s="637" t="s">
        <v>36</v>
      </c>
      <c r="O283" s="637" t="s">
        <v>37</v>
      </c>
      <c r="P283" s="637" t="s">
        <v>1156</v>
      </c>
      <c r="Q283" s="638">
        <v>0</v>
      </c>
      <c r="R283" s="638">
        <v>0</v>
      </c>
      <c r="S283" s="638">
        <v>12764</v>
      </c>
      <c r="T283" s="638">
        <v>12764</v>
      </c>
      <c r="U283" s="638">
        <v>3741</v>
      </c>
      <c r="V283" s="636">
        <v>2022</v>
      </c>
      <c r="W283" s="640"/>
      <c r="X283" s="641">
        <f t="shared" si="12"/>
        <v>3.4119219460037424</v>
      </c>
      <c r="Y283" s="642" t="str">
        <f t="shared" si="13"/>
        <v/>
      </c>
      <c r="Z283" s="642" t="str">
        <f t="shared" si="14"/>
        <v/>
      </c>
    </row>
    <row r="284" spans="1:26" s="127" customFormat="1" ht="25">
      <c r="A284" s="636">
        <v>2597</v>
      </c>
      <c r="B284" s="637" t="s">
        <v>33</v>
      </c>
      <c r="C284" s="636" t="s">
        <v>2725</v>
      </c>
      <c r="D284" s="637" t="s">
        <v>661</v>
      </c>
      <c r="E284" s="637" t="s">
        <v>118</v>
      </c>
      <c r="F284" s="636">
        <v>5914</v>
      </c>
      <c r="G284" s="637" t="s">
        <v>57</v>
      </c>
      <c r="H284" s="637" t="s">
        <v>1162</v>
      </c>
      <c r="I284" s="637" t="s">
        <v>58</v>
      </c>
      <c r="J284" s="636">
        <v>22</v>
      </c>
      <c r="K284" s="636">
        <v>2</v>
      </c>
      <c r="L284" s="637" t="s">
        <v>52</v>
      </c>
      <c r="M284" s="637" t="s">
        <v>35</v>
      </c>
      <c r="N284" s="637" t="s">
        <v>36</v>
      </c>
      <c r="O284" s="637" t="s">
        <v>37</v>
      </c>
      <c r="P284" s="637" t="s">
        <v>1156</v>
      </c>
      <c r="Q284" s="638">
        <v>0</v>
      </c>
      <c r="R284" s="638">
        <v>0</v>
      </c>
      <c r="S284" s="638">
        <v>49579</v>
      </c>
      <c r="T284" s="638">
        <v>49579</v>
      </c>
      <c r="U284" s="638">
        <v>14531</v>
      </c>
      <c r="V284" s="636">
        <v>2022</v>
      </c>
      <c r="W284" s="640"/>
      <c r="X284" s="641">
        <f t="shared" si="12"/>
        <v>3.4119468722042532</v>
      </c>
      <c r="Y284" s="642" t="str">
        <f t="shared" si="13"/>
        <v/>
      </c>
      <c r="Z284" s="642" t="str">
        <f t="shared" si="14"/>
        <v/>
      </c>
    </row>
    <row r="285" spans="1:26" s="127" customFormat="1" ht="25">
      <c r="A285" s="636">
        <v>2598</v>
      </c>
      <c r="B285" s="637" t="s">
        <v>33</v>
      </c>
      <c r="C285" s="636" t="s">
        <v>2725</v>
      </c>
      <c r="D285" s="637" t="s">
        <v>662</v>
      </c>
      <c r="E285" s="637" t="s">
        <v>118</v>
      </c>
      <c r="F285" s="636">
        <v>5914</v>
      </c>
      <c r="G285" s="637" t="s">
        <v>57</v>
      </c>
      <c r="H285" s="637" t="s">
        <v>1162</v>
      </c>
      <c r="I285" s="637" t="s">
        <v>58</v>
      </c>
      <c r="J285" s="636">
        <v>22</v>
      </c>
      <c r="K285" s="636">
        <v>2</v>
      </c>
      <c r="L285" s="637" t="s">
        <v>52</v>
      </c>
      <c r="M285" s="637" t="s">
        <v>35</v>
      </c>
      <c r="N285" s="637" t="s">
        <v>36</v>
      </c>
      <c r="O285" s="637" t="s">
        <v>37</v>
      </c>
      <c r="P285" s="637" t="s">
        <v>1156</v>
      </c>
      <c r="Q285" s="638">
        <v>0</v>
      </c>
      <c r="R285" s="638">
        <v>0</v>
      </c>
      <c r="S285" s="638">
        <v>53634</v>
      </c>
      <c r="T285" s="638">
        <v>53634</v>
      </c>
      <c r="U285" s="638">
        <v>15719</v>
      </c>
      <c r="V285" s="636">
        <v>2022</v>
      </c>
      <c r="W285" s="640"/>
      <c r="X285" s="641">
        <f t="shared" si="12"/>
        <v>3.4120491125389654</v>
      </c>
      <c r="Y285" s="642" t="str">
        <f t="shared" si="13"/>
        <v/>
      </c>
      <c r="Z285" s="642" t="str">
        <f t="shared" si="14"/>
        <v/>
      </c>
    </row>
    <row r="286" spans="1:26" s="127" customFormat="1" ht="25">
      <c r="A286" s="636">
        <v>2599</v>
      </c>
      <c r="B286" s="637" t="s">
        <v>33</v>
      </c>
      <c r="C286" s="636" t="s">
        <v>2725</v>
      </c>
      <c r="D286" s="637" t="s">
        <v>663</v>
      </c>
      <c r="E286" s="637" t="s">
        <v>118</v>
      </c>
      <c r="F286" s="636">
        <v>5914</v>
      </c>
      <c r="G286" s="637" t="s">
        <v>57</v>
      </c>
      <c r="H286" s="637" t="s">
        <v>1162</v>
      </c>
      <c r="I286" s="637" t="s">
        <v>58</v>
      </c>
      <c r="J286" s="636">
        <v>22</v>
      </c>
      <c r="K286" s="636">
        <v>2</v>
      </c>
      <c r="L286" s="637" t="s">
        <v>52</v>
      </c>
      <c r="M286" s="637" t="s">
        <v>35</v>
      </c>
      <c r="N286" s="637" t="s">
        <v>36</v>
      </c>
      <c r="O286" s="637" t="s">
        <v>37</v>
      </c>
      <c r="P286" s="637" t="s">
        <v>1156</v>
      </c>
      <c r="Q286" s="638">
        <v>0</v>
      </c>
      <c r="R286" s="638">
        <v>0</v>
      </c>
      <c r="S286" s="638">
        <v>250211</v>
      </c>
      <c r="T286" s="638">
        <v>250211</v>
      </c>
      <c r="U286" s="638">
        <v>73333</v>
      </c>
      <c r="V286" s="636">
        <v>2022</v>
      </c>
      <c r="W286" s="640"/>
      <c r="X286" s="641">
        <f t="shared" si="12"/>
        <v>3.4119836908349583</v>
      </c>
      <c r="Y286" s="642" t="str">
        <f t="shared" si="13"/>
        <v/>
      </c>
      <c r="Z286" s="642" t="str">
        <f t="shared" si="14"/>
        <v/>
      </c>
    </row>
    <row r="287" spans="1:26" s="127" customFormat="1" ht="25">
      <c r="A287" s="636">
        <v>2600</v>
      </c>
      <c r="B287" s="637" t="s">
        <v>33</v>
      </c>
      <c r="C287" s="636" t="s">
        <v>2725</v>
      </c>
      <c r="D287" s="637" t="s">
        <v>1654</v>
      </c>
      <c r="E287" s="637" t="s">
        <v>118</v>
      </c>
      <c r="F287" s="636">
        <v>5914</v>
      </c>
      <c r="G287" s="637" t="s">
        <v>57</v>
      </c>
      <c r="H287" s="637" t="s">
        <v>1162</v>
      </c>
      <c r="I287" s="637" t="s">
        <v>58</v>
      </c>
      <c r="J287" s="636">
        <v>22</v>
      </c>
      <c r="K287" s="636">
        <v>2</v>
      </c>
      <c r="L287" s="637" t="s">
        <v>52</v>
      </c>
      <c r="M287" s="637" t="s">
        <v>35</v>
      </c>
      <c r="N287" s="637" t="s">
        <v>36</v>
      </c>
      <c r="O287" s="637" t="s">
        <v>37</v>
      </c>
      <c r="P287" s="637" t="s">
        <v>1156</v>
      </c>
      <c r="Q287" s="638">
        <v>0</v>
      </c>
      <c r="R287" s="638">
        <v>0</v>
      </c>
      <c r="S287" s="638">
        <v>342930</v>
      </c>
      <c r="T287" s="638">
        <v>342930</v>
      </c>
      <c r="U287" s="638">
        <v>100507</v>
      </c>
      <c r="V287" s="636">
        <v>2022</v>
      </c>
      <c r="W287" s="640"/>
      <c r="X287" s="641">
        <f t="shared" si="12"/>
        <v>3.4120011541484674</v>
      </c>
      <c r="Y287" s="642" t="str">
        <f t="shared" si="13"/>
        <v/>
      </c>
      <c r="Z287" s="642" t="str">
        <f t="shared" si="14"/>
        <v/>
      </c>
    </row>
    <row r="288" spans="1:26" s="127" customFormat="1" ht="25">
      <c r="A288" s="636">
        <v>2601</v>
      </c>
      <c r="B288" s="637" t="s">
        <v>33</v>
      </c>
      <c r="C288" s="636" t="s">
        <v>2725</v>
      </c>
      <c r="D288" s="637" t="s">
        <v>664</v>
      </c>
      <c r="E288" s="637" t="s">
        <v>118</v>
      </c>
      <c r="F288" s="636">
        <v>5914</v>
      </c>
      <c r="G288" s="637" t="s">
        <v>57</v>
      </c>
      <c r="H288" s="637" t="s">
        <v>1162</v>
      </c>
      <c r="I288" s="637" t="s">
        <v>58</v>
      </c>
      <c r="J288" s="636">
        <v>22</v>
      </c>
      <c r="K288" s="636">
        <v>2</v>
      </c>
      <c r="L288" s="637" t="s">
        <v>52</v>
      </c>
      <c r="M288" s="637" t="s">
        <v>35</v>
      </c>
      <c r="N288" s="637" t="s">
        <v>36</v>
      </c>
      <c r="O288" s="637" t="s">
        <v>37</v>
      </c>
      <c r="P288" s="637" t="s">
        <v>1156</v>
      </c>
      <c r="Q288" s="638">
        <v>0</v>
      </c>
      <c r="R288" s="638">
        <v>0</v>
      </c>
      <c r="S288" s="638">
        <v>49426</v>
      </c>
      <c r="T288" s="638">
        <v>49426</v>
      </c>
      <c r="U288" s="638">
        <v>14486</v>
      </c>
      <c r="V288" s="636">
        <v>2022</v>
      </c>
      <c r="W288" s="640"/>
      <c r="X288" s="641">
        <f t="shared" si="12"/>
        <v>3.4119839845367941</v>
      </c>
      <c r="Y288" s="642" t="str">
        <f t="shared" si="13"/>
        <v/>
      </c>
      <c r="Z288" s="642" t="str">
        <f t="shared" si="14"/>
        <v/>
      </c>
    </row>
    <row r="289" spans="1:26" s="127" customFormat="1" ht="25">
      <c r="A289" s="636">
        <v>2604</v>
      </c>
      <c r="B289" s="637" t="s">
        <v>33</v>
      </c>
      <c r="C289" s="636" t="s">
        <v>2725</v>
      </c>
      <c r="D289" s="637" t="s">
        <v>665</v>
      </c>
      <c r="E289" s="637" t="s">
        <v>118</v>
      </c>
      <c r="F289" s="636">
        <v>5914</v>
      </c>
      <c r="G289" s="637" t="s">
        <v>57</v>
      </c>
      <c r="H289" s="637" t="s">
        <v>1162</v>
      </c>
      <c r="I289" s="637" t="s">
        <v>58</v>
      </c>
      <c r="J289" s="636">
        <v>22</v>
      </c>
      <c r="K289" s="636">
        <v>2</v>
      </c>
      <c r="L289" s="637" t="s">
        <v>52</v>
      </c>
      <c r="M289" s="637" t="s">
        <v>35</v>
      </c>
      <c r="N289" s="637" t="s">
        <v>36</v>
      </c>
      <c r="O289" s="637" t="s">
        <v>37</v>
      </c>
      <c r="P289" s="637" t="s">
        <v>1156</v>
      </c>
      <c r="Q289" s="638">
        <v>0</v>
      </c>
      <c r="R289" s="638">
        <v>0</v>
      </c>
      <c r="S289" s="638">
        <v>58552</v>
      </c>
      <c r="T289" s="638">
        <v>58552</v>
      </c>
      <c r="U289" s="638">
        <v>17161</v>
      </c>
      <c r="V289" s="636">
        <v>2022</v>
      </c>
      <c r="W289" s="640"/>
      <c r="X289" s="641">
        <f t="shared" si="12"/>
        <v>3.4119223821455624</v>
      </c>
      <c r="Y289" s="642" t="str">
        <f t="shared" si="13"/>
        <v/>
      </c>
      <c r="Z289" s="642" t="str">
        <f t="shared" si="14"/>
        <v/>
      </c>
    </row>
    <row r="290" spans="1:26" s="127" customFormat="1" ht="25">
      <c r="A290" s="636">
        <v>2605</v>
      </c>
      <c r="B290" s="637" t="s">
        <v>33</v>
      </c>
      <c r="C290" s="636" t="s">
        <v>2725</v>
      </c>
      <c r="D290" s="637" t="s">
        <v>666</v>
      </c>
      <c r="E290" s="637" t="s">
        <v>118</v>
      </c>
      <c r="F290" s="636">
        <v>5914</v>
      </c>
      <c r="G290" s="637" t="s">
        <v>57</v>
      </c>
      <c r="H290" s="637" t="s">
        <v>1162</v>
      </c>
      <c r="I290" s="637" t="s">
        <v>58</v>
      </c>
      <c r="J290" s="636">
        <v>22</v>
      </c>
      <c r="K290" s="636">
        <v>2</v>
      </c>
      <c r="L290" s="637" t="s">
        <v>52</v>
      </c>
      <c r="M290" s="637" t="s">
        <v>35</v>
      </c>
      <c r="N290" s="637" t="s">
        <v>36</v>
      </c>
      <c r="O290" s="637" t="s">
        <v>37</v>
      </c>
      <c r="P290" s="637" t="s">
        <v>1156</v>
      </c>
      <c r="Q290" s="638">
        <v>0</v>
      </c>
      <c r="R290" s="638">
        <v>0</v>
      </c>
      <c r="S290" s="638">
        <v>512066</v>
      </c>
      <c r="T290" s="638">
        <v>512066</v>
      </c>
      <c r="U290" s="638">
        <v>150078</v>
      </c>
      <c r="V290" s="636">
        <v>2022</v>
      </c>
      <c r="W290" s="640"/>
      <c r="X290" s="641">
        <f t="shared" si="12"/>
        <v>3.411999093804555</v>
      </c>
      <c r="Y290" s="642" t="str">
        <f t="shared" si="13"/>
        <v/>
      </c>
      <c r="Z290" s="642" t="str">
        <f t="shared" si="14"/>
        <v/>
      </c>
    </row>
    <row r="291" spans="1:26" s="127" customFormat="1" ht="25">
      <c r="A291" s="636">
        <v>2606</v>
      </c>
      <c r="B291" s="637" t="s">
        <v>33</v>
      </c>
      <c r="C291" s="636" t="s">
        <v>2725</v>
      </c>
      <c r="D291" s="637" t="s">
        <v>667</v>
      </c>
      <c r="E291" s="637" t="s">
        <v>118</v>
      </c>
      <c r="F291" s="636">
        <v>5914</v>
      </c>
      <c r="G291" s="637" t="s">
        <v>57</v>
      </c>
      <c r="H291" s="637" t="s">
        <v>1162</v>
      </c>
      <c r="I291" s="637" t="s">
        <v>58</v>
      </c>
      <c r="J291" s="636">
        <v>22</v>
      </c>
      <c r="K291" s="636">
        <v>2</v>
      </c>
      <c r="L291" s="637" t="s">
        <v>52</v>
      </c>
      <c r="M291" s="637" t="s">
        <v>35</v>
      </c>
      <c r="N291" s="637" t="s">
        <v>36</v>
      </c>
      <c r="O291" s="637" t="s">
        <v>37</v>
      </c>
      <c r="P291" s="637" t="s">
        <v>1156</v>
      </c>
      <c r="Q291" s="638">
        <v>0</v>
      </c>
      <c r="R291" s="638">
        <v>0</v>
      </c>
      <c r="S291" s="638">
        <v>185595</v>
      </c>
      <c r="T291" s="638">
        <v>185595</v>
      </c>
      <c r="U291" s="638">
        <v>54395</v>
      </c>
      <c r="V291" s="636">
        <v>2022</v>
      </c>
      <c r="W291" s="640"/>
      <c r="X291" s="641">
        <f t="shared" si="12"/>
        <v>3.4119863958084382</v>
      </c>
      <c r="Y291" s="642" t="str">
        <f t="shared" si="13"/>
        <v/>
      </c>
      <c r="Z291" s="642" t="str">
        <f t="shared" si="14"/>
        <v/>
      </c>
    </row>
    <row r="292" spans="1:26" s="127" customFormat="1" ht="25">
      <c r="A292" s="636">
        <v>2607</v>
      </c>
      <c r="B292" s="637" t="s">
        <v>33</v>
      </c>
      <c r="C292" s="636" t="s">
        <v>2725</v>
      </c>
      <c r="D292" s="637" t="s">
        <v>668</v>
      </c>
      <c r="E292" s="637" t="s">
        <v>118</v>
      </c>
      <c r="F292" s="636">
        <v>5914</v>
      </c>
      <c r="G292" s="637" t="s">
        <v>57</v>
      </c>
      <c r="H292" s="637" t="s">
        <v>1162</v>
      </c>
      <c r="I292" s="637" t="s">
        <v>58</v>
      </c>
      <c r="J292" s="636">
        <v>22</v>
      </c>
      <c r="K292" s="636">
        <v>2</v>
      </c>
      <c r="L292" s="637" t="s">
        <v>52</v>
      </c>
      <c r="M292" s="637" t="s">
        <v>35</v>
      </c>
      <c r="N292" s="637" t="s">
        <v>36</v>
      </c>
      <c r="O292" s="637" t="s">
        <v>37</v>
      </c>
      <c r="P292" s="637" t="s">
        <v>1156</v>
      </c>
      <c r="Q292" s="638">
        <v>0</v>
      </c>
      <c r="R292" s="638">
        <v>0</v>
      </c>
      <c r="S292" s="638">
        <v>25058</v>
      </c>
      <c r="T292" s="638">
        <v>25058</v>
      </c>
      <c r="U292" s="638">
        <v>7344</v>
      </c>
      <c r="V292" s="636">
        <v>2022</v>
      </c>
      <c r="W292" s="640"/>
      <c r="X292" s="641">
        <f t="shared" si="12"/>
        <v>3.4120370370370372</v>
      </c>
      <c r="Y292" s="642" t="str">
        <f t="shared" si="13"/>
        <v/>
      </c>
      <c r="Z292" s="642" t="str">
        <f t="shared" si="14"/>
        <v/>
      </c>
    </row>
    <row r="293" spans="1:26" s="127" customFormat="1" ht="25">
      <c r="A293" s="636">
        <v>2608</v>
      </c>
      <c r="B293" s="637" t="s">
        <v>33</v>
      </c>
      <c r="C293" s="636" t="s">
        <v>2725</v>
      </c>
      <c r="D293" s="637" t="s">
        <v>669</v>
      </c>
      <c r="E293" s="637" t="s">
        <v>118</v>
      </c>
      <c r="F293" s="636">
        <v>5914</v>
      </c>
      <c r="G293" s="637" t="s">
        <v>57</v>
      </c>
      <c r="H293" s="637" t="s">
        <v>1162</v>
      </c>
      <c r="I293" s="637" t="s">
        <v>58</v>
      </c>
      <c r="J293" s="636">
        <v>22</v>
      </c>
      <c r="K293" s="636">
        <v>2</v>
      </c>
      <c r="L293" s="637" t="s">
        <v>52</v>
      </c>
      <c r="M293" s="637" t="s">
        <v>35</v>
      </c>
      <c r="N293" s="637" t="s">
        <v>36</v>
      </c>
      <c r="O293" s="637" t="s">
        <v>37</v>
      </c>
      <c r="P293" s="637" t="s">
        <v>1156</v>
      </c>
      <c r="Q293" s="638">
        <v>0</v>
      </c>
      <c r="R293" s="638">
        <v>0</v>
      </c>
      <c r="S293" s="638">
        <v>49666</v>
      </c>
      <c r="T293" s="638">
        <v>49666</v>
      </c>
      <c r="U293" s="638">
        <v>14556</v>
      </c>
      <c r="V293" s="636">
        <v>2022</v>
      </c>
      <c r="W293" s="640"/>
      <c r="X293" s="641">
        <f t="shared" si="12"/>
        <v>3.4120637537785106</v>
      </c>
      <c r="Y293" s="642" t="str">
        <f t="shared" si="13"/>
        <v/>
      </c>
      <c r="Z293" s="642" t="str">
        <f t="shared" si="14"/>
        <v/>
      </c>
    </row>
    <row r="294" spans="1:26" s="127" customFormat="1" ht="25">
      <c r="A294" s="636">
        <v>2609</v>
      </c>
      <c r="B294" s="637" t="s">
        <v>33</v>
      </c>
      <c r="C294" s="636" t="s">
        <v>2725</v>
      </c>
      <c r="D294" s="637" t="s">
        <v>670</v>
      </c>
      <c r="E294" s="637" t="s">
        <v>118</v>
      </c>
      <c r="F294" s="636">
        <v>5914</v>
      </c>
      <c r="G294" s="637" t="s">
        <v>57</v>
      </c>
      <c r="H294" s="637" t="s">
        <v>1162</v>
      </c>
      <c r="I294" s="637" t="s">
        <v>58</v>
      </c>
      <c r="J294" s="636">
        <v>22</v>
      </c>
      <c r="K294" s="636">
        <v>2</v>
      </c>
      <c r="L294" s="637" t="s">
        <v>52</v>
      </c>
      <c r="M294" s="637" t="s">
        <v>35</v>
      </c>
      <c r="N294" s="637" t="s">
        <v>36</v>
      </c>
      <c r="O294" s="637" t="s">
        <v>37</v>
      </c>
      <c r="P294" s="637" t="s">
        <v>1156</v>
      </c>
      <c r="Q294" s="638">
        <v>0</v>
      </c>
      <c r="R294" s="638">
        <v>0</v>
      </c>
      <c r="S294" s="638">
        <v>516855</v>
      </c>
      <c r="T294" s="638">
        <v>516855</v>
      </c>
      <c r="U294" s="638">
        <v>151482</v>
      </c>
      <c r="V294" s="636">
        <v>2022</v>
      </c>
      <c r="W294" s="640"/>
      <c r="X294" s="641">
        <f t="shared" si="12"/>
        <v>3.4119895433120768</v>
      </c>
      <c r="Y294" s="642" t="str">
        <f t="shared" si="13"/>
        <v/>
      </c>
      <c r="Z294" s="642" t="str">
        <f t="shared" si="14"/>
        <v/>
      </c>
    </row>
    <row r="295" spans="1:26" s="127" customFormat="1" ht="25">
      <c r="A295" s="636">
        <v>2610</v>
      </c>
      <c r="B295" s="637" t="s">
        <v>33</v>
      </c>
      <c r="C295" s="636" t="s">
        <v>2725</v>
      </c>
      <c r="D295" s="637" t="s">
        <v>671</v>
      </c>
      <c r="E295" s="637" t="s">
        <v>118</v>
      </c>
      <c r="F295" s="636">
        <v>5914</v>
      </c>
      <c r="G295" s="637" t="s">
        <v>57</v>
      </c>
      <c r="H295" s="637" t="s">
        <v>1162</v>
      </c>
      <c r="I295" s="637" t="s">
        <v>58</v>
      </c>
      <c r="J295" s="636">
        <v>22</v>
      </c>
      <c r="K295" s="636">
        <v>2</v>
      </c>
      <c r="L295" s="637" t="s">
        <v>52</v>
      </c>
      <c r="M295" s="637" t="s">
        <v>35</v>
      </c>
      <c r="N295" s="637" t="s">
        <v>36</v>
      </c>
      <c r="O295" s="637" t="s">
        <v>37</v>
      </c>
      <c r="P295" s="637" t="s">
        <v>1156</v>
      </c>
      <c r="Q295" s="638">
        <v>0</v>
      </c>
      <c r="R295" s="638">
        <v>0</v>
      </c>
      <c r="S295" s="638">
        <v>128974</v>
      </c>
      <c r="T295" s="638">
        <v>128974</v>
      </c>
      <c r="U295" s="638">
        <v>37800</v>
      </c>
      <c r="V295" s="636">
        <v>2022</v>
      </c>
      <c r="W295" s="640"/>
      <c r="X295" s="641">
        <f t="shared" si="12"/>
        <v>3.4120105820105819</v>
      </c>
      <c r="Y295" s="642" t="str">
        <f t="shared" si="13"/>
        <v/>
      </c>
      <c r="Z295" s="642" t="str">
        <f t="shared" si="14"/>
        <v/>
      </c>
    </row>
    <row r="296" spans="1:26" s="127" customFormat="1" ht="25">
      <c r="A296" s="636">
        <v>2611</v>
      </c>
      <c r="B296" s="637" t="s">
        <v>33</v>
      </c>
      <c r="C296" s="636" t="s">
        <v>2725</v>
      </c>
      <c r="D296" s="637" t="s">
        <v>672</v>
      </c>
      <c r="E296" s="637" t="s">
        <v>118</v>
      </c>
      <c r="F296" s="636">
        <v>5914</v>
      </c>
      <c r="G296" s="637" t="s">
        <v>57</v>
      </c>
      <c r="H296" s="637" t="s">
        <v>1162</v>
      </c>
      <c r="I296" s="637" t="s">
        <v>58</v>
      </c>
      <c r="J296" s="636">
        <v>22</v>
      </c>
      <c r="K296" s="636">
        <v>2</v>
      </c>
      <c r="L296" s="637" t="s">
        <v>52</v>
      </c>
      <c r="M296" s="637" t="s">
        <v>35</v>
      </c>
      <c r="N296" s="637" t="s">
        <v>36</v>
      </c>
      <c r="O296" s="637" t="s">
        <v>37</v>
      </c>
      <c r="P296" s="637" t="s">
        <v>1156</v>
      </c>
      <c r="Q296" s="638">
        <v>0</v>
      </c>
      <c r="R296" s="638">
        <v>0</v>
      </c>
      <c r="S296" s="638">
        <v>278435</v>
      </c>
      <c r="T296" s="638">
        <v>278435</v>
      </c>
      <c r="U296" s="638">
        <v>81605</v>
      </c>
      <c r="V296" s="636">
        <v>2022</v>
      </c>
      <c r="W296" s="640"/>
      <c r="X296" s="641">
        <f t="shared" si="12"/>
        <v>3.4119845597696221</v>
      </c>
      <c r="Y296" s="642" t="str">
        <f t="shared" si="13"/>
        <v/>
      </c>
      <c r="Z296" s="642" t="str">
        <f t="shared" si="14"/>
        <v/>
      </c>
    </row>
    <row r="297" spans="1:26" s="127" customFormat="1" ht="25">
      <c r="A297" s="636">
        <v>2612</v>
      </c>
      <c r="B297" s="637" t="s">
        <v>33</v>
      </c>
      <c r="C297" s="636" t="s">
        <v>2725</v>
      </c>
      <c r="D297" s="637" t="s">
        <v>121</v>
      </c>
      <c r="E297" s="637" t="s">
        <v>118</v>
      </c>
      <c r="F297" s="636">
        <v>5914</v>
      </c>
      <c r="G297" s="637" t="s">
        <v>57</v>
      </c>
      <c r="H297" s="637" t="s">
        <v>1162</v>
      </c>
      <c r="I297" s="637" t="s">
        <v>58</v>
      </c>
      <c r="J297" s="636">
        <v>22</v>
      </c>
      <c r="K297" s="636">
        <v>2</v>
      </c>
      <c r="L297" s="637" t="s">
        <v>52</v>
      </c>
      <c r="M297" s="637" t="s">
        <v>35</v>
      </c>
      <c r="N297" s="637" t="s">
        <v>36</v>
      </c>
      <c r="O297" s="637" t="s">
        <v>37</v>
      </c>
      <c r="P297" s="637" t="s">
        <v>1156</v>
      </c>
      <c r="Q297" s="638">
        <v>0</v>
      </c>
      <c r="R297" s="638">
        <v>0</v>
      </c>
      <c r="S297" s="638">
        <v>627749</v>
      </c>
      <c r="T297" s="638">
        <v>627749</v>
      </c>
      <c r="U297" s="638">
        <v>183983</v>
      </c>
      <c r="V297" s="636">
        <v>2022</v>
      </c>
      <c r="W297" s="640"/>
      <c r="X297" s="641">
        <f t="shared" si="12"/>
        <v>3.4119945864563572</v>
      </c>
      <c r="Y297" s="642" t="str">
        <f t="shared" si="13"/>
        <v/>
      </c>
      <c r="Z297" s="642" t="str">
        <f t="shared" si="14"/>
        <v/>
      </c>
    </row>
    <row r="298" spans="1:26" s="127" customFormat="1" ht="25">
      <c r="A298" s="636">
        <v>2613</v>
      </c>
      <c r="B298" s="637" t="s">
        <v>33</v>
      </c>
      <c r="C298" s="636" t="s">
        <v>2725</v>
      </c>
      <c r="D298" s="637" t="s">
        <v>673</v>
      </c>
      <c r="E298" s="637" t="s">
        <v>118</v>
      </c>
      <c r="F298" s="636">
        <v>5914</v>
      </c>
      <c r="G298" s="637" t="s">
        <v>57</v>
      </c>
      <c r="H298" s="637" t="s">
        <v>1162</v>
      </c>
      <c r="I298" s="637" t="s">
        <v>58</v>
      </c>
      <c r="J298" s="636">
        <v>22</v>
      </c>
      <c r="K298" s="636">
        <v>2</v>
      </c>
      <c r="L298" s="637" t="s">
        <v>52</v>
      </c>
      <c r="M298" s="637" t="s">
        <v>35</v>
      </c>
      <c r="N298" s="637" t="s">
        <v>36</v>
      </c>
      <c r="O298" s="637" t="s">
        <v>37</v>
      </c>
      <c r="P298" s="637" t="s">
        <v>1156</v>
      </c>
      <c r="Q298" s="638">
        <v>0</v>
      </c>
      <c r="R298" s="638">
        <v>0</v>
      </c>
      <c r="S298" s="638">
        <v>325720</v>
      </c>
      <c r="T298" s="638">
        <v>325720</v>
      </c>
      <c r="U298" s="638">
        <v>95463</v>
      </c>
      <c r="V298" s="636">
        <v>2022</v>
      </c>
      <c r="W298" s="640"/>
      <c r="X298" s="641">
        <f t="shared" si="12"/>
        <v>3.412002555964091</v>
      </c>
      <c r="Y298" s="642" t="str">
        <f t="shared" si="13"/>
        <v/>
      </c>
      <c r="Z298" s="642" t="str">
        <f t="shared" si="14"/>
        <v/>
      </c>
    </row>
    <row r="299" spans="1:26" s="127" customFormat="1" ht="25">
      <c r="A299" s="636">
        <v>2614</v>
      </c>
      <c r="B299" s="637" t="s">
        <v>33</v>
      </c>
      <c r="C299" s="636" t="s">
        <v>2725</v>
      </c>
      <c r="D299" s="637" t="s">
        <v>674</v>
      </c>
      <c r="E299" s="637" t="s">
        <v>118</v>
      </c>
      <c r="F299" s="636">
        <v>5914</v>
      </c>
      <c r="G299" s="637" t="s">
        <v>57</v>
      </c>
      <c r="H299" s="637" t="s">
        <v>1162</v>
      </c>
      <c r="I299" s="637" t="s">
        <v>58</v>
      </c>
      <c r="J299" s="636">
        <v>22</v>
      </c>
      <c r="K299" s="636">
        <v>2</v>
      </c>
      <c r="L299" s="637" t="s">
        <v>52</v>
      </c>
      <c r="M299" s="637" t="s">
        <v>35</v>
      </c>
      <c r="N299" s="637" t="s">
        <v>36</v>
      </c>
      <c r="O299" s="637" t="s">
        <v>37</v>
      </c>
      <c r="P299" s="637" t="s">
        <v>1156</v>
      </c>
      <c r="Q299" s="638">
        <v>0</v>
      </c>
      <c r="R299" s="638">
        <v>0</v>
      </c>
      <c r="S299" s="638">
        <v>398456</v>
      </c>
      <c r="T299" s="638">
        <v>398456</v>
      </c>
      <c r="U299" s="638">
        <v>116781</v>
      </c>
      <c r="V299" s="636">
        <v>2022</v>
      </c>
      <c r="W299" s="640"/>
      <c r="X299" s="641">
        <f t="shared" si="12"/>
        <v>3.4119933893355938</v>
      </c>
      <c r="Y299" s="642" t="str">
        <f t="shared" si="13"/>
        <v/>
      </c>
      <c r="Z299" s="642" t="str">
        <f t="shared" si="14"/>
        <v/>
      </c>
    </row>
    <row r="300" spans="1:26" s="127" customFormat="1" ht="25">
      <c r="A300" s="636">
        <v>2616</v>
      </c>
      <c r="B300" s="637" t="s">
        <v>33</v>
      </c>
      <c r="C300" s="636" t="s">
        <v>2725</v>
      </c>
      <c r="D300" s="637" t="s">
        <v>675</v>
      </c>
      <c r="E300" s="637" t="s">
        <v>118</v>
      </c>
      <c r="F300" s="636">
        <v>5914</v>
      </c>
      <c r="G300" s="637" t="s">
        <v>57</v>
      </c>
      <c r="H300" s="637" t="s">
        <v>1162</v>
      </c>
      <c r="I300" s="637" t="s">
        <v>58</v>
      </c>
      <c r="J300" s="636">
        <v>22</v>
      </c>
      <c r="K300" s="636">
        <v>2</v>
      </c>
      <c r="L300" s="637" t="s">
        <v>52</v>
      </c>
      <c r="M300" s="637" t="s">
        <v>35</v>
      </c>
      <c r="N300" s="637" t="s">
        <v>36</v>
      </c>
      <c r="O300" s="637" t="s">
        <v>37</v>
      </c>
      <c r="P300" s="637" t="s">
        <v>1156</v>
      </c>
      <c r="Q300" s="638">
        <v>0</v>
      </c>
      <c r="R300" s="638">
        <v>0</v>
      </c>
      <c r="S300" s="638">
        <v>100764</v>
      </c>
      <c r="T300" s="638">
        <v>100764</v>
      </c>
      <c r="U300" s="638">
        <v>29532</v>
      </c>
      <c r="V300" s="636">
        <v>2022</v>
      </c>
      <c r="W300" s="640"/>
      <c r="X300" s="641">
        <f t="shared" si="12"/>
        <v>3.4120276310442907</v>
      </c>
      <c r="Y300" s="642" t="str">
        <f t="shared" si="13"/>
        <v/>
      </c>
      <c r="Z300" s="642" t="str">
        <f t="shared" si="14"/>
        <v/>
      </c>
    </row>
    <row r="301" spans="1:26" s="127" customFormat="1" ht="25">
      <c r="A301" s="636">
        <v>2617</v>
      </c>
      <c r="B301" s="637" t="s">
        <v>33</v>
      </c>
      <c r="C301" s="636" t="s">
        <v>2725</v>
      </c>
      <c r="D301" s="637" t="s">
        <v>676</v>
      </c>
      <c r="E301" s="637" t="s">
        <v>118</v>
      </c>
      <c r="F301" s="636">
        <v>5914</v>
      </c>
      <c r="G301" s="637" t="s">
        <v>57</v>
      </c>
      <c r="H301" s="637" t="s">
        <v>1162</v>
      </c>
      <c r="I301" s="637" t="s">
        <v>58</v>
      </c>
      <c r="J301" s="636">
        <v>22</v>
      </c>
      <c r="K301" s="636">
        <v>2</v>
      </c>
      <c r="L301" s="637" t="s">
        <v>52</v>
      </c>
      <c r="M301" s="637" t="s">
        <v>35</v>
      </c>
      <c r="N301" s="637" t="s">
        <v>36</v>
      </c>
      <c r="O301" s="637" t="s">
        <v>37</v>
      </c>
      <c r="P301" s="637" t="s">
        <v>1156</v>
      </c>
      <c r="Q301" s="638">
        <v>0</v>
      </c>
      <c r="R301" s="638">
        <v>0</v>
      </c>
      <c r="S301" s="638">
        <v>79060</v>
      </c>
      <c r="T301" s="638">
        <v>79060</v>
      </c>
      <c r="U301" s="638">
        <v>23171</v>
      </c>
      <c r="V301" s="636">
        <v>2022</v>
      </c>
      <c r="W301" s="640"/>
      <c r="X301" s="641">
        <f t="shared" si="12"/>
        <v>3.4120236502524706</v>
      </c>
      <c r="Y301" s="642" t="str">
        <f t="shared" si="13"/>
        <v/>
      </c>
      <c r="Z301" s="642" t="str">
        <f t="shared" si="14"/>
        <v/>
      </c>
    </row>
    <row r="302" spans="1:26" s="127" customFormat="1" ht="25">
      <c r="A302" s="636">
        <v>2619</v>
      </c>
      <c r="B302" s="637" t="s">
        <v>33</v>
      </c>
      <c r="C302" s="636" t="s">
        <v>2725</v>
      </c>
      <c r="D302" s="637" t="s">
        <v>677</v>
      </c>
      <c r="E302" s="637" t="s">
        <v>118</v>
      </c>
      <c r="F302" s="636">
        <v>5914</v>
      </c>
      <c r="G302" s="637" t="s">
        <v>57</v>
      </c>
      <c r="H302" s="637" t="s">
        <v>1162</v>
      </c>
      <c r="I302" s="637" t="s">
        <v>58</v>
      </c>
      <c r="J302" s="636">
        <v>22</v>
      </c>
      <c r="K302" s="636">
        <v>2</v>
      </c>
      <c r="L302" s="637" t="s">
        <v>52</v>
      </c>
      <c r="M302" s="637" t="s">
        <v>35</v>
      </c>
      <c r="N302" s="637" t="s">
        <v>36</v>
      </c>
      <c r="O302" s="637" t="s">
        <v>37</v>
      </c>
      <c r="P302" s="637" t="s">
        <v>1156</v>
      </c>
      <c r="Q302" s="638">
        <v>0</v>
      </c>
      <c r="R302" s="638">
        <v>0</v>
      </c>
      <c r="S302" s="638">
        <v>486333</v>
      </c>
      <c r="T302" s="638">
        <v>486333</v>
      </c>
      <c r="U302" s="638">
        <v>142536</v>
      </c>
      <c r="V302" s="636">
        <v>2022</v>
      </c>
      <c r="W302" s="640"/>
      <c r="X302" s="641">
        <f t="shared" si="12"/>
        <v>3.4120011786496045</v>
      </c>
      <c r="Y302" s="642" t="str">
        <f t="shared" si="13"/>
        <v/>
      </c>
      <c r="Z302" s="642" t="str">
        <f t="shared" si="14"/>
        <v/>
      </c>
    </row>
    <row r="303" spans="1:26" s="127" customFormat="1" ht="25">
      <c r="A303" s="636">
        <v>2621</v>
      </c>
      <c r="B303" s="637" t="s">
        <v>33</v>
      </c>
      <c r="C303" s="636" t="s">
        <v>2725</v>
      </c>
      <c r="D303" s="637" t="s">
        <v>678</v>
      </c>
      <c r="E303" s="637" t="s">
        <v>118</v>
      </c>
      <c r="F303" s="636">
        <v>5914</v>
      </c>
      <c r="G303" s="637" t="s">
        <v>57</v>
      </c>
      <c r="H303" s="637" t="s">
        <v>1162</v>
      </c>
      <c r="I303" s="637" t="s">
        <v>58</v>
      </c>
      <c r="J303" s="636">
        <v>22</v>
      </c>
      <c r="K303" s="636">
        <v>2</v>
      </c>
      <c r="L303" s="637" t="s">
        <v>52</v>
      </c>
      <c r="M303" s="637" t="s">
        <v>35</v>
      </c>
      <c r="N303" s="637" t="s">
        <v>36</v>
      </c>
      <c r="O303" s="637" t="s">
        <v>37</v>
      </c>
      <c r="P303" s="637" t="s">
        <v>1156</v>
      </c>
      <c r="Q303" s="638">
        <v>0</v>
      </c>
      <c r="R303" s="638">
        <v>0</v>
      </c>
      <c r="S303" s="638">
        <v>53899</v>
      </c>
      <c r="T303" s="638">
        <v>53899</v>
      </c>
      <c r="U303" s="638">
        <v>15797</v>
      </c>
      <c r="V303" s="636">
        <v>2022</v>
      </c>
      <c r="W303" s="640"/>
      <c r="X303" s="641">
        <f t="shared" si="12"/>
        <v>3.4119769576501868</v>
      </c>
      <c r="Y303" s="642" t="str">
        <f t="shared" si="13"/>
        <v/>
      </c>
      <c r="Z303" s="642" t="str">
        <f t="shared" si="14"/>
        <v/>
      </c>
    </row>
    <row r="304" spans="1:26" s="127" customFormat="1" ht="25">
      <c r="A304" s="636">
        <v>2623</v>
      </c>
      <c r="B304" s="637" t="s">
        <v>33</v>
      </c>
      <c r="C304" s="636" t="s">
        <v>2725</v>
      </c>
      <c r="D304" s="637" t="s">
        <v>679</v>
      </c>
      <c r="E304" s="637" t="s">
        <v>118</v>
      </c>
      <c r="F304" s="636">
        <v>5914</v>
      </c>
      <c r="G304" s="637" t="s">
        <v>57</v>
      </c>
      <c r="H304" s="637" t="s">
        <v>1162</v>
      </c>
      <c r="I304" s="637" t="s">
        <v>58</v>
      </c>
      <c r="J304" s="636">
        <v>22</v>
      </c>
      <c r="K304" s="636">
        <v>2</v>
      </c>
      <c r="L304" s="637" t="s">
        <v>52</v>
      </c>
      <c r="M304" s="637" t="s">
        <v>35</v>
      </c>
      <c r="N304" s="637" t="s">
        <v>36</v>
      </c>
      <c r="O304" s="637" t="s">
        <v>37</v>
      </c>
      <c r="P304" s="637" t="s">
        <v>1156</v>
      </c>
      <c r="Q304" s="638">
        <v>0</v>
      </c>
      <c r="R304" s="638">
        <v>0</v>
      </c>
      <c r="S304" s="638">
        <v>42548</v>
      </c>
      <c r="T304" s="638">
        <v>42548</v>
      </c>
      <c r="U304" s="638">
        <v>12470</v>
      </c>
      <c r="V304" s="636">
        <v>2022</v>
      </c>
      <c r="W304" s="640"/>
      <c r="X304" s="641">
        <f t="shared" si="12"/>
        <v>3.4120288692862872</v>
      </c>
      <c r="Y304" s="642" t="str">
        <f t="shared" si="13"/>
        <v/>
      </c>
      <c r="Z304" s="642" t="str">
        <f t="shared" si="14"/>
        <v/>
      </c>
    </row>
    <row r="305" spans="1:26" s="127" customFormat="1" ht="25">
      <c r="A305" s="636">
        <v>2624</v>
      </c>
      <c r="B305" s="637" t="s">
        <v>33</v>
      </c>
      <c r="C305" s="636" t="s">
        <v>2725</v>
      </c>
      <c r="D305" s="637" t="s">
        <v>680</v>
      </c>
      <c r="E305" s="637" t="s">
        <v>118</v>
      </c>
      <c r="F305" s="636">
        <v>5914</v>
      </c>
      <c r="G305" s="637" t="s">
        <v>57</v>
      </c>
      <c r="H305" s="637" t="s">
        <v>1162</v>
      </c>
      <c r="I305" s="637" t="s">
        <v>58</v>
      </c>
      <c r="J305" s="636">
        <v>22</v>
      </c>
      <c r="K305" s="636">
        <v>2</v>
      </c>
      <c r="L305" s="637" t="s">
        <v>52</v>
      </c>
      <c r="M305" s="637" t="s">
        <v>35</v>
      </c>
      <c r="N305" s="637" t="s">
        <v>36</v>
      </c>
      <c r="O305" s="637" t="s">
        <v>37</v>
      </c>
      <c r="P305" s="637" t="s">
        <v>1156</v>
      </c>
      <c r="Q305" s="638">
        <v>0</v>
      </c>
      <c r="R305" s="638">
        <v>0</v>
      </c>
      <c r="S305" s="638">
        <v>12555</v>
      </c>
      <c r="T305" s="638">
        <v>12555</v>
      </c>
      <c r="U305" s="638">
        <v>3680</v>
      </c>
      <c r="V305" s="636">
        <v>2022</v>
      </c>
      <c r="W305" s="640"/>
      <c r="X305" s="641">
        <f t="shared" si="12"/>
        <v>3.4116847826086958</v>
      </c>
      <c r="Y305" s="642" t="str">
        <f t="shared" si="13"/>
        <v/>
      </c>
      <c r="Z305" s="642" t="str">
        <f t="shared" si="14"/>
        <v/>
      </c>
    </row>
    <row r="306" spans="1:26" s="127" customFormat="1" ht="25">
      <c r="A306" s="636">
        <v>2625</v>
      </c>
      <c r="B306" s="637" t="s">
        <v>33</v>
      </c>
      <c r="C306" s="636" t="s">
        <v>2725</v>
      </c>
      <c r="D306" s="637" t="s">
        <v>122</v>
      </c>
      <c r="E306" s="637" t="s">
        <v>3023</v>
      </c>
      <c r="F306" s="636">
        <v>64082</v>
      </c>
      <c r="G306" s="637" t="s">
        <v>57</v>
      </c>
      <c r="H306" s="637" t="s">
        <v>1162</v>
      </c>
      <c r="I306" s="637" t="s">
        <v>58</v>
      </c>
      <c r="J306" s="636">
        <v>22</v>
      </c>
      <c r="K306" s="636">
        <v>2</v>
      </c>
      <c r="L306" s="637" t="s">
        <v>52</v>
      </c>
      <c r="M306" s="637" t="s">
        <v>42</v>
      </c>
      <c r="N306" s="637" t="s">
        <v>39</v>
      </c>
      <c r="O306" s="637" t="s">
        <v>39</v>
      </c>
      <c r="P306" s="637" t="s">
        <v>1020</v>
      </c>
      <c r="Q306" s="638">
        <v>14607394</v>
      </c>
      <c r="R306" s="638">
        <v>14607394</v>
      </c>
      <c r="S306" s="638">
        <v>14976378</v>
      </c>
      <c r="T306" s="638">
        <v>14976378</v>
      </c>
      <c r="U306" s="638">
        <v>1444885.1</v>
      </c>
      <c r="V306" s="636">
        <v>2022</v>
      </c>
      <c r="W306" s="640" t="s">
        <v>3934</v>
      </c>
      <c r="X306" s="641">
        <f t="shared" si="12"/>
        <v>10.365099619339974</v>
      </c>
      <c r="Y306" s="642" t="str">
        <f t="shared" si="13"/>
        <v/>
      </c>
      <c r="Z306" s="642" t="str">
        <f t="shared" si="14"/>
        <v/>
      </c>
    </row>
    <row r="307" spans="1:26" s="127" customFormat="1" ht="25">
      <c r="A307" s="636">
        <v>2625</v>
      </c>
      <c r="B307" s="637" t="s">
        <v>33</v>
      </c>
      <c r="C307" s="636" t="s">
        <v>2725</v>
      </c>
      <c r="D307" s="637" t="s">
        <v>122</v>
      </c>
      <c r="E307" s="637" t="s">
        <v>3023</v>
      </c>
      <c r="F307" s="636">
        <v>64082</v>
      </c>
      <c r="G307" s="637" t="s">
        <v>57</v>
      </c>
      <c r="H307" s="637" t="s">
        <v>1162</v>
      </c>
      <c r="I307" s="637" t="s">
        <v>58</v>
      </c>
      <c r="J307" s="636">
        <v>22</v>
      </c>
      <c r="K307" s="636">
        <v>2</v>
      </c>
      <c r="L307" s="637" t="s">
        <v>52</v>
      </c>
      <c r="M307" s="637" t="s">
        <v>42</v>
      </c>
      <c r="N307" s="637" t="s">
        <v>61</v>
      </c>
      <c r="O307" s="637" t="s">
        <v>61</v>
      </c>
      <c r="P307" s="637" t="s">
        <v>47</v>
      </c>
      <c r="Q307" s="638">
        <v>35690</v>
      </c>
      <c r="R307" s="638">
        <v>35690</v>
      </c>
      <c r="S307" s="638">
        <v>221278</v>
      </c>
      <c r="T307" s="638">
        <v>221278</v>
      </c>
      <c r="U307" s="638">
        <v>20703.896000000001</v>
      </c>
      <c r="V307" s="636">
        <v>2022</v>
      </c>
      <c r="W307" s="640" t="s">
        <v>3934</v>
      </c>
      <c r="X307" s="641">
        <f t="shared" si="12"/>
        <v>10.687746885900122</v>
      </c>
      <c r="Y307" s="642" t="str">
        <f t="shared" si="13"/>
        <v/>
      </c>
      <c r="Z307" s="642" t="str">
        <f t="shared" si="14"/>
        <v/>
      </c>
    </row>
    <row r="308" spans="1:26" s="127" customFormat="1" ht="25">
      <c r="A308" s="636">
        <v>2627</v>
      </c>
      <c r="B308" s="637" t="s">
        <v>33</v>
      </c>
      <c r="C308" s="636" t="s">
        <v>2725</v>
      </c>
      <c r="D308" s="637" t="s">
        <v>681</v>
      </c>
      <c r="E308" s="637" t="s">
        <v>56</v>
      </c>
      <c r="F308" s="636">
        <v>15296</v>
      </c>
      <c r="G308" s="637" t="s">
        <v>57</v>
      </c>
      <c r="H308" s="637" t="s">
        <v>1162</v>
      </c>
      <c r="I308" s="637" t="s">
        <v>58</v>
      </c>
      <c r="J308" s="636">
        <v>22</v>
      </c>
      <c r="K308" s="636">
        <v>1</v>
      </c>
      <c r="L308" s="637" t="s">
        <v>34</v>
      </c>
      <c r="M308" s="637" t="s">
        <v>35</v>
      </c>
      <c r="N308" s="637" t="s">
        <v>36</v>
      </c>
      <c r="O308" s="637" t="s">
        <v>37</v>
      </c>
      <c r="P308" s="637" t="s">
        <v>1156</v>
      </c>
      <c r="Q308" s="638">
        <v>0</v>
      </c>
      <c r="R308" s="638">
        <v>0</v>
      </c>
      <c r="S308" s="638">
        <v>256228</v>
      </c>
      <c r="T308" s="638">
        <v>256228</v>
      </c>
      <c r="U308" s="638">
        <v>75096</v>
      </c>
      <c r="V308" s="636">
        <v>2022</v>
      </c>
      <c r="W308" s="640"/>
      <c r="X308" s="641">
        <f t="shared" si="12"/>
        <v>3.412005965697241</v>
      </c>
      <c r="Y308" s="642" t="str">
        <f t="shared" si="13"/>
        <v/>
      </c>
      <c r="Z308" s="642" t="str">
        <f t="shared" si="14"/>
        <v/>
      </c>
    </row>
    <row r="309" spans="1:26" s="127" customFormat="1" ht="25">
      <c r="A309" s="636">
        <v>2628</v>
      </c>
      <c r="B309" s="637" t="s">
        <v>33</v>
      </c>
      <c r="C309" s="636" t="s">
        <v>2725</v>
      </c>
      <c r="D309" s="637" t="s">
        <v>513</v>
      </c>
      <c r="E309" s="637" t="s">
        <v>1170</v>
      </c>
      <c r="F309" s="636">
        <v>56142</v>
      </c>
      <c r="G309" s="637" t="s">
        <v>57</v>
      </c>
      <c r="H309" s="637" t="s">
        <v>1162</v>
      </c>
      <c r="I309" s="637" t="s">
        <v>58</v>
      </c>
      <c r="J309" s="636">
        <v>22</v>
      </c>
      <c r="K309" s="636">
        <v>2</v>
      </c>
      <c r="L309" s="637" t="s">
        <v>52</v>
      </c>
      <c r="M309" s="637" t="s">
        <v>50</v>
      </c>
      <c r="N309" s="637" t="s">
        <v>66</v>
      </c>
      <c r="O309" s="637" t="s">
        <v>67</v>
      </c>
      <c r="P309" s="637" t="s">
        <v>47</v>
      </c>
      <c r="Q309" s="638">
        <v>0</v>
      </c>
      <c r="R309" s="638">
        <v>0</v>
      </c>
      <c r="S309" s="638">
        <v>0</v>
      </c>
      <c r="T309" s="638">
        <v>0</v>
      </c>
      <c r="U309" s="638">
        <v>0</v>
      </c>
      <c r="V309" s="636">
        <v>2022</v>
      </c>
      <c r="W309" s="640" t="s">
        <v>3934</v>
      </c>
      <c r="X309" s="641" t="str">
        <f t="shared" si="12"/>
        <v/>
      </c>
      <c r="Y309" s="642" t="str">
        <f t="shared" si="13"/>
        <v/>
      </c>
      <c r="Z309" s="642" t="str">
        <f t="shared" si="14"/>
        <v/>
      </c>
    </row>
    <row r="310" spans="1:26" s="127" customFormat="1" ht="25">
      <c r="A310" s="636">
        <v>2628</v>
      </c>
      <c r="B310" s="637" t="s">
        <v>33</v>
      </c>
      <c r="C310" s="636" t="s">
        <v>2725</v>
      </c>
      <c r="D310" s="637" t="s">
        <v>513</v>
      </c>
      <c r="E310" s="637" t="s">
        <v>1170</v>
      </c>
      <c r="F310" s="636">
        <v>56142</v>
      </c>
      <c r="G310" s="637" t="s">
        <v>57</v>
      </c>
      <c r="H310" s="637" t="s">
        <v>1162</v>
      </c>
      <c r="I310" s="637" t="s">
        <v>58</v>
      </c>
      <c r="J310" s="636">
        <v>22</v>
      </c>
      <c r="K310" s="636">
        <v>2</v>
      </c>
      <c r="L310" s="637" t="s">
        <v>52</v>
      </c>
      <c r="M310" s="637" t="s">
        <v>50</v>
      </c>
      <c r="N310" s="637" t="s">
        <v>76</v>
      </c>
      <c r="O310" s="637" t="s">
        <v>67</v>
      </c>
      <c r="P310" s="637" t="s">
        <v>47</v>
      </c>
      <c r="Q310" s="638">
        <v>0</v>
      </c>
      <c r="R310" s="638">
        <v>0</v>
      </c>
      <c r="S310" s="638">
        <v>0</v>
      </c>
      <c r="T310" s="638">
        <v>0</v>
      </c>
      <c r="U310" s="638">
        <v>0</v>
      </c>
      <c r="V310" s="636">
        <v>2022</v>
      </c>
      <c r="W310" s="640" t="s">
        <v>3934</v>
      </c>
      <c r="X310" s="641" t="str">
        <f t="shared" si="12"/>
        <v/>
      </c>
      <c r="Y310" s="642" t="str">
        <f t="shared" si="13"/>
        <v/>
      </c>
      <c r="Z310" s="642" t="str">
        <f t="shared" si="14"/>
        <v/>
      </c>
    </row>
    <row r="311" spans="1:26" s="127" customFormat="1" ht="25">
      <c r="A311" s="636">
        <v>2628</v>
      </c>
      <c r="B311" s="637" t="s">
        <v>33</v>
      </c>
      <c r="C311" s="636" t="s">
        <v>2725</v>
      </c>
      <c r="D311" s="637" t="s">
        <v>513</v>
      </c>
      <c r="E311" s="637" t="s">
        <v>1170</v>
      </c>
      <c r="F311" s="636">
        <v>56142</v>
      </c>
      <c r="G311" s="637" t="s">
        <v>57</v>
      </c>
      <c r="H311" s="637" t="s">
        <v>1162</v>
      </c>
      <c r="I311" s="637" t="s">
        <v>58</v>
      </c>
      <c r="J311" s="636">
        <v>22</v>
      </c>
      <c r="K311" s="636">
        <v>2</v>
      </c>
      <c r="L311" s="637" t="s">
        <v>52</v>
      </c>
      <c r="M311" s="637" t="s">
        <v>50</v>
      </c>
      <c r="N311" s="637" t="s">
        <v>39</v>
      </c>
      <c r="O311" s="637" t="s">
        <v>39</v>
      </c>
      <c r="P311" s="637" t="s">
        <v>1020</v>
      </c>
      <c r="Q311" s="638">
        <v>21744</v>
      </c>
      <c r="R311" s="638">
        <v>21744</v>
      </c>
      <c r="S311" s="638">
        <v>22613</v>
      </c>
      <c r="T311" s="638">
        <v>22613</v>
      </c>
      <c r="U311" s="638">
        <v>1357</v>
      </c>
      <c r="V311" s="636">
        <v>2022</v>
      </c>
      <c r="W311" s="640" t="s">
        <v>3934</v>
      </c>
      <c r="X311" s="641">
        <f t="shared" si="12"/>
        <v>16.663964627855563</v>
      </c>
      <c r="Y311" s="642" t="str">
        <f t="shared" si="13"/>
        <v/>
      </c>
      <c r="Z311" s="642" t="str">
        <f t="shared" si="14"/>
        <v/>
      </c>
    </row>
    <row r="312" spans="1:26" s="127" customFormat="1" ht="25">
      <c r="A312" s="636">
        <v>2630</v>
      </c>
      <c r="B312" s="637" t="s">
        <v>33</v>
      </c>
      <c r="C312" s="636" t="s">
        <v>2725</v>
      </c>
      <c r="D312" s="637" t="s">
        <v>3024</v>
      </c>
      <c r="E312" s="637" t="s">
        <v>3025</v>
      </c>
      <c r="F312" s="636">
        <v>57280</v>
      </c>
      <c r="G312" s="637" t="s">
        <v>57</v>
      </c>
      <c r="H312" s="637" t="s">
        <v>1162</v>
      </c>
      <c r="I312" s="637" t="s">
        <v>58</v>
      </c>
      <c r="J312" s="636">
        <v>22</v>
      </c>
      <c r="K312" s="636">
        <v>2</v>
      </c>
      <c r="L312" s="637" t="s">
        <v>52</v>
      </c>
      <c r="M312" s="637" t="s">
        <v>35</v>
      </c>
      <c r="N312" s="637" t="s">
        <v>36</v>
      </c>
      <c r="O312" s="637" t="s">
        <v>37</v>
      </c>
      <c r="P312" s="637" t="s">
        <v>1156</v>
      </c>
      <c r="Q312" s="638">
        <v>0</v>
      </c>
      <c r="R312" s="638">
        <v>0</v>
      </c>
      <c r="S312" s="638">
        <v>0</v>
      </c>
      <c r="T312" s="638">
        <v>0</v>
      </c>
      <c r="U312" s="638">
        <v>0</v>
      </c>
      <c r="V312" s="636">
        <v>2022</v>
      </c>
      <c r="W312" s="640"/>
      <c r="X312" s="641" t="str">
        <f t="shared" si="12"/>
        <v/>
      </c>
      <c r="Y312" s="642" t="str">
        <f t="shared" si="13"/>
        <v/>
      </c>
      <c r="Z312" s="642" t="str">
        <f t="shared" si="14"/>
        <v/>
      </c>
    </row>
    <row r="313" spans="1:26" s="127" customFormat="1" ht="25">
      <c r="A313" s="636">
        <v>2631</v>
      </c>
      <c r="B313" s="637" t="s">
        <v>33</v>
      </c>
      <c r="C313" s="636" t="s">
        <v>2725</v>
      </c>
      <c r="D313" s="637" t="s">
        <v>682</v>
      </c>
      <c r="E313" s="637" t="s">
        <v>3025</v>
      </c>
      <c r="F313" s="636">
        <v>57280</v>
      </c>
      <c r="G313" s="637" t="s">
        <v>57</v>
      </c>
      <c r="H313" s="637" t="s">
        <v>1162</v>
      </c>
      <c r="I313" s="637" t="s">
        <v>58</v>
      </c>
      <c r="J313" s="636">
        <v>22</v>
      </c>
      <c r="K313" s="636">
        <v>2</v>
      </c>
      <c r="L313" s="637" t="s">
        <v>52</v>
      </c>
      <c r="M313" s="637" t="s">
        <v>35</v>
      </c>
      <c r="N313" s="637" t="s">
        <v>36</v>
      </c>
      <c r="O313" s="637" t="s">
        <v>37</v>
      </c>
      <c r="P313" s="637" t="s">
        <v>1156</v>
      </c>
      <c r="Q313" s="638">
        <v>0</v>
      </c>
      <c r="R313" s="638">
        <v>0</v>
      </c>
      <c r="S313" s="638">
        <v>99034</v>
      </c>
      <c r="T313" s="638">
        <v>99034</v>
      </c>
      <c r="U313" s="638">
        <v>29025</v>
      </c>
      <c r="V313" s="636">
        <v>2022</v>
      </c>
      <c r="W313" s="640"/>
      <c r="X313" s="641">
        <f t="shared" si="12"/>
        <v>3.4120241171403962</v>
      </c>
      <c r="Y313" s="642" t="str">
        <f t="shared" si="13"/>
        <v/>
      </c>
      <c r="Z313" s="642" t="str">
        <f t="shared" si="14"/>
        <v/>
      </c>
    </row>
    <row r="314" spans="1:26" s="127" customFormat="1" ht="25">
      <c r="A314" s="636">
        <v>2632</v>
      </c>
      <c r="B314" s="637" t="s">
        <v>33</v>
      </c>
      <c r="C314" s="636" t="s">
        <v>2725</v>
      </c>
      <c r="D314" s="637" t="s">
        <v>542</v>
      </c>
      <c r="E314" s="637" t="s">
        <v>1170</v>
      </c>
      <c r="F314" s="636">
        <v>56142</v>
      </c>
      <c r="G314" s="637" t="s">
        <v>57</v>
      </c>
      <c r="H314" s="637" t="s">
        <v>1162</v>
      </c>
      <c r="I314" s="637" t="s">
        <v>58</v>
      </c>
      <c r="J314" s="636">
        <v>22</v>
      </c>
      <c r="K314" s="636">
        <v>2</v>
      </c>
      <c r="L314" s="637" t="s">
        <v>52</v>
      </c>
      <c r="M314" s="637" t="s">
        <v>50</v>
      </c>
      <c r="N314" s="637" t="s">
        <v>66</v>
      </c>
      <c r="O314" s="637" t="s">
        <v>67</v>
      </c>
      <c r="P314" s="637" t="s">
        <v>47</v>
      </c>
      <c r="Q314" s="638">
        <v>0</v>
      </c>
      <c r="R314" s="638">
        <v>0</v>
      </c>
      <c r="S314" s="638">
        <v>0</v>
      </c>
      <c r="T314" s="638">
        <v>0</v>
      </c>
      <c r="U314" s="638">
        <v>0</v>
      </c>
      <c r="V314" s="636">
        <v>2022</v>
      </c>
      <c r="W314" s="640" t="s">
        <v>3934</v>
      </c>
      <c r="X314" s="641" t="str">
        <f t="shared" si="12"/>
        <v/>
      </c>
      <c r="Y314" s="642" t="str">
        <f t="shared" si="13"/>
        <v/>
      </c>
      <c r="Z314" s="642" t="str">
        <f t="shared" si="14"/>
        <v/>
      </c>
    </row>
    <row r="315" spans="1:26" s="127" customFormat="1" ht="25">
      <c r="A315" s="636">
        <v>2632</v>
      </c>
      <c r="B315" s="637" t="s">
        <v>33</v>
      </c>
      <c r="C315" s="636" t="s">
        <v>2725</v>
      </c>
      <c r="D315" s="637" t="s">
        <v>542</v>
      </c>
      <c r="E315" s="637" t="s">
        <v>1170</v>
      </c>
      <c r="F315" s="636">
        <v>56142</v>
      </c>
      <c r="G315" s="637" t="s">
        <v>57</v>
      </c>
      <c r="H315" s="637" t="s">
        <v>1162</v>
      </c>
      <c r="I315" s="637" t="s">
        <v>58</v>
      </c>
      <c r="J315" s="636">
        <v>22</v>
      </c>
      <c r="K315" s="636">
        <v>2</v>
      </c>
      <c r="L315" s="637" t="s">
        <v>52</v>
      </c>
      <c r="M315" s="637" t="s">
        <v>50</v>
      </c>
      <c r="N315" s="637" t="s">
        <v>76</v>
      </c>
      <c r="O315" s="637" t="s">
        <v>67</v>
      </c>
      <c r="P315" s="637" t="s">
        <v>47</v>
      </c>
      <c r="Q315" s="638">
        <v>0</v>
      </c>
      <c r="R315" s="638">
        <v>0</v>
      </c>
      <c r="S315" s="638">
        <v>0</v>
      </c>
      <c r="T315" s="638">
        <v>0</v>
      </c>
      <c r="U315" s="638">
        <v>0</v>
      </c>
      <c r="V315" s="636">
        <v>2022</v>
      </c>
      <c r="W315" s="640" t="s">
        <v>3934</v>
      </c>
      <c r="X315" s="641" t="str">
        <f t="shared" si="12"/>
        <v/>
      </c>
      <c r="Y315" s="642" t="str">
        <f t="shared" si="13"/>
        <v/>
      </c>
      <c r="Z315" s="642" t="str">
        <f t="shared" si="14"/>
        <v/>
      </c>
    </row>
    <row r="316" spans="1:26" s="127" customFormat="1" ht="25">
      <c r="A316" s="636">
        <v>2632</v>
      </c>
      <c r="B316" s="637" t="s">
        <v>33</v>
      </c>
      <c r="C316" s="636" t="s">
        <v>2725</v>
      </c>
      <c r="D316" s="637" t="s">
        <v>542</v>
      </c>
      <c r="E316" s="637" t="s">
        <v>1170</v>
      </c>
      <c r="F316" s="636">
        <v>56142</v>
      </c>
      <c r="G316" s="637" t="s">
        <v>57</v>
      </c>
      <c r="H316" s="637" t="s">
        <v>1162</v>
      </c>
      <c r="I316" s="637" t="s">
        <v>58</v>
      </c>
      <c r="J316" s="636">
        <v>22</v>
      </c>
      <c r="K316" s="636">
        <v>2</v>
      </c>
      <c r="L316" s="637" t="s">
        <v>52</v>
      </c>
      <c r="M316" s="637" t="s">
        <v>50</v>
      </c>
      <c r="N316" s="637" t="s">
        <v>39</v>
      </c>
      <c r="O316" s="637" t="s">
        <v>39</v>
      </c>
      <c r="P316" s="637" t="s">
        <v>1020</v>
      </c>
      <c r="Q316" s="638">
        <v>7235</v>
      </c>
      <c r="R316" s="638">
        <v>7235</v>
      </c>
      <c r="S316" s="638">
        <v>7524</v>
      </c>
      <c r="T316" s="638">
        <v>7524</v>
      </c>
      <c r="U316" s="638">
        <v>408</v>
      </c>
      <c r="V316" s="636">
        <v>2022</v>
      </c>
      <c r="W316" s="640" t="s">
        <v>3934</v>
      </c>
      <c r="X316" s="641">
        <f t="shared" si="12"/>
        <v>18.441176470588236</v>
      </c>
      <c r="Y316" s="642" t="str">
        <f t="shared" si="13"/>
        <v/>
      </c>
      <c r="Z316" s="642" t="str">
        <f t="shared" si="14"/>
        <v/>
      </c>
    </row>
    <row r="317" spans="1:26" s="127" customFormat="1" ht="25">
      <c r="A317" s="636">
        <v>2634</v>
      </c>
      <c r="B317" s="637" t="s">
        <v>33</v>
      </c>
      <c r="C317" s="636" t="s">
        <v>2725</v>
      </c>
      <c r="D317" s="637" t="s">
        <v>683</v>
      </c>
      <c r="E317" s="637" t="s">
        <v>3025</v>
      </c>
      <c r="F317" s="636">
        <v>57280</v>
      </c>
      <c r="G317" s="637" t="s">
        <v>57</v>
      </c>
      <c r="H317" s="637" t="s">
        <v>1162</v>
      </c>
      <c r="I317" s="637" t="s">
        <v>58</v>
      </c>
      <c r="J317" s="636">
        <v>22</v>
      </c>
      <c r="K317" s="636">
        <v>2</v>
      </c>
      <c r="L317" s="637" t="s">
        <v>52</v>
      </c>
      <c r="M317" s="637" t="s">
        <v>35</v>
      </c>
      <c r="N317" s="637" t="s">
        <v>36</v>
      </c>
      <c r="O317" s="637" t="s">
        <v>37</v>
      </c>
      <c r="P317" s="637" t="s">
        <v>1156</v>
      </c>
      <c r="Q317" s="638">
        <v>0</v>
      </c>
      <c r="R317" s="638">
        <v>0</v>
      </c>
      <c r="S317" s="638">
        <v>53658</v>
      </c>
      <c r="T317" s="638">
        <v>53658</v>
      </c>
      <c r="U317" s="638">
        <v>15726</v>
      </c>
      <c r="V317" s="636">
        <v>2022</v>
      </c>
      <c r="W317" s="640"/>
      <c r="X317" s="641">
        <f t="shared" si="12"/>
        <v>3.4120564669973295</v>
      </c>
      <c r="Y317" s="642" t="str">
        <f t="shared" si="13"/>
        <v/>
      </c>
      <c r="Z317" s="642" t="str">
        <f t="shared" si="14"/>
        <v/>
      </c>
    </row>
    <row r="318" spans="1:26" s="127" customFormat="1" ht="25">
      <c r="A318" s="636">
        <v>2638</v>
      </c>
      <c r="B318" s="637" t="s">
        <v>33</v>
      </c>
      <c r="C318" s="636" t="s">
        <v>2725</v>
      </c>
      <c r="D318" s="637" t="s">
        <v>684</v>
      </c>
      <c r="E318" s="637" t="s">
        <v>685</v>
      </c>
      <c r="F318" s="636">
        <v>16183</v>
      </c>
      <c r="G318" s="637" t="s">
        <v>57</v>
      </c>
      <c r="H318" s="637" t="s">
        <v>1162</v>
      </c>
      <c r="I318" s="637" t="s">
        <v>58</v>
      </c>
      <c r="J318" s="636">
        <v>22</v>
      </c>
      <c r="K318" s="636">
        <v>1</v>
      </c>
      <c r="L318" s="637" t="s">
        <v>34</v>
      </c>
      <c r="M318" s="637" t="s">
        <v>35</v>
      </c>
      <c r="N318" s="637" t="s">
        <v>36</v>
      </c>
      <c r="O318" s="637" t="s">
        <v>37</v>
      </c>
      <c r="P318" s="637" t="s">
        <v>1156</v>
      </c>
      <c r="Q318" s="638">
        <v>0</v>
      </c>
      <c r="R318" s="638">
        <v>0</v>
      </c>
      <c r="S318" s="638">
        <v>26962</v>
      </c>
      <c r="T318" s="638">
        <v>26962</v>
      </c>
      <c r="U318" s="638">
        <v>7902</v>
      </c>
      <c r="V318" s="636">
        <v>2022</v>
      </c>
      <c r="W318" s="640"/>
      <c r="X318" s="641">
        <f t="shared" si="12"/>
        <v>3.4120475828904073</v>
      </c>
      <c r="Y318" s="642" t="str">
        <f t="shared" si="13"/>
        <v/>
      </c>
      <c r="Z318" s="642" t="str">
        <f t="shared" si="14"/>
        <v/>
      </c>
    </row>
    <row r="319" spans="1:26" s="127" customFormat="1" ht="25">
      <c r="A319" s="636">
        <v>2641</v>
      </c>
      <c r="B319" s="637" t="s">
        <v>33</v>
      </c>
      <c r="C319" s="636" t="s">
        <v>2725</v>
      </c>
      <c r="D319" s="637" t="s">
        <v>1171</v>
      </c>
      <c r="E319" s="637" t="s">
        <v>685</v>
      </c>
      <c r="F319" s="636">
        <v>16183</v>
      </c>
      <c r="G319" s="637" t="s">
        <v>57</v>
      </c>
      <c r="H319" s="637" t="s">
        <v>1162</v>
      </c>
      <c r="I319" s="637" t="s">
        <v>58</v>
      </c>
      <c r="J319" s="636">
        <v>22</v>
      </c>
      <c r="K319" s="636">
        <v>1</v>
      </c>
      <c r="L319" s="637" t="s">
        <v>34</v>
      </c>
      <c r="M319" s="637" t="s">
        <v>35</v>
      </c>
      <c r="N319" s="637" t="s">
        <v>36</v>
      </c>
      <c r="O319" s="637" t="s">
        <v>37</v>
      </c>
      <c r="P319" s="637" t="s">
        <v>1156</v>
      </c>
      <c r="Q319" s="638">
        <v>0</v>
      </c>
      <c r="R319" s="638">
        <v>0</v>
      </c>
      <c r="S319" s="638">
        <v>46288</v>
      </c>
      <c r="T319" s="638">
        <v>46288</v>
      </c>
      <c r="U319" s="638">
        <v>13566</v>
      </c>
      <c r="V319" s="636">
        <v>2022</v>
      </c>
      <c r="W319" s="640"/>
      <c r="X319" s="641">
        <f t="shared" si="12"/>
        <v>3.4120595606663717</v>
      </c>
      <c r="Y319" s="642" t="str">
        <f t="shared" si="13"/>
        <v/>
      </c>
      <c r="Z319" s="642" t="str">
        <f t="shared" si="14"/>
        <v/>
      </c>
    </row>
    <row r="320" spans="1:26" s="127" customFormat="1" ht="25">
      <c r="A320" s="636">
        <v>2678</v>
      </c>
      <c r="B320" s="637" t="s">
        <v>33</v>
      </c>
      <c r="C320" s="636" t="s">
        <v>2725</v>
      </c>
      <c r="D320" s="637" t="s">
        <v>1558</v>
      </c>
      <c r="E320" s="637" t="s">
        <v>1559</v>
      </c>
      <c r="F320" s="636">
        <v>6775</v>
      </c>
      <c r="G320" s="637" t="s">
        <v>57</v>
      </c>
      <c r="H320" s="637" t="s">
        <v>1162</v>
      </c>
      <c r="I320" s="637" t="s">
        <v>58</v>
      </c>
      <c r="J320" s="636">
        <v>22</v>
      </c>
      <c r="K320" s="636">
        <v>1</v>
      </c>
      <c r="L320" s="637" t="s">
        <v>34</v>
      </c>
      <c r="M320" s="637" t="s">
        <v>51</v>
      </c>
      <c r="N320" s="637" t="s">
        <v>46</v>
      </c>
      <c r="O320" s="637" t="s">
        <v>46</v>
      </c>
      <c r="P320" s="637" t="s">
        <v>47</v>
      </c>
      <c r="Q320" s="638">
        <v>67</v>
      </c>
      <c r="R320" s="638">
        <v>67</v>
      </c>
      <c r="S320" s="638">
        <v>376</v>
      </c>
      <c r="T320" s="638">
        <v>376</v>
      </c>
      <c r="U320" s="638">
        <v>30</v>
      </c>
      <c r="V320" s="636">
        <v>2022</v>
      </c>
      <c r="W320" s="640"/>
      <c r="X320" s="641">
        <f t="shared" si="12"/>
        <v>12.533333333333333</v>
      </c>
      <c r="Y320" s="642" t="str">
        <f t="shared" si="13"/>
        <v/>
      </c>
      <c r="Z320" s="642" t="str">
        <f t="shared" si="14"/>
        <v/>
      </c>
    </row>
    <row r="321" spans="1:26" s="127" customFormat="1" ht="25">
      <c r="A321" s="636">
        <v>2679</v>
      </c>
      <c r="B321" s="637" t="s">
        <v>33</v>
      </c>
      <c r="C321" s="636" t="s">
        <v>2725</v>
      </c>
      <c r="D321" s="637" t="s">
        <v>1560</v>
      </c>
      <c r="E321" s="637" t="s">
        <v>1559</v>
      </c>
      <c r="F321" s="636">
        <v>6775</v>
      </c>
      <c r="G321" s="637" t="s">
        <v>57</v>
      </c>
      <c r="H321" s="637" t="s">
        <v>1162</v>
      </c>
      <c r="I321" s="637" t="s">
        <v>58</v>
      </c>
      <c r="J321" s="636">
        <v>22</v>
      </c>
      <c r="K321" s="636">
        <v>1</v>
      </c>
      <c r="L321" s="637" t="s">
        <v>34</v>
      </c>
      <c r="M321" s="637" t="s">
        <v>50</v>
      </c>
      <c r="N321" s="637" t="s">
        <v>46</v>
      </c>
      <c r="O321" s="637" t="s">
        <v>46</v>
      </c>
      <c r="P321" s="637" t="s">
        <v>47</v>
      </c>
      <c r="Q321" s="638">
        <v>0</v>
      </c>
      <c r="R321" s="638">
        <v>0</v>
      </c>
      <c r="S321" s="638">
        <v>0</v>
      </c>
      <c r="T321" s="638">
        <v>0</v>
      </c>
      <c r="U321" s="638">
        <v>0</v>
      </c>
      <c r="V321" s="636">
        <v>2022</v>
      </c>
      <c r="W321" s="640" t="s">
        <v>3934</v>
      </c>
      <c r="X321" s="641" t="str">
        <f t="shared" si="12"/>
        <v/>
      </c>
      <c r="Y321" s="642" t="str">
        <f t="shared" si="13"/>
        <v/>
      </c>
      <c r="Z321" s="642" t="str">
        <f t="shared" si="14"/>
        <v/>
      </c>
    </row>
    <row r="322" spans="1:26" s="127" customFormat="1" ht="25">
      <c r="A322" s="636">
        <v>2679</v>
      </c>
      <c r="B322" s="637" t="s">
        <v>33</v>
      </c>
      <c r="C322" s="636" t="s">
        <v>2725</v>
      </c>
      <c r="D322" s="637" t="s">
        <v>1560</v>
      </c>
      <c r="E322" s="637" t="s">
        <v>1559</v>
      </c>
      <c r="F322" s="636">
        <v>6775</v>
      </c>
      <c r="G322" s="637" t="s">
        <v>57</v>
      </c>
      <c r="H322" s="637" t="s">
        <v>1162</v>
      </c>
      <c r="I322" s="637" t="s">
        <v>58</v>
      </c>
      <c r="J322" s="636">
        <v>22</v>
      </c>
      <c r="K322" s="636">
        <v>1</v>
      </c>
      <c r="L322" s="637" t="s">
        <v>34</v>
      </c>
      <c r="M322" s="637" t="s">
        <v>50</v>
      </c>
      <c r="N322" s="637" t="s">
        <v>76</v>
      </c>
      <c r="O322" s="637" t="s">
        <v>67</v>
      </c>
      <c r="P322" s="637" t="s">
        <v>47</v>
      </c>
      <c r="Q322" s="638">
        <v>5020</v>
      </c>
      <c r="R322" s="638">
        <v>5020</v>
      </c>
      <c r="S322" s="638">
        <v>28464</v>
      </c>
      <c r="T322" s="638">
        <v>28464</v>
      </c>
      <c r="U322" s="638">
        <v>2809.4789999999998</v>
      </c>
      <c r="V322" s="636">
        <v>2022</v>
      </c>
      <c r="W322" s="640" t="s">
        <v>3934</v>
      </c>
      <c r="X322" s="641">
        <f t="shared" si="12"/>
        <v>10.131415824784597</v>
      </c>
      <c r="Y322" s="642" t="str">
        <f t="shared" si="13"/>
        <v/>
      </c>
      <c r="Z322" s="642" t="str">
        <f t="shared" si="14"/>
        <v/>
      </c>
    </row>
    <row r="323" spans="1:26" s="127" customFormat="1" ht="25">
      <c r="A323" s="636">
        <v>2679</v>
      </c>
      <c r="B323" s="637" t="s">
        <v>33</v>
      </c>
      <c r="C323" s="636" t="s">
        <v>2725</v>
      </c>
      <c r="D323" s="637" t="s">
        <v>1560</v>
      </c>
      <c r="E323" s="637" t="s">
        <v>1559</v>
      </c>
      <c r="F323" s="636">
        <v>6775</v>
      </c>
      <c r="G323" s="637" t="s">
        <v>57</v>
      </c>
      <c r="H323" s="637" t="s">
        <v>1162</v>
      </c>
      <c r="I323" s="637" t="s">
        <v>58</v>
      </c>
      <c r="J323" s="636">
        <v>22</v>
      </c>
      <c r="K323" s="636">
        <v>1</v>
      </c>
      <c r="L323" s="637" t="s">
        <v>34</v>
      </c>
      <c r="M323" s="637" t="s">
        <v>50</v>
      </c>
      <c r="N323" s="637" t="s">
        <v>39</v>
      </c>
      <c r="O323" s="637" t="s">
        <v>39</v>
      </c>
      <c r="P323" s="637" t="s">
        <v>1020</v>
      </c>
      <c r="Q323" s="638">
        <v>517862</v>
      </c>
      <c r="R323" s="638">
        <v>517862</v>
      </c>
      <c r="S323" s="638">
        <v>533397</v>
      </c>
      <c r="T323" s="638">
        <v>533397</v>
      </c>
      <c r="U323" s="638">
        <v>52659.521000000001</v>
      </c>
      <c r="V323" s="636">
        <v>2022</v>
      </c>
      <c r="W323" s="640" t="s">
        <v>3934</v>
      </c>
      <c r="X323" s="641">
        <f t="shared" si="12"/>
        <v>10.129165436199088</v>
      </c>
      <c r="Y323" s="642" t="str">
        <f t="shared" si="13"/>
        <v/>
      </c>
      <c r="Z323" s="642" t="str">
        <f t="shared" si="14"/>
        <v/>
      </c>
    </row>
    <row r="324" spans="1:26" s="127" customFormat="1" ht="25">
      <c r="A324" s="636">
        <v>2681</v>
      </c>
      <c r="B324" s="637" t="s">
        <v>33</v>
      </c>
      <c r="C324" s="636" t="s">
        <v>2725</v>
      </c>
      <c r="D324" s="637" t="s">
        <v>686</v>
      </c>
      <c r="E324" s="637" t="s">
        <v>1561</v>
      </c>
      <c r="F324" s="636">
        <v>7630</v>
      </c>
      <c r="G324" s="637" t="s">
        <v>57</v>
      </c>
      <c r="H324" s="637" t="s">
        <v>1162</v>
      </c>
      <c r="I324" s="637" t="s">
        <v>58</v>
      </c>
      <c r="J324" s="636">
        <v>22</v>
      </c>
      <c r="K324" s="636">
        <v>1</v>
      </c>
      <c r="L324" s="637" t="s">
        <v>34</v>
      </c>
      <c r="M324" s="637" t="s">
        <v>51</v>
      </c>
      <c r="N324" s="637" t="s">
        <v>46</v>
      </c>
      <c r="O324" s="637" t="s">
        <v>46</v>
      </c>
      <c r="P324" s="637" t="s">
        <v>47</v>
      </c>
      <c r="Q324" s="638">
        <v>37</v>
      </c>
      <c r="R324" s="638">
        <v>37</v>
      </c>
      <c r="S324" s="638">
        <v>215</v>
      </c>
      <c r="T324" s="638">
        <v>215</v>
      </c>
      <c r="U324" s="638">
        <v>15</v>
      </c>
      <c r="V324" s="636">
        <v>2022</v>
      </c>
      <c r="W324" s="640"/>
      <c r="X324" s="641">
        <f t="shared" si="12"/>
        <v>14.333333333333334</v>
      </c>
      <c r="Y324" s="642" t="str">
        <f t="shared" si="13"/>
        <v/>
      </c>
      <c r="Z324" s="642" t="str">
        <f t="shared" si="14"/>
        <v/>
      </c>
    </row>
    <row r="325" spans="1:26" s="127" customFormat="1" ht="25">
      <c r="A325" s="636">
        <v>2682</v>
      </c>
      <c r="B325" s="637" t="s">
        <v>33</v>
      </c>
      <c r="C325" s="636" t="s">
        <v>2725</v>
      </c>
      <c r="D325" s="637" t="s">
        <v>124</v>
      </c>
      <c r="E325" s="637" t="s">
        <v>687</v>
      </c>
      <c r="F325" s="636">
        <v>9645</v>
      </c>
      <c r="G325" s="637" t="s">
        <v>57</v>
      </c>
      <c r="H325" s="637" t="s">
        <v>1162</v>
      </c>
      <c r="I325" s="637" t="s">
        <v>58</v>
      </c>
      <c r="J325" s="636">
        <v>22</v>
      </c>
      <c r="K325" s="636">
        <v>1</v>
      </c>
      <c r="L325" s="637" t="s">
        <v>34</v>
      </c>
      <c r="M325" s="637" t="s">
        <v>50</v>
      </c>
      <c r="N325" s="637" t="s">
        <v>43</v>
      </c>
      <c r="O325" s="637" t="s">
        <v>44</v>
      </c>
      <c r="P325" s="637" t="s">
        <v>45</v>
      </c>
      <c r="Q325" s="638">
        <v>0</v>
      </c>
      <c r="R325" s="638">
        <v>0</v>
      </c>
      <c r="S325" s="638">
        <v>0</v>
      </c>
      <c r="T325" s="638">
        <v>0</v>
      </c>
      <c r="U325" s="638">
        <v>0</v>
      </c>
      <c r="V325" s="636">
        <v>2022</v>
      </c>
      <c r="W325" s="640" t="s">
        <v>3934</v>
      </c>
      <c r="X325" s="641" t="str">
        <f t="shared" si="12"/>
        <v/>
      </c>
      <c r="Y325" s="642" t="str">
        <f t="shared" si="13"/>
        <v/>
      </c>
      <c r="Z325" s="642" t="str">
        <f t="shared" si="14"/>
        <v/>
      </c>
    </row>
    <row r="326" spans="1:26" s="127" customFormat="1" ht="25">
      <c r="A326" s="636">
        <v>2682</v>
      </c>
      <c r="B326" s="637" t="s">
        <v>33</v>
      </c>
      <c r="C326" s="636" t="s">
        <v>2725</v>
      </c>
      <c r="D326" s="637" t="s">
        <v>124</v>
      </c>
      <c r="E326" s="637" t="s">
        <v>687</v>
      </c>
      <c r="F326" s="636">
        <v>9645</v>
      </c>
      <c r="G326" s="637" t="s">
        <v>57</v>
      </c>
      <c r="H326" s="637" t="s">
        <v>1162</v>
      </c>
      <c r="I326" s="637" t="s">
        <v>58</v>
      </c>
      <c r="J326" s="636">
        <v>22</v>
      </c>
      <c r="K326" s="636">
        <v>1</v>
      </c>
      <c r="L326" s="637" t="s">
        <v>34</v>
      </c>
      <c r="M326" s="637" t="s">
        <v>50</v>
      </c>
      <c r="N326" s="637" t="s">
        <v>39</v>
      </c>
      <c r="O326" s="637" t="s">
        <v>39</v>
      </c>
      <c r="P326" s="637" t="s">
        <v>1020</v>
      </c>
      <c r="Q326" s="638">
        <v>637664</v>
      </c>
      <c r="R326" s="638">
        <v>637664</v>
      </c>
      <c r="S326" s="638">
        <v>657432</v>
      </c>
      <c r="T326" s="638">
        <v>657432</v>
      </c>
      <c r="U326" s="638">
        <v>47204.000999999997</v>
      </c>
      <c r="V326" s="636">
        <v>2022</v>
      </c>
      <c r="W326" s="640" t="s">
        <v>3934</v>
      </c>
      <c r="X326" s="641">
        <f t="shared" si="12"/>
        <v>13.927463479208045</v>
      </c>
      <c r="Y326" s="642" t="str">
        <f t="shared" si="13"/>
        <v/>
      </c>
      <c r="Z326" s="642" t="str">
        <f t="shared" si="14"/>
        <v/>
      </c>
    </row>
    <row r="327" spans="1:26" s="127" customFormat="1" ht="25">
      <c r="A327" s="636">
        <v>2682</v>
      </c>
      <c r="B327" s="637" t="s">
        <v>33</v>
      </c>
      <c r="C327" s="636" t="s">
        <v>2725</v>
      </c>
      <c r="D327" s="637" t="s">
        <v>124</v>
      </c>
      <c r="E327" s="637" t="s">
        <v>687</v>
      </c>
      <c r="F327" s="636">
        <v>9645</v>
      </c>
      <c r="G327" s="637" t="s">
        <v>57</v>
      </c>
      <c r="H327" s="637" t="s">
        <v>1162</v>
      </c>
      <c r="I327" s="637" t="s">
        <v>58</v>
      </c>
      <c r="J327" s="636">
        <v>22</v>
      </c>
      <c r="K327" s="636">
        <v>1</v>
      </c>
      <c r="L327" s="637" t="s">
        <v>34</v>
      </c>
      <c r="M327" s="637" t="s">
        <v>42</v>
      </c>
      <c r="N327" s="637" t="s">
        <v>43</v>
      </c>
      <c r="O327" s="637" t="s">
        <v>44</v>
      </c>
      <c r="P327" s="637" t="s">
        <v>45</v>
      </c>
      <c r="Q327" s="638">
        <v>0</v>
      </c>
      <c r="R327" s="638">
        <v>0</v>
      </c>
      <c r="S327" s="638">
        <v>0</v>
      </c>
      <c r="T327" s="638">
        <v>0</v>
      </c>
      <c r="U327" s="638">
        <v>0</v>
      </c>
      <c r="V327" s="636">
        <v>2022</v>
      </c>
      <c r="W327" s="640" t="s">
        <v>3934</v>
      </c>
      <c r="X327" s="641" t="str">
        <f t="shared" si="12"/>
        <v/>
      </c>
      <c r="Y327" s="642" t="str">
        <f t="shared" si="13"/>
        <v/>
      </c>
      <c r="Z327" s="642" t="str">
        <f t="shared" si="14"/>
        <v/>
      </c>
    </row>
    <row r="328" spans="1:26" s="127" customFormat="1" ht="25">
      <c r="A328" s="636">
        <v>2682</v>
      </c>
      <c r="B328" s="637" t="s">
        <v>33</v>
      </c>
      <c r="C328" s="636" t="s">
        <v>2725</v>
      </c>
      <c r="D328" s="637" t="s">
        <v>124</v>
      </c>
      <c r="E328" s="637" t="s">
        <v>687</v>
      </c>
      <c r="F328" s="636">
        <v>9645</v>
      </c>
      <c r="G328" s="637" t="s">
        <v>57</v>
      </c>
      <c r="H328" s="637" t="s">
        <v>1162</v>
      </c>
      <c r="I328" s="637" t="s">
        <v>58</v>
      </c>
      <c r="J328" s="636">
        <v>22</v>
      </c>
      <c r="K328" s="636">
        <v>1</v>
      </c>
      <c r="L328" s="637" t="s">
        <v>34</v>
      </c>
      <c r="M328" s="637" t="s">
        <v>42</v>
      </c>
      <c r="N328" s="637" t="s">
        <v>46</v>
      </c>
      <c r="O328" s="637" t="s">
        <v>46</v>
      </c>
      <c r="P328" s="637" t="s">
        <v>47</v>
      </c>
      <c r="Q328" s="638">
        <v>166</v>
      </c>
      <c r="R328" s="638">
        <v>166</v>
      </c>
      <c r="S328" s="638">
        <v>973</v>
      </c>
      <c r="T328" s="638">
        <v>973</v>
      </c>
      <c r="U328" s="638">
        <v>167.84800000000001</v>
      </c>
      <c r="V328" s="636">
        <v>2022</v>
      </c>
      <c r="W328" s="640" t="s">
        <v>3934</v>
      </c>
      <c r="X328" s="641">
        <f t="shared" ref="X328:X391" si="15">IF(OR(K328&gt;3,T328=0,NOT(U328&gt;0)),"",T328/U328)</f>
        <v>5.7969114913493156</v>
      </c>
      <c r="Y328" s="642" t="str">
        <f t="shared" ref="Y328:Y391" si="16">IF(AND($M328=$Y$2,$N328=$Y$3,NOT($Q328=$R328),NOT($U328=0)),IF($K328=5,$S328/($U328+(8/5)*$U328),IF($K328=7,$S328/($U328+(29/25)*$U328),"")),"")</f>
        <v/>
      </c>
      <c r="Z328" s="642" t="str">
        <f t="shared" si="14"/>
        <v/>
      </c>
    </row>
    <row r="329" spans="1:26" s="127" customFormat="1" ht="25">
      <c r="A329" s="636">
        <v>2682</v>
      </c>
      <c r="B329" s="637" t="s">
        <v>33</v>
      </c>
      <c r="C329" s="636" t="s">
        <v>2725</v>
      </c>
      <c r="D329" s="637" t="s">
        <v>124</v>
      </c>
      <c r="E329" s="637" t="s">
        <v>687</v>
      </c>
      <c r="F329" s="636">
        <v>9645</v>
      </c>
      <c r="G329" s="637" t="s">
        <v>57</v>
      </c>
      <c r="H329" s="637" t="s">
        <v>1162</v>
      </c>
      <c r="I329" s="637" t="s">
        <v>58</v>
      </c>
      <c r="J329" s="636">
        <v>22</v>
      </c>
      <c r="K329" s="636">
        <v>1</v>
      </c>
      <c r="L329" s="637" t="s">
        <v>34</v>
      </c>
      <c r="M329" s="637" t="s">
        <v>42</v>
      </c>
      <c r="N329" s="637" t="s">
        <v>39</v>
      </c>
      <c r="O329" s="637" t="s">
        <v>39</v>
      </c>
      <c r="P329" s="637" t="s">
        <v>1020</v>
      </c>
      <c r="Q329" s="638">
        <v>61425</v>
      </c>
      <c r="R329" s="638">
        <v>61425</v>
      </c>
      <c r="S329" s="638">
        <v>63329</v>
      </c>
      <c r="T329" s="638">
        <v>63329</v>
      </c>
      <c r="U329" s="638">
        <v>10411.152</v>
      </c>
      <c r="V329" s="636">
        <v>2022</v>
      </c>
      <c r="W329" s="640" t="s">
        <v>3934</v>
      </c>
      <c r="X329" s="641">
        <f t="shared" si="15"/>
        <v>6.0828042852510462</v>
      </c>
      <c r="Y329" s="642" t="str">
        <f t="shared" si="16"/>
        <v/>
      </c>
      <c r="Z329" s="642" t="str">
        <f t="shared" si="14"/>
        <v/>
      </c>
    </row>
    <row r="330" spans="1:26" s="127" customFormat="1" ht="25">
      <c r="A330" s="636">
        <v>2685</v>
      </c>
      <c r="B330" s="637" t="s">
        <v>33</v>
      </c>
      <c r="C330" s="636" t="s">
        <v>2725</v>
      </c>
      <c r="D330" s="637" t="s">
        <v>688</v>
      </c>
      <c r="E330" s="637" t="s">
        <v>56</v>
      </c>
      <c r="F330" s="636">
        <v>15296</v>
      </c>
      <c r="G330" s="637" t="s">
        <v>57</v>
      </c>
      <c r="H330" s="637" t="s">
        <v>1162</v>
      </c>
      <c r="I330" s="637" t="s">
        <v>58</v>
      </c>
      <c r="J330" s="636">
        <v>22</v>
      </c>
      <c r="K330" s="636">
        <v>1</v>
      </c>
      <c r="L330" s="637" t="s">
        <v>34</v>
      </c>
      <c r="M330" s="637" t="s">
        <v>35</v>
      </c>
      <c r="N330" s="637" t="s">
        <v>36</v>
      </c>
      <c r="O330" s="637" t="s">
        <v>37</v>
      </c>
      <c r="P330" s="637" t="s">
        <v>1156</v>
      </c>
      <c r="Q330" s="638">
        <v>0</v>
      </c>
      <c r="R330" s="638">
        <v>0</v>
      </c>
      <c r="S330" s="638">
        <v>184989</v>
      </c>
      <c r="T330" s="638">
        <v>184989</v>
      </c>
      <c r="U330" s="638">
        <v>54217</v>
      </c>
      <c r="V330" s="636">
        <v>2022</v>
      </c>
      <c r="W330" s="640"/>
      <c r="X330" s="641">
        <f t="shared" si="15"/>
        <v>3.4120109928620175</v>
      </c>
      <c r="Y330" s="642" t="str">
        <f t="shared" si="16"/>
        <v/>
      </c>
      <c r="Z330" s="642" t="str">
        <f t="shared" si="14"/>
        <v/>
      </c>
    </row>
    <row r="331" spans="1:26" s="127" customFormat="1" ht="25">
      <c r="A331" s="636">
        <v>2686</v>
      </c>
      <c r="B331" s="637" t="s">
        <v>33</v>
      </c>
      <c r="C331" s="636" t="s">
        <v>2725</v>
      </c>
      <c r="D331" s="637" t="s">
        <v>689</v>
      </c>
      <c r="E331" s="637" t="s">
        <v>56</v>
      </c>
      <c r="F331" s="636">
        <v>15296</v>
      </c>
      <c r="G331" s="637" t="s">
        <v>57</v>
      </c>
      <c r="H331" s="637" t="s">
        <v>1162</v>
      </c>
      <c r="I331" s="637" t="s">
        <v>58</v>
      </c>
      <c r="J331" s="636">
        <v>22</v>
      </c>
      <c r="K331" s="636">
        <v>1</v>
      </c>
      <c r="L331" s="637" t="s">
        <v>34</v>
      </c>
      <c r="M331" s="637" t="s">
        <v>35</v>
      </c>
      <c r="N331" s="637" t="s">
        <v>36</v>
      </c>
      <c r="O331" s="637" t="s">
        <v>37</v>
      </c>
      <c r="P331" s="637" t="s">
        <v>1156</v>
      </c>
      <c r="Q331" s="638">
        <v>0</v>
      </c>
      <c r="R331" s="638">
        <v>0</v>
      </c>
      <c r="S331" s="638">
        <v>164633</v>
      </c>
      <c r="T331" s="638">
        <v>164633</v>
      </c>
      <c r="U331" s="638">
        <v>48251</v>
      </c>
      <c r="V331" s="636">
        <v>2022</v>
      </c>
      <c r="W331" s="640"/>
      <c r="X331" s="641">
        <f t="shared" si="15"/>
        <v>3.4120121862759323</v>
      </c>
      <c r="Y331" s="642" t="str">
        <f t="shared" si="16"/>
        <v/>
      </c>
      <c r="Z331" s="642" t="str">
        <f t="shared" si="14"/>
        <v/>
      </c>
    </row>
    <row r="332" spans="1:26" s="127" customFormat="1" ht="25">
      <c r="A332" s="636">
        <v>2691</v>
      </c>
      <c r="B332" s="637" t="s">
        <v>33</v>
      </c>
      <c r="C332" s="636" t="s">
        <v>2725</v>
      </c>
      <c r="D332" s="637" t="s">
        <v>125</v>
      </c>
      <c r="E332" s="637" t="s">
        <v>56</v>
      </c>
      <c r="F332" s="636">
        <v>15296</v>
      </c>
      <c r="G332" s="637" t="s">
        <v>57</v>
      </c>
      <c r="H332" s="637" t="s">
        <v>1162</v>
      </c>
      <c r="I332" s="637" t="s">
        <v>58</v>
      </c>
      <c r="J332" s="636">
        <v>22</v>
      </c>
      <c r="K332" s="636">
        <v>1</v>
      </c>
      <c r="L332" s="637" t="s">
        <v>34</v>
      </c>
      <c r="M332" s="637" t="s">
        <v>59</v>
      </c>
      <c r="N332" s="637" t="s">
        <v>36</v>
      </c>
      <c r="O332" s="637" t="s">
        <v>60</v>
      </c>
      <c r="P332" s="637" t="s">
        <v>2726</v>
      </c>
      <c r="Q332" s="638">
        <v>656759</v>
      </c>
      <c r="R332" s="638">
        <v>656759</v>
      </c>
      <c r="S332" s="638">
        <v>0</v>
      </c>
      <c r="T332" s="638">
        <v>0</v>
      </c>
      <c r="U332" s="638">
        <v>-212150</v>
      </c>
      <c r="V332" s="636">
        <v>2022</v>
      </c>
      <c r="W332" s="640"/>
      <c r="X332" s="641" t="str">
        <f t="shared" si="15"/>
        <v/>
      </c>
      <c r="Y332" s="642" t="str">
        <f t="shared" si="16"/>
        <v/>
      </c>
      <c r="Z332" s="642" t="str">
        <f t="shared" si="14"/>
        <v/>
      </c>
    </row>
    <row r="333" spans="1:26" s="127" customFormat="1" ht="25">
      <c r="A333" s="636">
        <v>2692</v>
      </c>
      <c r="B333" s="637" t="s">
        <v>33</v>
      </c>
      <c r="C333" s="636" t="s">
        <v>2725</v>
      </c>
      <c r="D333" s="637" t="s">
        <v>126</v>
      </c>
      <c r="E333" s="637" t="s">
        <v>56</v>
      </c>
      <c r="F333" s="636">
        <v>15296</v>
      </c>
      <c r="G333" s="637" t="s">
        <v>57</v>
      </c>
      <c r="H333" s="637" t="s">
        <v>1162</v>
      </c>
      <c r="I333" s="637" t="s">
        <v>58</v>
      </c>
      <c r="J333" s="636">
        <v>22</v>
      </c>
      <c r="K333" s="636">
        <v>1</v>
      </c>
      <c r="L333" s="637" t="s">
        <v>34</v>
      </c>
      <c r="M333" s="637" t="s">
        <v>59</v>
      </c>
      <c r="N333" s="637" t="s">
        <v>36</v>
      </c>
      <c r="O333" s="637" t="s">
        <v>60</v>
      </c>
      <c r="P333" s="637" t="s">
        <v>2726</v>
      </c>
      <c r="Q333" s="638">
        <v>677262</v>
      </c>
      <c r="R333" s="638">
        <v>677262</v>
      </c>
      <c r="S333" s="638">
        <v>0</v>
      </c>
      <c r="T333" s="638">
        <v>0</v>
      </c>
      <c r="U333" s="638">
        <v>-238553</v>
      </c>
      <c r="V333" s="636">
        <v>2022</v>
      </c>
      <c r="W333" s="640"/>
      <c r="X333" s="641" t="str">
        <f t="shared" si="15"/>
        <v/>
      </c>
      <c r="Y333" s="642" t="str">
        <f t="shared" si="16"/>
        <v/>
      </c>
      <c r="Z333" s="642" t="str">
        <f t="shared" si="14"/>
        <v/>
      </c>
    </row>
    <row r="334" spans="1:26" s="127" customFormat="1" ht="25">
      <c r="A334" s="636">
        <v>2693</v>
      </c>
      <c r="B334" s="637" t="s">
        <v>33</v>
      </c>
      <c r="C334" s="636" t="s">
        <v>2725</v>
      </c>
      <c r="D334" s="637" t="s">
        <v>127</v>
      </c>
      <c r="E334" s="637" t="s">
        <v>56</v>
      </c>
      <c r="F334" s="636">
        <v>15296</v>
      </c>
      <c r="G334" s="637" t="s">
        <v>57</v>
      </c>
      <c r="H334" s="637" t="s">
        <v>1162</v>
      </c>
      <c r="I334" s="637" t="s">
        <v>58</v>
      </c>
      <c r="J334" s="636">
        <v>22</v>
      </c>
      <c r="K334" s="636">
        <v>1</v>
      </c>
      <c r="L334" s="637" t="s">
        <v>34</v>
      </c>
      <c r="M334" s="637" t="s">
        <v>35</v>
      </c>
      <c r="N334" s="637" t="s">
        <v>36</v>
      </c>
      <c r="O334" s="637" t="s">
        <v>37</v>
      </c>
      <c r="P334" s="637" t="s">
        <v>1156</v>
      </c>
      <c r="Q334" s="638">
        <v>0</v>
      </c>
      <c r="R334" s="638">
        <v>0</v>
      </c>
      <c r="S334" s="638">
        <v>52857343</v>
      </c>
      <c r="T334" s="638">
        <v>52857343</v>
      </c>
      <c r="U334" s="638">
        <v>15491601</v>
      </c>
      <c r="V334" s="636">
        <v>2022</v>
      </c>
      <c r="W334" s="640"/>
      <c r="X334" s="641">
        <f t="shared" si="15"/>
        <v>3.4120000250458298</v>
      </c>
      <c r="Y334" s="642" t="str">
        <f t="shared" si="16"/>
        <v/>
      </c>
      <c r="Z334" s="642" t="str">
        <f t="shared" si="14"/>
        <v/>
      </c>
    </row>
    <row r="335" spans="1:26" s="127" customFormat="1" ht="25">
      <c r="A335" s="636">
        <v>2694</v>
      </c>
      <c r="B335" s="637" t="s">
        <v>33</v>
      </c>
      <c r="C335" s="636" t="s">
        <v>2725</v>
      </c>
      <c r="D335" s="637" t="s">
        <v>128</v>
      </c>
      <c r="E335" s="637" t="s">
        <v>56</v>
      </c>
      <c r="F335" s="636">
        <v>15296</v>
      </c>
      <c r="G335" s="637" t="s">
        <v>57</v>
      </c>
      <c r="H335" s="637" t="s">
        <v>1162</v>
      </c>
      <c r="I335" s="637" t="s">
        <v>58</v>
      </c>
      <c r="J335" s="636">
        <v>22</v>
      </c>
      <c r="K335" s="636">
        <v>1</v>
      </c>
      <c r="L335" s="637" t="s">
        <v>34</v>
      </c>
      <c r="M335" s="637" t="s">
        <v>35</v>
      </c>
      <c r="N335" s="637" t="s">
        <v>36</v>
      </c>
      <c r="O335" s="637" t="s">
        <v>37</v>
      </c>
      <c r="P335" s="637" t="s">
        <v>1156</v>
      </c>
      <c r="Q335" s="638">
        <v>0</v>
      </c>
      <c r="R335" s="638">
        <v>0</v>
      </c>
      <c r="S335" s="638">
        <v>24905312</v>
      </c>
      <c r="T335" s="638">
        <v>24905312</v>
      </c>
      <c r="U335" s="638">
        <v>7299329</v>
      </c>
      <c r="V335" s="636">
        <v>2022</v>
      </c>
      <c r="W335" s="640"/>
      <c r="X335" s="641">
        <f t="shared" si="15"/>
        <v>3.412000198922394</v>
      </c>
      <c r="Y335" s="642" t="str">
        <f t="shared" si="16"/>
        <v/>
      </c>
      <c r="Z335" s="642" t="str">
        <f t="shared" si="14"/>
        <v/>
      </c>
    </row>
    <row r="336" spans="1:26" s="127" customFormat="1" ht="25">
      <c r="A336" s="636">
        <v>2695</v>
      </c>
      <c r="B336" s="637" t="s">
        <v>33</v>
      </c>
      <c r="C336" s="636" t="s">
        <v>2725</v>
      </c>
      <c r="D336" s="637" t="s">
        <v>690</v>
      </c>
      <c r="E336" s="637" t="s">
        <v>1562</v>
      </c>
      <c r="F336" s="636">
        <v>16217</v>
      </c>
      <c r="G336" s="637" t="s">
        <v>57</v>
      </c>
      <c r="H336" s="637" t="s">
        <v>1162</v>
      </c>
      <c r="I336" s="637" t="s">
        <v>58</v>
      </c>
      <c r="J336" s="636">
        <v>22</v>
      </c>
      <c r="K336" s="636">
        <v>1</v>
      </c>
      <c r="L336" s="637" t="s">
        <v>34</v>
      </c>
      <c r="M336" s="637" t="s">
        <v>51</v>
      </c>
      <c r="N336" s="637" t="s">
        <v>46</v>
      </c>
      <c r="O336" s="637" t="s">
        <v>46</v>
      </c>
      <c r="P336" s="637" t="s">
        <v>47</v>
      </c>
      <c r="Q336" s="638">
        <v>87</v>
      </c>
      <c r="R336" s="638">
        <v>87</v>
      </c>
      <c r="S336" s="638">
        <v>505</v>
      </c>
      <c r="T336" s="638">
        <v>505</v>
      </c>
      <c r="U336" s="638">
        <v>-12.303000000000001</v>
      </c>
      <c r="V336" s="636">
        <v>2022</v>
      </c>
      <c r="W336" s="640"/>
      <c r="X336" s="641" t="str">
        <f t="shared" si="15"/>
        <v/>
      </c>
      <c r="Y336" s="642" t="str">
        <f t="shared" si="16"/>
        <v/>
      </c>
      <c r="Z336" s="642" t="str">
        <f t="shared" ref="Z336:Z399" si="17">IF(AND($M336=$Y$2,$N336=$Y$4,NOT($Q336=$R336),NOT($U336=0)),IF($K336=5,$S336/($U336+(8/5)*$U336),IF($K336=7,$S336/($U336+(29/25)*$U336),"")),"")</f>
        <v/>
      </c>
    </row>
    <row r="337" spans="1:26" s="127" customFormat="1" ht="25">
      <c r="A337" s="636">
        <v>2695</v>
      </c>
      <c r="B337" s="637" t="s">
        <v>33</v>
      </c>
      <c r="C337" s="636" t="s">
        <v>2725</v>
      </c>
      <c r="D337" s="637" t="s">
        <v>690</v>
      </c>
      <c r="E337" s="637" t="s">
        <v>1562</v>
      </c>
      <c r="F337" s="636">
        <v>16217</v>
      </c>
      <c r="G337" s="637" t="s">
        <v>57</v>
      </c>
      <c r="H337" s="637" t="s">
        <v>1162</v>
      </c>
      <c r="I337" s="637" t="s">
        <v>58</v>
      </c>
      <c r="J337" s="636">
        <v>22</v>
      </c>
      <c r="K337" s="636">
        <v>1</v>
      </c>
      <c r="L337" s="637" t="s">
        <v>34</v>
      </c>
      <c r="M337" s="637" t="s">
        <v>51</v>
      </c>
      <c r="N337" s="637" t="s">
        <v>39</v>
      </c>
      <c r="O337" s="637" t="s">
        <v>39</v>
      </c>
      <c r="P337" s="637" t="s">
        <v>1020</v>
      </c>
      <c r="Q337" s="638">
        <v>1672</v>
      </c>
      <c r="R337" s="638">
        <v>1672</v>
      </c>
      <c r="S337" s="638">
        <v>1789</v>
      </c>
      <c r="T337" s="638">
        <v>1789</v>
      </c>
      <c r="U337" s="638">
        <v>-43.697000000000003</v>
      </c>
      <c r="V337" s="636">
        <v>2022</v>
      </c>
      <c r="W337" s="640"/>
      <c r="X337" s="641" t="str">
        <f t="shared" si="15"/>
        <v/>
      </c>
      <c r="Y337" s="642" t="str">
        <f t="shared" si="16"/>
        <v/>
      </c>
      <c r="Z337" s="642" t="str">
        <f t="shared" si="17"/>
        <v/>
      </c>
    </row>
    <row r="338" spans="1:26" s="127" customFormat="1" ht="25">
      <c r="A338" s="636">
        <v>2700</v>
      </c>
      <c r="B338" s="637" t="s">
        <v>33</v>
      </c>
      <c r="C338" s="636" t="s">
        <v>2725</v>
      </c>
      <c r="D338" s="637" t="s">
        <v>691</v>
      </c>
      <c r="E338" s="637" t="s">
        <v>1083</v>
      </c>
      <c r="F338" s="636">
        <v>20188</v>
      </c>
      <c r="G338" s="637" t="s">
        <v>57</v>
      </c>
      <c r="H338" s="637" t="s">
        <v>1162</v>
      </c>
      <c r="I338" s="637" t="s">
        <v>58</v>
      </c>
      <c r="J338" s="636">
        <v>22</v>
      </c>
      <c r="K338" s="636">
        <v>1</v>
      </c>
      <c r="L338" s="637" t="s">
        <v>34</v>
      </c>
      <c r="M338" s="637" t="s">
        <v>35</v>
      </c>
      <c r="N338" s="637" t="s">
        <v>36</v>
      </c>
      <c r="O338" s="637" t="s">
        <v>37</v>
      </c>
      <c r="P338" s="637" t="s">
        <v>1156</v>
      </c>
      <c r="Q338" s="638">
        <v>0</v>
      </c>
      <c r="R338" s="638">
        <v>0</v>
      </c>
      <c r="S338" s="638">
        <v>77470</v>
      </c>
      <c r="T338" s="638">
        <v>77470</v>
      </c>
      <c r="U338" s="638">
        <v>22705</v>
      </c>
      <c r="V338" s="636">
        <v>2022</v>
      </c>
      <c r="W338" s="640"/>
      <c r="X338" s="641">
        <f t="shared" si="15"/>
        <v>3.4120237833076414</v>
      </c>
      <c r="Y338" s="642" t="str">
        <f t="shared" si="16"/>
        <v/>
      </c>
      <c r="Z338" s="642" t="str">
        <f t="shared" si="17"/>
        <v/>
      </c>
    </row>
    <row r="339" spans="1:26" s="127" customFormat="1" ht="25">
      <c r="A339" s="636">
        <v>3236</v>
      </c>
      <c r="B339" s="637" t="s">
        <v>33</v>
      </c>
      <c r="C339" s="636" t="s">
        <v>2725</v>
      </c>
      <c r="D339" s="637" t="s">
        <v>129</v>
      </c>
      <c r="E339" s="637" t="s">
        <v>2731</v>
      </c>
      <c r="F339" s="636">
        <v>63350</v>
      </c>
      <c r="G339" s="637" t="s">
        <v>130</v>
      </c>
      <c r="H339" s="637" t="s">
        <v>1163</v>
      </c>
      <c r="I339" s="637" t="s">
        <v>58</v>
      </c>
      <c r="J339" s="636">
        <v>22</v>
      </c>
      <c r="K339" s="636">
        <v>2</v>
      </c>
      <c r="L339" s="637" t="s">
        <v>52</v>
      </c>
      <c r="M339" s="637" t="s">
        <v>38</v>
      </c>
      <c r="N339" s="637" t="s">
        <v>46</v>
      </c>
      <c r="O339" s="637" t="s">
        <v>46</v>
      </c>
      <c r="P339" s="637" t="s">
        <v>47</v>
      </c>
      <c r="Q339" s="638">
        <v>0</v>
      </c>
      <c r="R339" s="638">
        <v>0</v>
      </c>
      <c r="S339" s="638">
        <v>0</v>
      </c>
      <c r="T339" s="638">
        <v>0</v>
      </c>
      <c r="U339" s="638">
        <v>9422.6200000000008</v>
      </c>
      <c r="V339" s="636">
        <v>2022</v>
      </c>
      <c r="W339" s="640" t="s">
        <v>3934</v>
      </c>
      <c r="X339" s="641" t="str">
        <f t="shared" si="15"/>
        <v/>
      </c>
      <c r="Y339" s="642" t="str">
        <f t="shared" si="16"/>
        <v/>
      </c>
      <c r="Z339" s="642" t="str">
        <f t="shared" si="17"/>
        <v/>
      </c>
    </row>
    <row r="340" spans="1:26" s="127" customFormat="1" ht="25">
      <c r="A340" s="636">
        <v>3236</v>
      </c>
      <c r="B340" s="637" t="s">
        <v>33</v>
      </c>
      <c r="C340" s="636" t="s">
        <v>2725</v>
      </c>
      <c r="D340" s="637" t="s">
        <v>129</v>
      </c>
      <c r="E340" s="637" t="s">
        <v>2731</v>
      </c>
      <c r="F340" s="636">
        <v>63350</v>
      </c>
      <c r="G340" s="637" t="s">
        <v>130</v>
      </c>
      <c r="H340" s="637" t="s">
        <v>1163</v>
      </c>
      <c r="I340" s="637" t="s">
        <v>58</v>
      </c>
      <c r="J340" s="636">
        <v>22</v>
      </c>
      <c r="K340" s="636">
        <v>2</v>
      </c>
      <c r="L340" s="637" t="s">
        <v>52</v>
      </c>
      <c r="M340" s="637" t="s">
        <v>38</v>
      </c>
      <c r="N340" s="637" t="s">
        <v>39</v>
      </c>
      <c r="O340" s="637" t="s">
        <v>39</v>
      </c>
      <c r="P340" s="637" t="s">
        <v>1020</v>
      </c>
      <c r="Q340" s="638">
        <v>0</v>
      </c>
      <c r="R340" s="638">
        <v>0</v>
      </c>
      <c r="S340" s="638">
        <v>0</v>
      </c>
      <c r="T340" s="638">
        <v>0</v>
      </c>
      <c r="U340" s="638">
        <v>304172.38</v>
      </c>
      <c r="V340" s="636">
        <v>2022</v>
      </c>
      <c r="W340" s="640" t="s">
        <v>3934</v>
      </c>
      <c r="X340" s="641" t="str">
        <f t="shared" si="15"/>
        <v/>
      </c>
      <c r="Y340" s="642" t="str">
        <f t="shared" si="16"/>
        <v/>
      </c>
      <c r="Z340" s="642" t="str">
        <f t="shared" si="17"/>
        <v/>
      </c>
    </row>
    <row r="341" spans="1:26" s="127" customFormat="1" ht="25">
      <c r="A341" s="636">
        <v>3236</v>
      </c>
      <c r="B341" s="637" t="s">
        <v>33</v>
      </c>
      <c r="C341" s="636" t="s">
        <v>2725</v>
      </c>
      <c r="D341" s="637" t="s">
        <v>129</v>
      </c>
      <c r="E341" s="637" t="s">
        <v>2731</v>
      </c>
      <c r="F341" s="636">
        <v>63350</v>
      </c>
      <c r="G341" s="637" t="s">
        <v>130</v>
      </c>
      <c r="H341" s="637" t="s">
        <v>1163</v>
      </c>
      <c r="I341" s="637" t="s">
        <v>58</v>
      </c>
      <c r="J341" s="636">
        <v>22</v>
      </c>
      <c r="K341" s="636">
        <v>2</v>
      </c>
      <c r="L341" s="637" t="s">
        <v>52</v>
      </c>
      <c r="M341" s="637" t="s">
        <v>41</v>
      </c>
      <c r="N341" s="637" t="s">
        <v>46</v>
      </c>
      <c r="O341" s="637" t="s">
        <v>46</v>
      </c>
      <c r="P341" s="637" t="s">
        <v>47</v>
      </c>
      <c r="Q341" s="638">
        <v>45129</v>
      </c>
      <c r="R341" s="638">
        <v>45129</v>
      </c>
      <c r="S341" s="638">
        <v>261883</v>
      </c>
      <c r="T341" s="638">
        <v>261883</v>
      </c>
      <c r="U341" s="638">
        <v>23155.580999999998</v>
      </c>
      <c r="V341" s="636">
        <v>2022</v>
      </c>
      <c r="W341" s="640" t="s">
        <v>3934</v>
      </c>
      <c r="X341" s="641">
        <f t="shared" si="15"/>
        <v>11.30971405986315</v>
      </c>
      <c r="Y341" s="642" t="str">
        <f t="shared" si="16"/>
        <v/>
      </c>
      <c r="Z341" s="642" t="str">
        <f t="shared" si="17"/>
        <v/>
      </c>
    </row>
    <row r="342" spans="1:26" s="127" customFormat="1" ht="25">
      <c r="A342" s="636">
        <v>3236</v>
      </c>
      <c r="B342" s="637" t="s">
        <v>33</v>
      </c>
      <c r="C342" s="636" t="s">
        <v>2725</v>
      </c>
      <c r="D342" s="637" t="s">
        <v>129</v>
      </c>
      <c r="E342" s="637" t="s">
        <v>2731</v>
      </c>
      <c r="F342" s="636">
        <v>63350</v>
      </c>
      <c r="G342" s="637" t="s">
        <v>130</v>
      </c>
      <c r="H342" s="637" t="s">
        <v>1163</v>
      </c>
      <c r="I342" s="637" t="s">
        <v>58</v>
      </c>
      <c r="J342" s="636">
        <v>22</v>
      </c>
      <c r="K342" s="636">
        <v>2</v>
      </c>
      <c r="L342" s="637" t="s">
        <v>52</v>
      </c>
      <c r="M342" s="637" t="s">
        <v>41</v>
      </c>
      <c r="N342" s="637" t="s">
        <v>39</v>
      </c>
      <c r="O342" s="637" t="s">
        <v>39</v>
      </c>
      <c r="P342" s="637" t="s">
        <v>1020</v>
      </c>
      <c r="Q342" s="638">
        <v>7474702</v>
      </c>
      <c r="R342" s="638">
        <v>7474702</v>
      </c>
      <c r="S342" s="638">
        <v>7680011</v>
      </c>
      <c r="T342" s="638">
        <v>7680011</v>
      </c>
      <c r="U342" s="638">
        <v>654390.42000000004</v>
      </c>
      <c r="V342" s="636">
        <v>2022</v>
      </c>
      <c r="W342" s="640" t="s">
        <v>3934</v>
      </c>
      <c r="X342" s="641">
        <f t="shared" si="15"/>
        <v>11.736129939066039</v>
      </c>
      <c r="Y342" s="642" t="str">
        <f t="shared" si="16"/>
        <v/>
      </c>
      <c r="Z342" s="642" t="str">
        <f t="shared" si="17"/>
        <v/>
      </c>
    </row>
    <row r="343" spans="1:26" s="127" customFormat="1" ht="25">
      <c r="A343" s="636">
        <v>3708</v>
      </c>
      <c r="B343" s="637" t="s">
        <v>33</v>
      </c>
      <c r="C343" s="636" t="s">
        <v>2725</v>
      </c>
      <c r="D343" s="637" t="s">
        <v>692</v>
      </c>
      <c r="E343" s="637" t="s">
        <v>131</v>
      </c>
      <c r="F343" s="636">
        <v>7601</v>
      </c>
      <c r="G343" s="637" t="s">
        <v>89</v>
      </c>
      <c r="H343" s="637" t="s">
        <v>1163</v>
      </c>
      <c r="I343" s="637" t="s">
        <v>58</v>
      </c>
      <c r="J343" s="636">
        <v>22</v>
      </c>
      <c r="K343" s="636">
        <v>1</v>
      </c>
      <c r="L343" s="637" t="s">
        <v>34</v>
      </c>
      <c r="M343" s="637" t="s">
        <v>50</v>
      </c>
      <c r="N343" s="637" t="s">
        <v>46</v>
      </c>
      <c r="O343" s="637" t="s">
        <v>46</v>
      </c>
      <c r="P343" s="637" t="s">
        <v>47</v>
      </c>
      <c r="Q343" s="638">
        <v>2066</v>
      </c>
      <c r="R343" s="638">
        <v>2066</v>
      </c>
      <c r="S343" s="638">
        <v>11968</v>
      </c>
      <c r="T343" s="638">
        <v>11968</v>
      </c>
      <c r="U343" s="638">
        <v>538</v>
      </c>
      <c r="V343" s="636">
        <v>2022</v>
      </c>
      <c r="W343" s="640"/>
      <c r="X343" s="641">
        <f t="shared" si="15"/>
        <v>22.245353159851302</v>
      </c>
      <c r="Y343" s="642" t="str">
        <f t="shared" si="16"/>
        <v/>
      </c>
      <c r="Z343" s="642" t="str">
        <f t="shared" si="17"/>
        <v/>
      </c>
    </row>
    <row r="344" spans="1:26" s="127" customFormat="1" ht="25">
      <c r="A344" s="636">
        <v>3709</v>
      </c>
      <c r="B344" s="637" t="s">
        <v>33</v>
      </c>
      <c r="C344" s="636" t="s">
        <v>2725</v>
      </c>
      <c r="D344" s="637" t="s">
        <v>1563</v>
      </c>
      <c r="E344" s="637" t="s">
        <v>131</v>
      </c>
      <c r="F344" s="636">
        <v>7601</v>
      </c>
      <c r="G344" s="637" t="s">
        <v>89</v>
      </c>
      <c r="H344" s="637" t="s">
        <v>1163</v>
      </c>
      <c r="I344" s="637" t="s">
        <v>58</v>
      </c>
      <c r="J344" s="636">
        <v>22</v>
      </c>
      <c r="K344" s="636">
        <v>1</v>
      </c>
      <c r="L344" s="637" t="s">
        <v>34</v>
      </c>
      <c r="M344" s="637" t="s">
        <v>35</v>
      </c>
      <c r="N344" s="637" t="s">
        <v>36</v>
      </c>
      <c r="O344" s="637" t="s">
        <v>37</v>
      </c>
      <c r="P344" s="637" t="s">
        <v>1156</v>
      </c>
      <c r="Q344" s="638">
        <v>0</v>
      </c>
      <c r="R344" s="638">
        <v>0</v>
      </c>
      <c r="S344" s="638">
        <v>8334</v>
      </c>
      <c r="T344" s="638">
        <v>8334</v>
      </c>
      <c r="U344" s="638">
        <v>2442</v>
      </c>
      <c r="V344" s="636">
        <v>2022</v>
      </c>
      <c r="W344" s="640"/>
      <c r="X344" s="641">
        <f t="shared" si="15"/>
        <v>3.4127764127764126</v>
      </c>
      <c r="Y344" s="642" t="str">
        <f t="shared" si="16"/>
        <v/>
      </c>
      <c r="Z344" s="642" t="str">
        <f t="shared" si="17"/>
        <v/>
      </c>
    </row>
    <row r="345" spans="1:26" s="127" customFormat="1" ht="25">
      <c r="A345" s="636">
        <v>3710</v>
      </c>
      <c r="B345" s="637" t="s">
        <v>33</v>
      </c>
      <c r="C345" s="636" t="s">
        <v>2725</v>
      </c>
      <c r="D345" s="637" t="s">
        <v>693</v>
      </c>
      <c r="E345" s="637" t="s">
        <v>131</v>
      </c>
      <c r="F345" s="636">
        <v>7601</v>
      </c>
      <c r="G345" s="637" t="s">
        <v>89</v>
      </c>
      <c r="H345" s="637" t="s">
        <v>1163</v>
      </c>
      <c r="I345" s="637" t="s">
        <v>58</v>
      </c>
      <c r="J345" s="636">
        <v>22</v>
      </c>
      <c r="K345" s="636">
        <v>1</v>
      </c>
      <c r="L345" s="637" t="s">
        <v>34</v>
      </c>
      <c r="M345" s="637" t="s">
        <v>35</v>
      </c>
      <c r="N345" s="637" t="s">
        <v>36</v>
      </c>
      <c r="O345" s="637" t="s">
        <v>37</v>
      </c>
      <c r="P345" s="637" t="s">
        <v>1156</v>
      </c>
      <c r="Q345" s="638">
        <v>0</v>
      </c>
      <c r="R345" s="638">
        <v>0</v>
      </c>
      <c r="S345" s="638">
        <v>5910</v>
      </c>
      <c r="T345" s="638">
        <v>5910</v>
      </c>
      <c r="U345" s="638">
        <v>1732</v>
      </c>
      <c r="V345" s="636">
        <v>2022</v>
      </c>
      <c r="W345" s="640"/>
      <c r="X345" s="641">
        <f t="shared" si="15"/>
        <v>3.4122401847575059</v>
      </c>
      <c r="Y345" s="642" t="str">
        <f t="shared" si="16"/>
        <v/>
      </c>
      <c r="Z345" s="642" t="str">
        <f t="shared" si="17"/>
        <v/>
      </c>
    </row>
    <row r="346" spans="1:26" s="127" customFormat="1" ht="25">
      <c r="A346" s="636">
        <v>3711</v>
      </c>
      <c r="B346" s="637" t="s">
        <v>33</v>
      </c>
      <c r="C346" s="636" t="s">
        <v>2725</v>
      </c>
      <c r="D346" s="637" t="s">
        <v>694</v>
      </c>
      <c r="E346" s="637" t="s">
        <v>131</v>
      </c>
      <c r="F346" s="636">
        <v>7601</v>
      </c>
      <c r="G346" s="637" t="s">
        <v>89</v>
      </c>
      <c r="H346" s="637" t="s">
        <v>1163</v>
      </c>
      <c r="I346" s="637" t="s">
        <v>58</v>
      </c>
      <c r="J346" s="636">
        <v>22</v>
      </c>
      <c r="K346" s="636">
        <v>1</v>
      </c>
      <c r="L346" s="637" t="s">
        <v>34</v>
      </c>
      <c r="M346" s="637" t="s">
        <v>35</v>
      </c>
      <c r="N346" s="637" t="s">
        <v>36</v>
      </c>
      <c r="O346" s="637" t="s">
        <v>37</v>
      </c>
      <c r="P346" s="637" t="s">
        <v>1156</v>
      </c>
      <c r="Q346" s="638">
        <v>0</v>
      </c>
      <c r="R346" s="638">
        <v>0</v>
      </c>
      <c r="S346" s="638">
        <v>50182</v>
      </c>
      <c r="T346" s="638">
        <v>50182</v>
      </c>
      <c r="U346" s="638">
        <v>14707</v>
      </c>
      <c r="V346" s="636">
        <v>2022</v>
      </c>
      <c r="W346" s="640"/>
      <c r="X346" s="641">
        <f t="shared" si="15"/>
        <v>3.412116679132386</v>
      </c>
      <c r="Y346" s="642" t="str">
        <f t="shared" si="16"/>
        <v/>
      </c>
      <c r="Z346" s="642" t="str">
        <f t="shared" si="17"/>
        <v/>
      </c>
    </row>
    <row r="347" spans="1:26" s="127" customFormat="1" ht="25">
      <c r="A347" s="636">
        <v>3712</v>
      </c>
      <c r="B347" s="637" t="s">
        <v>33</v>
      </c>
      <c r="C347" s="636" t="s">
        <v>2725</v>
      </c>
      <c r="D347" s="637" t="s">
        <v>695</v>
      </c>
      <c r="E347" s="637" t="s">
        <v>131</v>
      </c>
      <c r="F347" s="636">
        <v>7601</v>
      </c>
      <c r="G347" s="637" t="s">
        <v>89</v>
      </c>
      <c r="H347" s="637" t="s">
        <v>1163</v>
      </c>
      <c r="I347" s="637" t="s">
        <v>58</v>
      </c>
      <c r="J347" s="636">
        <v>22</v>
      </c>
      <c r="K347" s="636">
        <v>1</v>
      </c>
      <c r="L347" s="637" t="s">
        <v>34</v>
      </c>
      <c r="M347" s="637" t="s">
        <v>35</v>
      </c>
      <c r="N347" s="637" t="s">
        <v>36</v>
      </c>
      <c r="O347" s="637" t="s">
        <v>37</v>
      </c>
      <c r="P347" s="637" t="s">
        <v>1156</v>
      </c>
      <c r="Q347" s="638">
        <v>0</v>
      </c>
      <c r="R347" s="638">
        <v>0</v>
      </c>
      <c r="S347" s="638">
        <v>65952</v>
      </c>
      <c r="T347" s="638">
        <v>65952</v>
      </c>
      <c r="U347" s="638">
        <v>19329</v>
      </c>
      <c r="V347" s="636">
        <v>2022</v>
      </c>
      <c r="W347" s="640"/>
      <c r="X347" s="641">
        <f t="shared" si="15"/>
        <v>3.4120751202855812</v>
      </c>
      <c r="Y347" s="642" t="str">
        <f t="shared" si="16"/>
        <v/>
      </c>
      <c r="Z347" s="642" t="str">
        <f t="shared" si="17"/>
        <v/>
      </c>
    </row>
    <row r="348" spans="1:26" s="127" customFormat="1" ht="25">
      <c r="A348" s="636">
        <v>3714</v>
      </c>
      <c r="B348" s="637" t="s">
        <v>33</v>
      </c>
      <c r="C348" s="636" t="s">
        <v>2725</v>
      </c>
      <c r="D348" s="637" t="s">
        <v>696</v>
      </c>
      <c r="E348" s="637" t="s">
        <v>131</v>
      </c>
      <c r="F348" s="636">
        <v>7601</v>
      </c>
      <c r="G348" s="637" t="s">
        <v>89</v>
      </c>
      <c r="H348" s="637" t="s">
        <v>1163</v>
      </c>
      <c r="I348" s="637" t="s">
        <v>58</v>
      </c>
      <c r="J348" s="636">
        <v>22</v>
      </c>
      <c r="K348" s="636">
        <v>1</v>
      </c>
      <c r="L348" s="637" t="s">
        <v>34</v>
      </c>
      <c r="M348" s="637" t="s">
        <v>35</v>
      </c>
      <c r="N348" s="637" t="s">
        <v>36</v>
      </c>
      <c r="O348" s="637" t="s">
        <v>37</v>
      </c>
      <c r="P348" s="637" t="s">
        <v>1156</v>
      </c>
      <c r="Q348" s="638">
        <v>0</v>
      </c>
      <c r="R348" s="638">
        <v>0</v>
      </c>
      <c r="S348" s="638">
        <v>21016</v>
      </c>
      <c r="T348" s="638">
        <v>21016</v>
      </c>
      <c r="U348" s="638">
        <v>6159</v>
      </c>
      <c r="V348" s="636">
        <v>2022</v>
      </c>
      <c r="W348" s="640"/>
      <c r="X348" s="641">
        <f t="shared" si="15"/>
        <v>3.4122422471180385</v>
      </c>
      <c r="Y348" s="642" t="str">
        <f t="shared" si="16"/>
        <v/>
      </c>
      <c r="Z348" s="642" t="str">
        <f t="shared" si="17"/>
        <v/>
      </c>
    </row>
    <row r="349" spans="1:26" s="127" customFormat="1" ht="25">
      <c r="A349" s="636">
        <v>3716</v>
      </c>
      <c r="B349" s="637" t="s">
        <v>33</v>
      </c>
      <c r="C349" s="636" t="s">
        <v>2725</v>
      </c>
      <c r="D349" s="637" t="s">
        <v>697</v>
      </c>
      <c r="E349" s="637" t="s">
        <v>131</v>
      </c>
      <c r="F349" s="636">
        <v>7601</v>
      </c>
      <c r="G349" s="637" t="s">
        <v>89</v>
      </c>
      <c r="H349" s="637" t="s">
        <v>1163</v>
      </c>
      <c r="I349" s="637" t="s">
        <v>58</v>
      </c>
      <c r="J349" s="636">
        <v>22</v>
      </c>
      <c r="K349" s="636">
        <v>1</v>
      </c>
      <c r="L349" s="637" t="s">
        <v>34</v>
      </c>
      <c r="M349" s="637" t="s">
        <v>35</v>
      </c>
      <c r="N349" s="637" t="s">
        <v>36</v>
      </c>
      <c r="O349" s="637" t="s">
        <v>37</v>
      </c>
      <c r="P349" s="637" t="s">
        <v>1156</v>
      </c>
      <c r="Q349" s="638">
        <v>0</v>
      </c>
      <c r="R349" s="638">
        <v>0</v>
      </c>
      <c r="S349" s="638">
        <v>20120</v>
      </c>
      <c r="T349" s="638">
        <v>20120</v>
      </c>
      <c r="U349" s="638">
        <v>5897</v>
      </c>
      <c r="V349" s="636">
        <v>2022</v>
      </c>
      <c r="W349" s="640"/>
      <c r="X349" s="641">
        <f t="shared" si="15"/>
        <v>3.4119043581482109</v>
      </c>
      <c r="Y349" s="642" t="str">
        <f t="shared" si="16"/>
        <v/>
      </c>
      <c r="Z349" s="642" t="str">
        <f t="shared" si="17"/>
        <v/>
      </c>
    </row>
    <row r="350" spans="1:26" s="127" customFormat="1" ht="25">
      <c r="A350" s="636">
        <v>3717</v>
      </c>
      <c r="B350" s="637" t="s">
        <v>33</v>
      </c>
      <c r="C350" s="636" t="s">
        <v>2725</v>
      </c>
      <c r="D350" s="637" t="s">
        <v>698</v>
      </c>
      <c r="E350" s="637" t="s">
        <v>131</v>
      </c>
      <c r="F350" s="636">
        <v>7601</v>
      </c>
      <c r="G350" s="637" t="s">
        <v>89</v>
      </c>
      <c r="H350" s="637" t="s">
        <v>1163</v>
      </c>
      <c r="I350" s="637" t="s">
        <v>58</v>
      </c>
      <c r="J350" s="636">
        <v>22</v>
      </c>
      <c r="K350" s="636">
        <v>1</v>
      </c>
      <c r="L350" s="637" t="s">
        <v>34</v>
      </c>
      <c r="M350" s="637" t="s">
        <v>35</v>
      </c>
      <c r="N350" s="637" t="s">
        <v>36</v>
      </c>
      <c r="O350" s="637" t="s">
        <v>37</v>
      </c>
      <c r="P350" s="637" t="s">
        <v>1156</v>
      </c>
      <c r="Q350" s="638">
        <v>0</v>
      </c>
      <c r="R350" s="638">
        <v>0</v>
      </c>
      <c r="S350" s="638">
        <v>120443</v>
      </c>
      <c r="T350" s="638">
        <v>120443</v>
      </c>
      <c r="U350" s="638">
        <v>35300</v>
      </c>
      <c r="V350" s="636">
        <v>2022</v>
      </c>
      <c r="W350" s="640"/>
      <c r="X350" s="641">
        <f t="shared" si="15"/>
        <v>3.4119830028328613</v>
      </c>
      <c r="Y350" s="642" t="str">
        <f t="shared" si="16"/>
        <v/>
      </c>
      <c r="Z350" s="642" t="str">
        <f t="shared" si="17"/>
        <v/>
      </c>
    </row>
    <row r="351" spans="1:26" s="127" customFormat="1" ht="25">
      <c r="A351" s="636">
        <v>3720</v>
      </c>
      <c r="B351" s="637" t="s">
        <v>33</v>
      </c>
      <c r="C351" s="636" t="s">
        <v>2725</v>
      </c>
      <c r="D351" s="637" t="s">
        <v>699</v>
      </c>
      <c r="E351" s="637" t="s">
        <v>131</v>
      </c>
      <c r="F351" s="636">
        <v>7601</v>
      </c>
      <c r="G351" s="637" t="s">
        <v>89</v>
      </c>
      <c r="H351" s="637" t="s">
        <v>1163</v>
      </c>
      <c r="I351" s="637" t="s">
        <v>58</v>
      </c>
      <c r="J351" s="636">
        <v>22</v>
      </c>
      <c r="K351" s="636">
        <v>1</v>
      </c>
      <c r="L351" s="637" t="s">
        <v>34</v>
      </c>
      <c r="M351" s="637" t="s">
        <v>35</v>
      </c>
      <c r="N351" s="637" t="s">
        <v>36</v>
      </c>
      <c r="O351" s="637" t="s">
        <v>37</v>
      </c>
      <c r="P351" s="637" t="s">
        <v>1156</v>
      </c>
      <c r="Q351" s="638">
        <v>0</v>
      </c>
      <c r="R351" s="638">
        <v>0</v>
      </c>
      <c r="S351" s="638">
        <v>89049</v>
      </c>
      <c r="T351" s="638">
        <v>89049</v>
      </c>
      <c r="U351" s="638">
        <v>26099</v>
      </c>
      <c r="V351" s="636">
        <v>2022</v>
      </c>
      <c r="W351" s="640"/>
      <c r="X351" s="641">
        <f t="shared" si="15"/>
        <v>3.4119698072723095</v>
      </c>
      <c r="Y351" s="642" t="str">
        <f t="shared" si="16"/>
        <v/>
      </c>
      <c r="Z351" s="642" t="str">
        <f t="shared" si="17"/>
        <v/>
      </c>
    </row>
    <row r="352" spans="1:26" s="127" customFormat="1" ht="25">
      <c r="A352" s="636">
        <v>3722</v>
      </c>
      <c r="B352" s="637" t="s">
        <v>33</v>
      </c>
      <c r="C352" s="636" t="s">
        <v>2725</v>
      </c>
      <c r="D352" s="637" t="s">
        <v>700</v>
      </c>
      <c r="E352" s="637" t="s">
        <v>131</v>
      </c>
      <c r="F352" s="636">
        <v>7601</v>
      </c>
      <c r="G352" s="637" t="s">
        <v>89</v>
      </c>
      <c r="H352" s="637" t="s">
        <v>1163</v>
      </c>
      <c r="I352" s="637" t="s">
        <v>58</v>
      </c>
      <c r="J352" s="636">
        <v>22</v>
      </c>
      <c r="K352" s="636">
        <v>1</v>
      </c>
      <c r="L352" s="637" t="s">
        <v>34</v>
      </c>
      <c r="M352" s="637" t="s">
        <v>35</v>
      </c>
      <c r="N352" s="637" t="s">
        <v>36</v>
      </c>
      <c r="O352" s="637" t="s">
        <v>37</v>
      </c>
      <c r="P352" s="637" t="s">
        <v>1156</v>
      </c>
      <c r="Q352" s="638">
        <v>0</v>
      </c>
      <c r="R352" s="638">
        <v>0</v>
      </c>
      <c r="S352" s="638">
        <v>26088</v>
      </c>
      <c r="T352" s="638">
        <v>26088</v>
      </c>
      <c r="U352" s="638">
        <v>7646</v>
      </c>
      <c r="V352" s="636">
        <v>2022</v>
      </c>
      <c r="W352" s="640"/>
      <c r="X352" s="641">
        <f t="shared" si="15"/>
        <v>3.4119801203243525</v>
      </c>
      <c r="Y352" s="642" t="str">
        <f t="shared" si="16"/>
        <v/>
      </c>
      <c r="Z352" s="642" t="str">
        <f t="shared" si="17"/>
        <v/>
      </c>
    </row>
    <row r="353" spans="1:26" s="127" customFormat="1" ht="25">
      <c r="A353" s="636">
        <v>3723</v>
      </c>
      <c r="B353" s="637" t="s">
        <v>33</v>
      </c>
      <c r="C353" s="636" t="s">
        <v>2725</v>
      </c>
      <c r="D353" s="637" t="s">
        <v>701</v>
      </c>
      <c r="E353" s="637" t="s">
        <v>131</v>
      </c>
      <c r="F353" s="636">
        <v>7601</v>
      </c>
      <c r="G353" s="637" t="s">
        <v>89</v>
      </c>
      <c r="H353" s="637" t="s">
        <v>1163</v>
      </c>
      <c r="I353" s="637" t="s">
        <v>58</v>
      </c>
      <c r="J353" s="636">
        <v>22</v>
      </c>
      <c r="K353" s="636">
        <v>1</v>
      </c>
      <c r="L353" s="637" t="s">
        <v>34</v>
      </c>
      <c r="M353" s="637" t="s">
        <v>50</v>
      </c>
      <c r="N353" s="637" t="s">
        <v>46</v>
      </c>
      <c r="O353" s="637" t="s">
        <v>46</v>
      </c>
      <c r="P353" s="637" t="s">
        <v>47</v>
      </c>
      <c r="Q353" s="638">
        <v>2418</v>
      </c>
      <c r="R353" s="638">
        <v>2418</v>
      </c>
      <c r="S353" s="638">
        <v>13894</v>
      </c>
      <c r="T353" s="638">
        <v>13894</v>
      </c>
      <c r="U353" s="638">
        <v>530</v>
      </c>
      <c r="V353" s="636">
        <v>2022</v>
      </c>
      <c r="W353" s="640"/>
      <c r="X353" s="641">
        <f t="shared" si="15"/>
        <v>26.215094339622642</v>
      </c>
      <c r="Y353" s="642" t="str">
        <f t="shared" si="16"/>
        <v/>
      </c>
      <c r="Z353" s="642" t="str">
        <f t="shared" si="17"/>
        <v/>
      </c>
    </row>
    <row r="354" spans="1:26" s="127" customFormat="1" ht="25">
      <c r="A354" s="636">
        <v>3724</v>
      </c>
      <c r="B354" s="637" t="s">
        <v>33</v>
      </c>
      <c r="C354" s="636" t="s">
        <v>2725</v>
      </c>
      <c r="D354" s="637" t="s">
        <v>702</v>
      </c>
      <c r="E354" s="637" t="s">
        <v>131</v>
      </c>
      <c r="F354" s="636">
        <v>7601</v>
      </c>
      <c r="G354" s="637" t="s">
        <v>89</v>
      </c>
      <c r="H354" s="637" t="s">
        <v>1163</v>
      </c>
      <c r="I354" s="637" t="s">
        <v>58</v>
      </c>
      <c r="J354" s="636">
        <v>22</v>
      </c>
      <c r="K354" s="636">
        <v>1</v>
      </c>
      <c r="L354" s="637" t="s">
        <v>34</v>
      </c>
      <c r="M354" s="637" t="s">
        <v>35</v>
      </c>
      <c r="N354" s="637" t="s">
        <v>36</v>
      </c>
      <c r="O354" s="637" t="s">
        <v>37</v>
      </c>
      <c r="P354" s="637" t="s">
        <v>1156</v>
      </c>
      <c r="Q354" s="638">
        <v>0</v>
      </c>
      <c r="R354" s="638">
        <v>0</v>
      </c>
      <c r="S354" s="638">
        <v>8925</v>
      </c>
      <c r="T354" s="638">
        <v>8925</v>
      </c>
      <c r="U354" s="638">
        <v>2616</v>
      </c>
      <c r="V354" s="636">
        <v>2022</v>
      </c>
      <c r="W354" s="640"/>
      <c r="X354" s="641">
        <f t="shared" si="15"/>
        <v>3.4116972477064218</v>
      </c>
      <c r="Y354" s="642" t="str">
        <f t="shared" si="16"/>
        <v/>
      </c>
      <c r="Z354" s="642" t="str">
        <f t="shared" si="17"/>
        <v/>
      </c>
    </row>
    <row r="355" spans="1:26" s="127" customFormat="1" ht="25">
      <c r="A355" s="636">
        <v>3725</v>
      </c>
      <c r="B355" s="637" t="s">
        <v>33</v>
      </c>
      <c r="C355" s="636" t="s">
        <v>2725</v>
      </c>
      <c r="D355" s="637" t="s">
        <v>1564</v>
      </c>
      <c r="E355" s="637" t="s">
        <v>131</v>
      </c>
      <c r="F355" s="636">
        <v>7601</v>
      </c>
      <c r="G355" s="637" t="s">
        <v>89</v>
      </c>
      <c r="H355" s="637" t="s">
        <v>1163</v>
      </c>
      <c r="I355" s="637" t="s">
        <v>58</v>
      </c>
      <c r="J355" s="636">
        <v>22</v>
      </c>
      <c r="K355" s="636">
        <v>1</v>
      </c>
      <c r="L355" s="637" t="s">
        <v>34</v>
      </c>
      <c r="M355" s="637" t="s">
        <v>35</v>
      </c>
      <c r="N355" s="637" t="s">
        <v>36</v>
      </c>
      <c r="O355" s="637" t="s">
        <v>37</v>
      </c>
      <c r="P355" s="637" t="s">
        <v>1156</v>
      </c>
      <c r="Q355" s="638">
        <v>0</v>
      </c>
      <c r="R355" s="638">
        <v>0</v>
      </c>
      <c r="S355" s="638">
        <v>15969</v>
      </c>
      <c r="T355" s="638">
        <v>15969</v>
      </c>
      <c r="U355" s="638">
        <v>4680</v>
      </c>
      <c r="V355" s="636">
        <v>2022</v>
      </c>
      <c r="W355" s="640"/>
      <c r="X355" s="641">
        <f t="shared" si="15"/>
        <v>3.412179487179487</v>
      </c>
      <c r="Y355" s="642" t="str">
        <f t="shared" si="16"/>
        <v/>
      </c>
      <c r="Z355" s="642" t="str">
        <f t="shared" si="17"/>
        <v/>
      </c>
    </row>
    <row r="356" spans="1:26" s="127" customFormat="1" ht="25">
      <c r="A356" s="636">
        <v>3728</v>
      </c>
      <c r="B356" s="637" t="s">
        <v>33</v>
      </c>
      <c r="C356" s="636" t="s">
        <v>2725</v>
      </c>
      <c r="D356" s="637" t="s">
        <v>703</v>
      </c>
      <c r="E356" s="637" t="s">
        <v>131</v>
      </c>
      <c r="F356" s="636">
        <v>7601</v>
      </c>
      <c r="G356" s="637" t="s">
        <v>89</v>
      </c>
      <c r="H356" s="637" t="s">
        <v>1163</v>
      </c>
      <c r="I356" s="637" t="s">
        <v>58</v>
      </c>
      <c r="J356" s="636">
        <v>22</v>
      </c>
      <c r="K356" s="636">
        <v>1</v>
      </c>
      <c r="L356" s="637" t="s">
        <v>34</v>
      </c>
      <c r="M356" s="637" t="s">
        <v>35</v>
      </c>
      <c r="N356" s="637" t="s">
        <v>36</v>
      </c>
      <c r="O356" s="637" t="s">
        <v>37</v>
      </c>
      <c r="P356" s="637" t="s">
        <v>1156</v>
      </c>
      <c r="Q356" s="638">
        <v>0</v>
      </c>
      <c r="R356" s="638">
        <v>0</v>
      </c>
      <c r="S356" s="638">
        <v>37763</v>
      </c>
      <c r="T356" s="638">
        <v>37763</v>
      </c>
      <c r="U356" s="638">
        <v>11068</v>
      </c>
      <c r="V356" s="636">
        <v>2022</v>
      </c>
      <c r="W356" s="640"/>
      <c r="X356" s="641">
        <f t="shared" si="15"/>
        <v>3.4119082038308637</v>
      </c>
      <c r="Y356" s="642" t="str">
        <f t="shared" si="16"/>
        <v/>
      </c>
      <c r="Z356" s="642" t="str">
        <f t="shared" si="17"/>
        <v/>
      </c>
    </row>
    <row r="357" spans="1:26" s="127" customFormat="1" ht="25">
      <c r="A357" s="636">
        <v>3731</v>
      </c>
      <c r="B357" s="637" t="s">
        <v>33</v>
      </c>
      <c r="C357" s="636" t="s">
        <v>2725</v>
      </c>
      <c r="D357" s="637" t="s">
        <v>704</v>
      </c>
      <c r="E357" s="637" t="s">
        <v>705</v>
      </c>
      <c r="F357" s="636">
        <v>49852</v>
      </c>
      <c r="G357" s="637" t="s">
        <v>89</v>
      </c>
      <c r="H357" s="637" t="s">
        <v>1163</v>
      </c>
      <c r="I357" s="637" t="s">
        <v>58</v>
      </c>
      <c r="J357" s="636">
        <v>22</v>
      </c>
      <c r="K357" s="636">
        <v>2</v>
      </c>
      <c r="L357" s="637" t="s">
        <v>52</v>
      </c>
      <c r="M357" s="637" t="s">
        <v>35</v>
      </c>
      <c r="N357" s="637" t="s">
        <v>36</v>
      </c>
      <c r="O357" s="637" t="s">
        <v>37</v>
      </c>
      <c r="P357" s="637" t="s">
        <v>1156</v>
      </c>
      <c r="Q357" s="638">
        <v>0</v>
      </c>
      <c r="R357" s="638">
        <v>0</v>
      </c>
      <c r="S357" s="638">
        <v>52183</v>
      </c>
      <c r="T357" s="638">
        <v>52183</v>
      </c>
      <c r="U357" s="638">
        <v>15294</v>
      </c>
      <c r="V357" s="636">
        <v>2022</v>
      </c>
      <c r="W357" s="640"/>
      <c r="X357" s="641">
        <f t="shared" si="15"/>
        <v>3.4119916307048515</v>
      </c>
      <c r="Y357" s="642" t="str">
        <f t="shared" si="16"/>
        <v/>
      </c>
      <c r="Z357" s="642" t="str">
        <f t="shared" si="17"/>
        <v/>
      </c>
    </row>
    <row r="358" spans="1:26" s="127" customFormat="1" ht="25">
      <c r="A358" s="636">
        <v>3734</v>
      </c>
      <c r="B358" s="637" t="s">
        <v>33</v>
      </c>
      <c r="C358" s="636" t="s">
        <v>2725</v>
      </c>
      <c r="D358" s="637" t="s">
        <v>549</v>
      </c>
      <c r="E358" s="637" t="s">
        <v>131</v>
      </c>
      <c r="F358" s="636">
        <v>7601</v>
      </c>
      <c r="G358" s="637" t="s">
        <v>89</v>
      </c>
      <c r="H358" s="637" t="s">
        <v>1163</v>
      </c>
      <c r="I358" s="637" t="s">
        <v>58</v>
      </c>
      <c r="J358" s="636">
        <v>22</v>
      </c>
      <c r="K358" s="636">
        <v>1</v>
      </c>
      <c r="L358" s="637" t="s">
        <v>34</v>
      </c>
      <c r="M358" s="637" t="s">
        <v>50</v>
      </c>
      <c r="N358" s="637" t="s">
        <v>46</v>
      </c>
      <c r="O358" s="637" t="s">
        <v>46</v>
      </c>
      <c r="P358" s="637" t="s">
        <v>47</v>
      </c>
      <c r="Q358" s="638">
        <v>0</v>
      </c>
      <c r="R358" s="638">
        <v>0</v>
      </c>
      <c r="S358" s="638">
        <v>0</v>
      </c>
      <c r="T358" s="638">
        <v>0</v>
      </c>
      <c r="U358" s="638">
        <v>0</v>
      </c>
      <c r="V358" s="636">
        <v>2022</v>
      </c>
      <c r="W358" s="640" t="s">
        <v>3934</v>
      </c>
      <c r="X358" s="641" t="str">
        <f t="shared" si="15"/>
        <v/>
      </c>
      <c r="Y358" s="642" t="str">
        <f t="shared" si="16"/>
        <v/>
      </c>
      <c r="Z358" s="642" t="str">
        <f t="shared" si="17"/>
        <v/>
      </c>
    </row>
    <row r="359" spans="1:26" s="127" customFormat="1" ht="25">
      <c r="A359" s="636">
        <v>3734</v>
      </c>
      <c r="B359" s="637" t="s">
        <v>33</v>
      </c>
      <c r="C359" s="636" t="s">
        <v>2725</v>
      </c>
      <c r="D359" s="637" t="s">
        <v>549</v>
      </c>
      <c r="E359" s="637" t="s">
        <v>131</v>
      </c>
      <c r="F359" s="636">
        <v>7601</v>
      </c>
      <c r="G359" s="637" t="s">
        <v>89</v>
      </c>
      <c r="H359" s="637" t="s">
        <v>1163</v>
      </c>
      <c r="I359" s="637" t="s">
        <v>58</v>
      </c>
      <c r="J359" s="636">
        <v>22</v>
      </c>
      <c r="K359" s="636">
        <v>1</v>
      </c>
      <c r="L359" s="637" t="s">
        <v>34</v>
      </c>
      <c r="M359" s="637" t="s">
        <v>50</v>
      </c>
      <c r="N359" s="637" t="s">
        <v>66</v>
      </c>
      <c r="O359" s="637" t="s">
        <v>67</v>
      </c>
      <c r="P359" s="637" t="s">
        <v>47</v>
      </c>
      <c r="Q359" s="638">
        <v>0</v>
      </c>
      <c r="R359" s="638">
        <v>0</v>
      </c>
      <c r="S359" s="638">
        <v>0</v>
      </c>
      <c r="T359" s="638">
        <v>0</v>
      </c>
      <c r="U359" s="638">
        <v>0</v>
      </c>
      <c r="V359" s="636">
        <v>2022</v>
      </c>
      <c r="W359" s="640" t="s">
        <v>3934</v>
      </c>
      <c r="X359" s="641" t="str">
        <f t="shared" si="15"/>
        <v/>
      </c>
      <c r="Y359" s="642" t="str">
        <f t="shared" si="16"/>
        <v/>
      </c>
      <c r="Z359" s="642" t="str">
        <f t="shared" si="17"/>
        <v/>
      </c>
    </row>
    <row r="360" spans="1:26" s="127" customFormat="1" ht="25">
      <c r="A360" s="636">
        <v>3734</v>
      </c>
      <c r="B360" s="637" t="s">
        <v>33</v>
      </c>
      <c r="C360" s="636" t="s">
        <v>2725</v>
      </c>
      <c r="D360" s="637" t="s">
        <v>549</v>
      </c>
      <c r="E360" s="637" t="s">
        <v>131</v>
      </c>
      <c r="F360" s="636">
        <v>7601</v>
      </c>
      <c r="G360" s="637" t="s">
        <v>89</v>
      </c>
      <c r="H360" s="637" t="s">
        <v>1163</v>
      </c>
      <c r="I360" s="637" t="s">
        <v>58</v>
      </c>
      <c r="J360" s="636">
        <v>22</v>
      </c>
      <c r="K360" s="636">
        <v>1</v>
      </c>
      <c r="L360" s="637" t="s">
        <v>34</v>
      </c>
      <c r="M360" s="637" t="s">
        <v>50</v>
      </c>
      <c r="N360" s="637" t="s">
        <v>76</v>
      </c>
      <c r="O360" s="637" t="s">
        <v>67</v>
      </c>
      <c r="P360" s="637" t="s">
        <v>47</v>
      </c>
      <c r="Q360" s="638">
        <v>6629</v>
      </c>
      <c r="R360" s="638">
        <v>6629</v>
      </c>
      <c r="S360" s="638">
        <v>38050</v>
      </c>
      <c r="T360" s="638">
        <v>38050</v>
      </c>
      <c r="U360" s="638">
        <v>2343</v>
      </c>
      <c r="V360" s="636">
        <v>2022</v>
      </c>
      <c r="W360" s="640" t="s">
        <v>3934</v>
      </c>
      <c r="X360" s="641">
        <f t="shared" si="15"/>
        <v>16.239863422962014</v>
      </c>
      <c r="Y360" s="642" t="str">
        <f t="shared" si="16"/>
        <v/>
      </c>
      <c r="Z360" s="642" t="str">
        <f t="shared" si="17"/>
        <v/>
      </c>
    </row>
    <row r="361" spans="1:26" s="127" customFormat="1" ht="25">
      <c r="A361" s="636">
        <v>3735</v>
      </c>
      <c r="B361" s="637" t="s">
        <v>33</v>
      </c>
      <c r="C361" s="636" t="s">
        <v>2725</v>
      </c>
      <c r="D361" s="637" t="s">
        <v>706</v>
      </c>
      <c r="E361" s="637" t="s">
        <v>131</v>
      </c>
      <c r="F361" s="636">
        <v>7601</v>
      </c>
      <c r="G361" s="637" t="s">
        <v>89</v>
      </c>
      <c r="H361" s="637" t="s">
        <v>1163</v>
      </c>
      <c r="I361" s="637" t="s">
        <v>58</v>
      </c>
      <c r="J361" s="636">
        <v>22</v>
      </c>
      <c r="K361" s="636">
        <v>1</v>
      </c>
      <c r="L361" s="637" t="s">
        <v>34</v>
      </c>
      <c r="M361" s="637" t="s">
        <v>50</v>
      </c>
      <c r="N361" s="637" t="s">
        <v>46</v>
      </c>
      <c r="O361" s="637" t="s">
        <v>46</v>
      </c>
      <c r="P361" s="637" t="s">
        <v>47</v>
      </c>
      <c r="Q361" s="638">
        <v>2422</v>
      </c>
      <c r="R361" s="638">
        <v>2422</v>
      </c>
      <c r="S361" s="638">
        <v>14095</v>
      </c>
      <c r="T361" s="638">
        <v>14095</v>
      </c>
      <c r="U361" s="638">
        <v>388</v>
      </c>
      <c r="V361" s="636">
        <v>2022</v>
      </c>
      <c r="W361" s="640"/>
      <c r="X361" s="641">
        <f t="shared" si="15"/>
        <v>36.327319587628864</v>
      </c>
      <c r="Y361" s="642" t="str">
        <f t="shared" si="16"/>
        <v/>
      </c>
      <c r="Z361" s="642" t="str">
        <f t="shared" si="17"/>
        <v/>
      </c>
    </row>
    <row r="362" spans="1:26" s="127" customFormat="1" ht="25">
      <c r="A362" s="636">
        <v>3737</v>
      </c>
      <c r="B362" s="637" t="s">
        <v>33</v>
      </c>
      <c r="C362" s="636" t="s">
        <v>2725</v>
      </c>
      <c r="D362" s="637" t="s">
        <v>132</v>
      </c>
      <c r="E362" s="637" t="s">
        <v>131</v>
      </c>
      <c r="F362" s="636">
        <v>7601</v>
      </c>
      <c r="G362" s="637" t="s">
        <v>89</v>
      </c>
      <c r="H362" s="637" t="s">
        <v>1163</v>
      </c>
      <c r="I362" s="637" t="s">
        <v>58</v>
      </c>
      <c r="J362" s="636">
        <v>22</v>
      </c>
      <c r="K362" s="636">
        <v>1</v>
      </c>
      <c r="L362" s="637" t="s">
        <v>34</v>
      </c>
      <c r="M362" s="637" t="s">
        <v>35</v>
      </c>
      <c r="N362" s="637" t="s">
        <v>36</v>
      </c>
      <c r="O362" s="637" t="s">
        <v>37</v>
      </c>
      <c r="P362" s="637" t="s">
        <v>1156</v>
      </c>
      <c r="Q362" s="638">
        <v>0</v>
      </c>
      <c r="R362" s="638">
        <v>0</v>
      </c>
      <c r="S362" s="638">
        <v>120995</v>
      </c>
      <c r="T362" s="638">
        <v>120995</v>
      </c>
      <c r="U362" s="638">
        <v>35462</v>
      </c>
      <c r="V362" s="636">
        <v>2022</v>
      </c>
      <c r="W362" s="640"/>
      <c r="X362" s="641">
        <f t="shared" si="15"/>
        <v>3.4119621002763521</v>
      </c>
      <c r="Y362" s="642" t="str">
        <f t="shared" si="16"/>
        <v/>
      </c>
      <c r="Z362" s="642" t="str">
        <f t="shared" si="17"/>
        <v/>
      </c>
    </row>
    <row r="363" spans="1:26" s="127" customFormat="1" ht="25">
      <c r="A363" s="636">
        <v>3737</v>
      </c>
      <c r="B363" s="637" t="s">
        <v>33</v>
      </c>
      <c r="C363" s="636" t="s">
        <v>2725</v>
      </c>
      <c r="D363" s="637" t="s">
        <v>132</v>
      </c>
      <c r="E363" s="637" t="s">
        <v>131</v>
      </c>
      <c r="F363" s="636">
        <v>7601</v>
      </c>
      <c r="G363" s="637" t="s">
        <v>89</v>
      </c>
      <c r="H363" s="637" t="s">
        <v>1163</v>
      </c>
      <c r="I363" s="637" t="s">
        <v>58</v>
      </c>
      <c r="J363" s="636">
        <v>22</v>
      </c>
      <c r="K363" s="636">
        <v>1</v>
      </c>
      <c r="L363" s="637" t="s">
        <v>34</v>
      </c>
      <c r="M363" s="637" t="s">
        <v>51</v>
      </c>
      <c r="N363" s="637" t="s">
        <v>46</v>
      </c>
      <c r="O363" s="637" t="s">
        <v>46</v>
      </c>
      <c r="P363" s="637" t="s">
        <v>47</v>
      </c>
      <c r="Q363" s="638">
        <v>688</v>
      </c>
      <c r="R363" s="638">
        <v>688</v>
      </c>
      <c r="S363" s="638">
        <v>3967</v>
      </c>
      <c r="T363" s="638">
        <v>3967</v>
      </c>
      <c r="U363" s="638">
        <v>205</v>
      </c>
      <c r="V363" s="636">
        <v>2022</v>
      </c>
      <c r="W363" s="640"/>
      <c r="X363" s="641">
        <f t="shared" si="15"/>
        <v>19.351219512195122</v>
      </c>
      <c r="Y363" s="642" t="str">
        <f t="shared" si="16"/>
        <v/>
      </c>
      <c r="Z363" s="642" t="str">
        <f t="shared" si="17"/>
        <v/>
      </c>
    </row>
    <row r="364" spans="1:26" s="127" customFormat="1" ht="25">
      <c r="A364" s="636">
        <v>3739</v>
      </c>
      <c r="B364" s="637" t="s">
        <v>33</v>
      </c>
      <c r="C364" s="636" t="s">
        <v>2725</v>
      </c>
      <c r="D364" s="637" t="s">
        <v>707</v>
      </c>
      <c r="E364" s="637" t="s">
        <v>131</v>
      </c>
      <c r="F364" s="636">
        <v>7601</v>
      </c>
      <c r="G364" s="637" t="s">
        <v>89</v>
      </c>
      <c r="H364" s="637" t="s">
        <v>1163</v>
      </c>
      <c r="I364" s="637" t="s">
        <v>58</v>
      </c>
      <c r="J364" s="636">
        <v>22</v>
      </c>
      <c r="K364" s="636">
        <v>1</v>
      </c>
      <c r="L364" s="637" t="s">
        <v>34</v>
      </c>
      <c r="M364" s="637" t="s">
        <v>35</v>
      </c>
      <c r="N364" s="637" t="s">
        <v>36</v>
      </c>
      <c r="O364" s="637" t="s">
        <v>37</v>
      </c>
      <c r="P364" s="637" t="s">
        <v>1156</v>
      </c>
      <c r="Q364" s="638">
        <v>0</v>
      </c>
      <c r="R364" s="638">
        <v>0</v>
      </c>
      <c r="S364" s="638">
        <v>19650</v>
      </c>
      <c r="T364" s="638">
        <v>19650</v>
      </c>
      <c r="U364" s="638">
        <v>5759</v>
      </c>
      <c r="V364" s="636">
        <v>2022</v>
      </c>
      <c r="W364" s="640"/>
      <c r="X364" s="641">
        <f t="shared" si="15"/>
        <v>3.4120507032470915</v>
      </c>
      <c r="Y364" s="642" t="str">
        <f t="shared" si="16"/>
        <v/>
      </c>
      <c r="Z364" s="642" t="str">
        <f t="shared" si="17"/>
        <v/>
      </c>
    </row>
    <row r="365" spans="1:26" s="127" customFormat="1" ht="25">
      <c r="A365" s="636">
        <v>3740</v>
      </c>
      <c r="B365" s="637" t="s">
        <v>33</v>
      </c>
      <c r="C365" s="636" t="s">
        <v>2725</v>
      </c>
      <c r="D365" s="637" t="s">
        <v>708</v>
      </c>
      <c r="E365" s="637" t="s">
        <v>131</v>
      </c>
      <c r="F365" s="636">
        <v>7601</v>
      </c>
      <c r="G365" s="637" t="s">
        <v>89</v>
      </c>
      <c r="H365" s="637" t="s">
        <v>1163</v>
      </c>
      <c r="I365" s="637" t="s">
        <v>58</v>
      </c>
      <c r="J365" s="636">
        <v>22</v>
      </c>
      <c r="K365" s="636">
        <v>1</v>
      </c>
      <c r="L365" s="637" t="s">
        <v>34</v>
      </c>
      <c r="M365" s="637" t="s">
        <v>35</v>
      </c>
      <c r="N365" s="637" t="s">
        <v>36</v>
      </c>
      <c r="O365" s="637" t="s">
        <v>37</v>
      </c>
      <c r="P365" s="637" t="s">
        <v>1156</v>
      </c>
      <c r="Q365" s="638">
        <v>0</v>
      </c>
      <c r="R365" s="638">
        <v>0</v>
      </c>
      <c r="S365" s="638">
        <v>13725</v>
      </c>
      <c r="T365" s="638">
        <v>13725</v>
      </c>
      <c r="U365" s="638">
        <v>4023</v>
      </c>
      <c r="V365" s="636">
        <v>2022</v>
      </c>
      <c r="W365" s="640"/>
      <c r="X365" s="641">
        <f t="shared" si="15"/>
        <v>3.4116331096196868</v>
      </c>
      <c r="Y365" s="642" t="str">
        <f t="shared" si="16"/>
        <v/>
      </c>
      <c r="Z365" s="642" t="str">
        <f t="shared" si="17"/>
        <v/>
      </c>
    </row>
    <row r="366" spans="1:26" s="127" customFormat="1" ht="25">
      <c r="A366" s="636">
        <v>3743</v>
      </c>
      <c r="B366" s="637" t="s">
        <v>33</v>
      </c>
      <c r="C366" s="636" t="s">
        <v>2725</v>
      </c>
      <c r="D366" s="637" t="s">
        <v>709</v>
      </c>
      <c r="E366" s="637" t="s">
        <v>131</v>
      </c>
      <c r="F366" s="636">
        <v>7601</v>
      </c>
      <c r="G366" s="637" t="s">
        <v>89</v>
      </c>
      <c r="H366" s="637" t="s">
        <v>1163</v>
      </c>
      <c r="I366" s="637" t="s">
        <v>58</v>
      </c>
      <c r="J366" s="636">
        <v>22</v>
      </c>
      <c r="K366" s="636">
        <v>1</v>
      </c>
      <c r="L366" s="637" t="s">
        <v>34</v>
      </c>
      <c r="M366" s="637" t="s">
        <v>35</v>
      </c>
      <c r="N366" s="637" t="s">
        <v>36</v>
      </c>
      <c r="O366" s="637" t="s">
        <v>37</v>
      </c>
      <c r="P366" s="637" t="s">
        <v>1156</v>
      </c>
      <c r="Q366" s="638">
        <v>0</v>
      </c>
      <c r="R366" s="638">
        <v>0</v>
      </c>
      <c r="S366" s="638">
        <v>8977</v>
      </c>
      <c r="T366" s="638">
        <v>8977</v>
      </c>
      <c r="U366" s="638">
        <v>2631</v>
      </c>
      <c r="V366" s="636">
        <v>2022</v>
      </c>
      <c r="W366" s="640"/>
      <c r="X366" s="641">
        <f t="shared" si="15"/>
        <v>3.4120106423413152</v>
      </c>
      <c r="Y366" s="642" t="str">
        <f t="shared" si="16"/>
        <v/>
      </c>
      <c r="Z366" s="642" t="str">
        <f t="shared" si="17"/>
        <v/>
      </c>
    </row>
    <row r="367" spans="1:26" s="127" customFormat="1" ht="25">
      <c r="A367" s="636">
        <v>3745</v>
      </c>
      <c r="B367" s="637" t="s">
        <v>33</v>
      </c>
      <c r="C367" s="636" t="s">
        <v>2725</v>
      </c>
      <c r="D367" s="637" t="s">
        <v>710</v>
      </c>
      <c r="E367" s="637" t="s">
        <v>2083</v>
      </c>
      <c r="F367" s="636">
        <v>61122</v>
      </c>
      <c r="G367" s="637" t="s">
        <v>89</v>
      </c>
      <c r="H367" s="637" t="s">
        <v>1163</v>
      </c>
      <c r="I367" s="637" t="s">
        <v>58</v>
      </c>
      <c r="J367" s="636">
        <v>22</v>
      </c>
      <c r="K367" s="636">
        <v>2</v>
      </c>
      <c r="L367" s="637" t="s">
        <v>52</v>
      </c>
      <c r="M367" s="637" t="s">
        <v>35</v>
      </c>
      <c r="N367" s="637" t="s">
        <v>36</v>
      </c>
      <c r="O367" s="637" t="s">
        <v>37</v>
      </c>
      <c r="P367" s="637" t="s">
        <v>1156</v>
      </c>
      <c r="Q367" s="638">
        <v>0</v>
      </c>
      <c r="R367" s="638">
        <v>0</v>
      </c>
      <c r="S367" s="638">
        <v>759205</v>
      </c>
      <c r="T367" s="638">
        <v>759205</v>
      </c>
      <c r="U367" s="638">
        <v>222511</v>
      </c>
      <c r="V367" s="636">
        <v>2022</v>
      </c>
      <c r="W367" s="640"/>
      <c r="X367" s="641">
        <f t="shared" si="15"/>
        <v>3.4119886207872869</v>
      </c>
      <c r="Y367" s="642" t="str">
        <f t="shared" si="16"/>
        <v/>
      </c>
      <c r="Z367" s="642" t="str">
        <f t="shared" si="17"/>
        <v/>
      </c>
    </row>
    <row r="368" spans="1:26" s="127" customFormat="1" ht="25">
      <c r="A368" s="636">
        <v>3746</v>
      </c>
      <c r="B368" s="637" t="s">
        <v>33</v>
      </c>
      <c r="C368" s="636" t="s">
        <v>2725</v>
      </c>
      <c r="D368" s="637" t="s">
        <v>711</v>
      </c>
      <c r="E368" s="637" t="s">
        <v>2083</v>
      </c>
      <c r="F368" s="636">
        <v>61122</v>
      </c>
      <c r="G368" s="637" t="s">
        <v>89</v>
      </c>
      <c r="H368" s="637" t="s">
        <v>1163</v>
      </c>
      <c r="I368" s="637" t="s">
        <v>58</v>
      </c>
      <c r="J368" s="636">
        <v>22</v>
      </c>
      <c r="K368" s="636">
        <v>2</v>
      </c>
      <c r="L368" s="637" t="s">
        <v>52</v>
      </c>
      <c r="M368" s="637" t="s">
        <v>35</v>
      </c>
      <c r="N368" s="637" t="s">
        <v>36</v>
      </c>
      <c r="O368" s="637" t="s">
        <v>37</v>
      </c>
      <c r="P368" s="637" t="s">
        <v>1156</v>
      </c>
      <c r="Q368" s="638">
        <v>0</v>
      </c>
      <c r="R368" s="638">
        <v>0</v>
      </c>
      <c r="S368" s="638">
        <v>275161</v>
      </c>
      <c r="T368" s="638">
        <v>275161</v>
      </c>
      <c r="U368" s="638">
        <v>80645</v>
      </c>
      <c r="V368" s="636">
        <v>2022</v>
      </c>
      <c r="W368" s="640"/>
      <c r="X368" s="641">
        <f t="shared" si="15"/>
        <v>3.412003224006448</v>
      </c>
      <c r="Y368" s="642" t="str">
        <f t="shared" si="16"/>
        <v/>
      </c>
      <c r="Z368" s="642" t="str">
        <f t="shared" si="17"/>
        <v/>
      </c>
    </row>
    <row r="369" spans="1:26" s="127" customFormat="1" ht="25">
      <c r="A369" s="636">
        <v>3750</v>
      </c>
      <c r="B369" s="637" t="s">
        <v>33</v>
      </c>
      <c r="C369" s="636" t="s">
        <v>2725</v>
      </c>
      <c r="D369" s="637" t="s">
        <v>712</v>
      </c>
      <c r="E369" s="637" t="s">
        <v>2264</v>
      </c>
      <c r="F369" s="636">
        <v>62775</v>
      </c>
      <c r="G369" s="637" t="s">
        <v>89</v>
      </c>
      <c r="H369" s="637" t="s">
        <v>1163</v>
      </c>
      <c r="I369" s="637" t="s">
        <v>58</v>
      </c>
      <c r="J369" s="636">
        <v>22</v>
      </c>
      <c r="K369" s="636">
        <v>2</v>
      </c>
      <c r="L369" s="637" t="s">
        <v>52</v>
      </c>
      <c r="M369" s="637" t="s">
        <v>35</v>
      </c>
      <c r="N369" s="637" t="s">
        <v>36</v>
      </c>
      <c r="O369" s="637" t="s">
        <v>37</v>
      </c>
      <c r="P369" s="637" t="s">
        <v>1156</v>
      </c>
      <c r="Q369" s="638">
        <v>0</v>
      </c>
      <c r="R369" s="638">
        <v>0</v>
      </c>
      <c r="S369" s="638">
        <v>19428</v>
      </c>
      <c r="T369" s="638">
        <v>19428</v>
      </c>
      <c r="U369" s="638">
        <v>5694</v>
      </c>
      <c r="V369" s="636">
        <v>2022</v>
      </c>
      <c r="W369" s="640"/>
      <c r="X369" s="641">
        <f t="shared" si="15"/>
        <v>3.4120126448893573</v>
      </c>
      <c r="Y369" s="642" t="str">
        <f t="shared" si="16"/>
        <v/>
      </c>
      <c r="Z369" s="642" t="str">
        <f t="shared" si="17"/>
        <v/>
      </c>
    </row>
    <row r="370" spans="1:26" s="127" customFormat="1" ht="25">
      <c r="A370" s="636">
        <v>3753</v>
      </c>
      <c r="B370" s="637" t="s">
        <v>33</v>
      </c>
      <c r="C370" s="636" t="s">
        <v>2725</v>
      </c>
      <c r="D370" s="637" t="s">
        <v>713</v>
      </c>
      <c r="E370" s="637" t="s">
        <v>714</v>
      </c>
      <c r="F370" s="636">
        <v>1299</v>
      </c>
      <c r="G370" s="637" t="s">
        <v>89</v>
      </c>
      <c r="H370" s="637" t="s">
        <v>1163</v>
      </c>
      <c r="I370" s="637" t="s">
        <v>58</v>
      </c>
      <c r="J370" s="636">
        <v>22</v>
      </c>
      <c r="K370" s="636">
        <v>1</v>
      </c>
      <c r="L370" s="637" t="s">
        <v>34</v>
      </c>
      <c r="M370" s="637" t="s">
        <v>35</v>
      </c>
      <c r="N370" s="637" t="s">
        <v>36</v>
      </c>
      <c r="O370" s="637" t="s">
        <v>37</v>
      </c>
      <c r="P370" s="637" t="s">
        <v>1156</v>
      </c>
      <c r="Q370" s="638">
        <v>0</v>
      </c>
      <c r="R370" s="638">
        <v>0</v>
      </c>
      <c r="S370" s="638">
        <v>18206</v>
      </c>
      <c r="T370" s="638">
        <v>18206</v>
      </c>
      <c r="U370" s="638">
        <v>5336</v>
      </c>
      <c r="V370" s="636">
        <v>2022</v>
      </c>
      <c r="W370" s="640"/>
      <c r="X370" s="641">
        <f t="shared" si="15"/>
        <v>3.4119190404797601</v>
      </c>
      <c r="Y370" s="642" t="str">
        <f t="shared" si="16"/>
        <v/>
      </c>
      <c r="Z370" s="642" t="str">
        <f t="shared" si="17"/>
        <v/>
      </c>
    </row>
    <row r="371" spans="1:26" s="127" customFormat="1" ht="25">
      <c r="A371" s="636">
        <v>3753</v>
      </c>
      <c r="B371" s="637" t="s">
        <v>33</v>
      </c>
      <c r="C371" s="636" t="s">
        <v>2725</v>
      </c>
      <c r="D371" s="637" t="s">
        <v>713</v>
      </c>
      <c r="E371" s="637" t="s">
        <v>714</v>
      </c>
      <c r="F371" s="636">
        <v>1299</v>
      </c>
      <c r="G371" s="637" t="s">
        <v>89</v>
      </c>
      <c r="H371" s="637" t="s">
        <v>1163</v>
      </c>
      <c r="I371" s="637" t="s">
        <v>58</v>
      </c>
      <c r="J371" s="636">
        <v>22</v>
      </c>
      <c r="K371" s="636">
        <v>1</v>
      </c>
      <c r="L371" s="637" t="s">
        <v>34</v>
      </c>
      <c r="M371" s="637" t="s">
        <v>42</v>
      </c>
      <c r="N371" s="637" t="s">
        <v>46</v>
      </c>
      <c r="O371" s="637" t="s">
        <v>46</v>
      </c>
      <c r="P371" s="637" t="s">
        <v>47</v>
      </c>
      <c r="Q371" s="638">
        <v>0</v>
      </c>
      <c r="R371" s="638">
        <v>0</v>
      </c>
      <c r="S371" s="638">
        <v>0</v>
      </c>
      <c r="T371" s="638">
        <v>0</v>
      </c>
      <c r="U371" s="638">
        <v>0</v>
      </c>
      <c r="V371" s="636">
        <v>2022</v>
      </c>
      <c r="W371" s="640"/>
      <c r="X371" s="641" t="str">
        <f t="shared" si="15"/>
        <v/>
      </c>
      <c r="Y371" s="642" t="str">
        <f t="shared" si="16"/>
        <v/>
      </c>
      <c r="Z371" s="642" t="str">
        <f t="shared" si="17"/>
        <v/>
      </c>
    </row>
    <row r="372" spans="1:26" s="127" customFormat="1" ht="25">
      <c r="A372" s="636">
        <v>3754</v>
      </c>
      <c r="B372" s="637" t="s">
        <v>33</v>
      </c>
      <c r="C372" s="636" t="s">
        <v>2725</v>
      </c>
      <c r="D372" s="637" t="s">
        <v>715</v>
      </c>
      <c r="E372" s="637" t="s">
        <v>1080</v>
      </c>
      <c r="F372" s="636">
        <v>2548</v>
      </c>
      <c r="G372" s="637" t="s">
        <v>89</v>
      </c>
      <c r="H372" s="637" t="s">
        <v>1163</v>
      </c>
      <c r="I372" s="637" t="s">
        <v>58</v>
      </c>
      <c r="J372" s="636">
        <v>22</v>
      </c>
      <c r="K372" s="636">
        <v>1</v>
      </c>
      <c r="L372" s="637" t="s">
        <v>34</v>
      </c>
      <c r="M372" s="637" t="s">
        <v>50</v>
      </c>
      <c r="N372" s="637" t="s">
        <v>46</v>
      </c>
      <c r="O372" s="637" t="s">
        <v>46</v>
      </c>
      <c r="P372" s="637" t="s">
        <v>47</v>
      </c>
      <c r="Q372" s="638">
        <v>1195</v>
      </c>
      <c r="R372" s="638">
        <v>1195</v>
      </c>
      <c r="S372" s="638">
        <v>6574</v>
      </c>
      <c r="T372" s="638">
        <v>6574</v>
      </c>
      <c r="U372" s="638">
        <v>357</v>
      </c>
      <c r="V372" s="636">
        <v>2022</v>
      </c>
      <c r="W372" s="640" t="s">
        <v>3934</v>
      </c>
      <c r="X372" s="641">
        <f t="shared" si="15"/>
        <v>18.414565826330531</v>
      </c>
      <c r="Y372" s="642" t="str">
        <f t="shared" si="16"/>
        <v/>
      </c>
      <c r="Z372" s="642" t="str">
        <f t="shared" si="17"/>
        <v/>
      </c>
    </row>
    <row r="373" spans="1:26" s="127" customFormat="1" ht="25">
      <c r="A373" s="636">
        <v>3754</v>
      </c>
      <c r="B373" s="637" t="s">
        <v>33</v>
      </c>
      <c r="C373" s="636" t="s">
        <v>2725</v>
      </c>
      <c r="D373" s="637" t="s">
        <v>715</v>
      </c>
      <c r="E373" s="637" t="s">
        <v>1080</v>
      </c>
      <c r="F373" s="636">
        <v>2548</v>
      </c>
      <c r="G373" s="637" t="s">
        <v>89</v>
      </c>
      <c r="H373" s="637" t="s">
        <v>1163</v>
      </c>
      <c r="I373" s="637" t="s">
        <v>58</v>
      </c>
      <c r="J373" s="636">
        <v>22</v>
      </c>
      <c r="K373" s="636">
        <v>1</v>
      </c>
      <c r="L373" s="637" t="s">
        <v>34</v>
      </c>
      <c r="M373" s="637" t="s">
        <v>50</v>
      </c>
      <c r="N373" s="637" t="s">
        <v>61</v>
      </c>
      <c r="O373" s="637" t="s">
        <v>61</v>
      </c>
      <c r="P373" s="637" t="s">
        <v>47</v>
      </c>
      <c r="Q373" s="638">
        <v>0</v>
      </c>
      <c r="R373" s="638">
        <v>0</v>
      </c>
      <c r="S373" s="638">
        <v>0</v>
      </c>
      <c r="T373" s="638">
        <v>0</v>
      </c>
      <c r="U373" s="638">
        <v>0</v>
      </c>
      <c r="V373" s="636">
        <v>2022</v>
      </c>
      <c r="W373" s="640" t="s">
        <v>3934</v>
      </c>
      <c r="X373" s="641" t="str">
        <f t="shared" si="15"/>
        <v/>
      </c>
      <c r="Y373" s="642" t="str">
        <f t="shared" si="16"/>
        <v/>
      </c>
      <c r="Z373" s="642" t="str">
        <f t="shared" si="17"/>
        <v/>
      </c>
    </row>
    <row r="374" spans="1:26" s="127" customFormat="1" ht="25">
      <c r="A374" s="636">
        <v>3762</v>
      </c>
      <c r="B374" s="637" t="s">
        <v>33</v>
      </c>
      <c r="C374" s="636" t="s">
        <v>2725</v>
      </c>
      <c r="D374" s="637" t="s">
        <v>1565</v>
      </c>
      <c r="E374" s="637" t="s">
        <v>1027</v>
      </c>
      <c r="F374" s="636">
        <v>11359</v>
      </c>
      <c r="G374" s="637" t="s">
        <v>89</v>
      </c>
      <c r="H374" s="637" t="s">
        <v>1163</v>
      </c>
      <c r="I374" s="637" t="s">
        <v>58</v>
      </c>
      <c r="J374" s="636">
        <v>22</v>
      </c>
      <c r="K374" s="636">
        <v>1</v>
      </c>
      <c r="L374" s="637" t="s">
        <v>34</v>
      </c>
      <c r="M374" s="637" t="s">
        <v>35</v>
      </c>
      <c r="N374" s="637" t="s">
        <v>36</v>
      </c>
      <c r="O374" s="637" t="s">
        <v>37</v>
      </c>
      <c r="P374" s="637" t="s">
        <v>1156</v>
      </c>
      <c r="Q374" s="638">
        <v>0</v>
      </c>
      <c r="R374" s="638">
        <v>0</v>
      </c>
      <c r="S374" s="638">
        <v>5947</v>
      </c>
      <c r="T374" s="638">
        <v>5947</v>
      </c>
      <c r="U374" s="638">
        <v>1743</v>
      </c>
      <c r="V374" s="636">
        <v>2022</v>
      </c>
      <c r="W374" s="640"/>
      <c r="X374" s="641">
        <f t="shared" si="15"/>
        <v>3.4119334480780266</v>
      </c>
      <c r="Y374" s="642" t="str">
        <f t="shared" si="16"/>
        <v/>
      </c>
      <c r="Z374" s="642" t="str">
        <f t="shared" si="17"/>
        <v/>
      </c>
    </row>
    <row r="375" spans="1:26" s="127" customFormat="1" ht="25">
      <c r="A375" s="636">
        <v>3764</v>
      </c>
      <c r="B375" s="637" t="s">
        <v>33</v>
      </c>
      <c r="C375" s="636" t="s">
        <v>2725</v>
      </c>
      <c r="D375" s="637" t="s">
        <v>716</v>
      </c>
      <c r="E375" s="637" t="s">
        <v>1540</v>
      </c>
      <c r="F375" s="636">
        <v>12989</v>
      </c>
      <c r="G375" s="637" t="s">
        <v>89</v>
      </c>
      <c r="H375" s="637" t="s">
        <v>1163</v>
      </c>
      <c r="I375" s="637" t="s">
        <v>58</v>
      </c>
      <c r="J375" s="636">
        <v>22</v>
      </c>
      <c r="K375" s="636">
        <v>1</v>
      </c>
      <c r="L375" s="637" t="s">
        <v>34</v>
      </c>
      <c r="M375" s="637" t="s">
        <v>35</v>
      </c>
      <c r="N375" s="637" t="s">
        <v>36</v>
      </c>
      <c r="O375" s="637" t="s">
        <v>37</v>
      </c>
      <c r="P375" s="637" t="s">
        <v>1156</v>
      </c>
      <c r="Q375" s="638">
        <v>0</v>
      </c>
      <c r="R375" s="638">
        <v>0</v>
      </c>
      <c r="S375" s="638">
        <v>6933</v>
      </c>
      <c r="T375" s="638">
        <v>6933</v>
      </c>
      <c r="U375" s="638">
        <v>2032</v>
      </c>
      <c r="V375" s="636">
        <v>2022</v>
      </c>
      <c r="W375" s="640"/>
      <c r="X375" s="641">
        <f t="shared" si="15"/>
        <v>3.4119094488188977</v>
      </c>
      <c r="Y375" s="642" t="str">
        <f t="shared" si="16"/>
        <v/>
      </c>
      <c r="Z375" s="642" t="str">
        <f t="shared" si="17"/>
        <v/>
      </c>
    </row>
    <row r="376" spans="1:26" s="127" customFormat="1" ht="25">
      <c r="A376" s="636">
        <v>3765</v>
      </c>
      <c r="B376" s="637" t="s">
        <v>33</v>
      </c>
      <c r="C376" s="636" t="s">
        <v>2725</v>
      </c>
      <c r="D376" s="637" t="s">
        <v>717</v>
      </c>
      <c r="E376" s="637" t="s">
        <v>1540</v>
      </c>
      <c r="F376" s="636">
        <v>12989</v>
      </c>
      <c r="G376" s="637" t="s">
        <v>89</v>
      </c>
      <c r="H376" s="637" t="s">
        <v>1163</v>
      </c>
      <c r="I376" s="637" t="s">
        <v>58</v>
      </c>
      <c r="J376" s="636">
        <v>22</v>
      </c>
      <c r="K376" s="636">
        <v>1</v>
      </c>
      <c r="L376" s="637" t="s">
        <v>34</v>
      </c>
      <c r="M376" s="637" t="s">
        <v>35</v>
      </c>
      <c r="N376" s="637" t="s">
        <v>36</v>
      </c>
      <c r="O376" s="637" t="s">
        <v>37</v>
      </c>
      <c r="P376" s="637" t="s">
        <v>1156</v>
      </c>
      <c r="Q376" s="638">
        <v>0</v>
      </c>
      <c r="R376" s="638">
        <v>0</v>
      </c>
      <c r="S376" s="638">
        <v>1456</v>
      </c>
      <c r="T376" s="638">
        <v>1456</v>
      </c>
      <c r="U376" s="638">
        <v>427</v>
      </c>
      <c r="V376" s="636">
        <v>2022</v>
      </c>
      <c r="W376" s="640"/>
      <c r="X376" s="641">
        <f t="shared" si="15"/>
        <v>3.4098360655737703</v>
      </c>
      <c r="Y376" s="642" t="str">
        <f t="shared" si="16"/>
        <v/>
      </c>
      <c r="Z376" s="642" t="str">
        <f t="shared" si="17"/>
        <v/>
      </c>
    </row>
    <row r="377" spans="1:26" s="127" customFormat="1" ht="25">
      <c r="A377" s="636">
        <v>6012</v>
      </c>
      <c r="B377" s="637" t="s">
        <v>33</v>
      </c>
      <c r="C377" s="636" t="s">
        <v>2725</v>
      </c>
      <c r="D377" s="637" t="s">
        <v>718</v>
      </c>
      <c r="E377" s="637" t="s">
        <v>2083</v>
      </c>
      <c r="F377" s="636">
        <v>61122</v>
      </c>
      <c r="G377" s="637" t="s">
        <v>81</v>
      </c>
      <c r="H377" s="637" t="s">
        <v>1163</v>
      </c>
      <c r="I377" s="637" t="s">
        <v>58</v>
      </c>
      <c r="J377" s="636">
        <v>22</v>
      </c>
      <c r="K377" s="636">
        <v>2</v>
      </c>
      <c r="L377" s="637" t="s">
        <v>52</v>
      </c>
      <c r="M377" s="637" t="s">
        <v>35</v>
      </c>
      <c r="N377" s="637" t="s">
        <v>36</v>
      </c>
      <c r="O377" s="637" t="s">
        <v>37</v>
      </c>
      <c r="P377" s="637" t="s">
        <v>1156</v>
      </c>
      <c r="Q377" s="638">
        <v>0</v>
      </c>
      <c r="R377" s="638">
        <v>0</v>
      </c>
      <c r="S377" s="638">
        <v>84412</v>
      </c>
      <c r="T377" s="638">
        <v>84412</v>
      </c>
      <c r="U377" s="638">
        <v>24740</v>
      </c>
      <c r="V377" s="636">
        <v>2022</v>
      </c>
      <c r="W377" s="640"/>
      <c r="X377" s="641">
        <f t="shared" si="15"/>
        <v>3.4119644300727567</v>
      </c>
      <c r="Y377" s="642" t="str">
        <f t="shared" si="16"/>
        <v/>
      </c>
      <c r="Z377" s="642" t="str">
        <f t="shared" si="17"/>
        <v/>
      </c>
    </row>
    <row r="378" spans="1:26" s="127" customFormat="1" ht="25">
      <c r="A378" s="636">
        <v>6047</v>
      </c>
      <c r="B378" s="637" t="s">
        <v>33</v>
      </c>
      <c r="C378" s="636" t="s">
        <v>2725</v>
      </c>
      <c r="D378" s="637" t="s">
        <v>719</v>
      </c>
      <c r="E378" s="637" t="s">
        <v>2083</v>
      </c>
      <c r="F378" s="636">
        <v>61122</v>
      </c>
      <c r="G378" s="637" t="s">
        <v>81</v>
      </c>
      <c r="H378" s="637" t="s">
        <v>1163</v>
      </c>
      <c r="I378" s="637" t="s">
        <v>58</v>
      </c>
      <c r="J378" s="636">
        <v>22</v>
      </c>
      <c r="K378" s="636">
        <v>2</v>
      </c>
      <c r="L378" s="637" t="s">
        <v>52</v>
      </c>
      <c r="M378" s="637" t="s">
        <v>35</v>
      </c>
      <c r="N378" s="637" t="s">
        <v>36</v>
      </c>
      <c r="O378" s="637" t="s">
        <v>37</v>
      </c>
      <c r="P378" s="637" t="s">
        <v>1156</v>
      </c>
      <c r="Q378" s="638">
        <v>0</v>
      </c>
      <c r="R378" s="638">
        <v>0</v>
      </c>
      <c r="S378" s="638">
        <v>95224</v>
      </c>
      <c r="T378" s="638">
        <v>95224</v>
      </c>
      <c r="U378" s="638">
        <v>27908</v>
      </c>
      <c r="V378" s="636">
        <v>2022</v>
      </c>
      <c r="W378" s="640"/>
      <c r="X378" s="641">
        <f t="shared" si="15"/>
        <v>3.4120682241651141</v>
      </c>
      <c r="Y378" s="642" t="str">
        <f t="shared" si="16"/>
        <v/>
      </c>
      <c r="Z378" s="642" t="str">
        <f t="shared" si="17"/>
        <v/>
      </c>
    </row>
    <row r="379" spans="1:26" s="127" customFormat="1" ht="25">
      <c r="A379" s="636">
        <v>6049</v>
      </c>
      <c r="B379" s="637" t="s">
        <v>33</v>
      </c>
      <c r="C379" s="636" t="s">
        <v>2725</v>
      </c>
      <c r="D379" s="637" t="s">
        <v>720</v>
      </c>
      <c r="E379" s="637" t="s">
        <v>3274</v>
      </c>
      <c r="F379" s="636">
        <v>64488</v>
      </c>
      <c r="G379" s="637" t="s">
        <v>81</v>
      </c>
      <c r="H379" s="637" t="s">
        <v>1163</v>
      </c>
      <c r="I379" s="637" t="s">
        <v>58</v>
      </c>
      <c r="J379" s="636">
        <v>22</v>
      </c>
      <c r="K379" s="636">
        <v>2</v>
      </c>
      <c r="L379" s="637" t="s">
        <v>52</v>
      </c>
      <c r="M379" s="637" t="s">
        <v>51</v>
      </c>
      <c r="N379" s="637" t="s">
        <v>46</v>
      </c>
      <c r="O379" s="637" t="s">
        <v>46</v>
      </c>
      <c r="P379" s="637" t="s">
        <v>47</v>
      </c>
      <c r="Q379" s="638">
        <v>2843</v>
      </c>
      <c r="R379" s="638">
        <v>2843</v>
      </c>
      <c r="S379" s="638">
        <v>15849</v>
      </c>
      <c r="T379" s="638">
        <v>15849</v>
      </c>
      <c r="U379" s="638">
        <v>1632</v>
      </c>
      <c r="V379" s="636">
        <v>2022</v>
      </c>
      <c r="W379" s="640"/>
      <c r="X379" s="641">
        <f t="shared" si="15"/>
        <v>9.711397058823529</v>
      </c>
      <c r="Y379" s="642" t="str">
        <f t="shared" si="16"/>
        <v/>
      </c>
      <c r="Z379" s="642" t="str">
        <f t="shared" si="17"/>
        <v/>
      </c>
    </row>
    <row r="380" spans="1:26" s="127" customFormat="1" ht="25">
      <c r="A380" s="636">
        <v>6081</v>
      </c>
      <c r="B380" s="637" t="s">
        <v>33</v>
      </c>
      <c r="C380" s="636" t="s">
        <v>2725</v>
      </c>
      <c r="D380" s="637" t="s">
        <v>365</v>
      </c>
      <c r="E380" s="637" t="s">
        <v>366</v>
      </c>
      <c r="F380" s="636">
        <v>11806</v>
      </c>
      <c r="G380" s="637" t="s">
        <v>81</v>
      </c>
      <c r="H380" s="637" t="s">
        <v>1163</v>
      </c>
      <c r="I380" s="637" t="s">
        <v>58</v>
      </c>
      <c r="J380" s="636">
        <v>22</v>
      </c>
      <c r="K380" s="636">
        <v>1</v>
      </c>
      <c r="L380" s="637" t="s">
        <v>34</v>
      </c>
      <c r="M380" s="637" t="s">
        <v>38</v>
      </c>
      <c r="N380" s="637" t="s">
        <v>46</v>
      </c>
      <c r="O380" s="637" t="s">
        <v>46</v>
      </c>
      <c r="P380" s="637" t="s">
        <v>47</v>
      </c>
      <c r="Q380" s="638">
        <v>0</v>
      </c>
      <c r="R380" s="638">
        <v>0</v>
      </c>
      <c r="S380" s="638">
        <v>0</v>
      </c>
      <c r="T380" s="638">
        <v>0</v>
      </c>
      <c r="U380" s="638">
        <v>10803.313</v>
      </c>
      <c r="V380" s="636">
        <v>2022</v>
      </c>
      <c r="W380" s="640" t="s">
        <v>3934</v>
      </c>
      <c r="X380" s="641" t="str">
        <f t="shared" si="15"/>
        <v/>
      </c>
      <c r="Y380" s="642" t="str">
        <f t="shared" si="16"/>
        <v/>
      </c>
      <c r="Z380" s="642" t="str">
        <f t="shared" si="17"/>
        <v/>
      </c>
    </row>
    <row r="381" spans="1:26" s="127" customFormat="1" ht="25">
      <c r="A381" s="636">
        <v>6081</v>
      </c>
      <c r="B381" s="637" t="s">
        <v>33</v>
      </c>
      <c r="C381" s="636" t="s">
        <v>2725</v>
      </c>
      <c r="D381" s="637" t="s">
        <v>365</v>
      </c>
      <c r="E381" s="637" t="s">
        <v>366</v>
      </c>
      <c r="F381" s="636">
        <v>11806</v>
      </c>
      <c r="G381" s="637" t="s">
        <v>81</v>
      </c>
      <c r="H381" s="637" t="s">
        <v>1163</v>
      </c>
      <c r="I381" s="637" t="s">
        <v>58</v>
      </c>
      <c r="J381" s="636">
        <v>22</v>
      </c>
      <c r="K381" s="636">
        <v>1</v>
      </c>
      <c r="L381" s="637" t="s">
        <v>34</v>
      </c>
      <c r="M381" s="637" t="s">
        <v>38</v>
      </c>
      <c r="N381" s="637" t="s">
        <v>39</v>
      </c>
      <c r="O381" s="637" t="s">
        <v>39</v>
      </c>
      <c r="P381" s="637" t="s">
        <v>1020</v>
      </c>
      <c r="Q381" s="638">
        <v>0</v>
      </c>
      <c r="R381" s="638">
        <v>0</v>
      </c>
      <c r="S381" s="638">
        <v>0</v>
      </c>
      <c r="T381" s="638">
        <v>0</v>
      </c>
      <c r="U381" s="638">
        <v>18754.687000000002</v>
      </c>
      <c r="V381" s="636">
        <v>2022</v>
      </c>
      <c r="W381" s="640" t="s">
        <v>3934</v>
      </c>
      <c r="X381" s="641" t="str">
        <f t="shared" si="15"/>
        <v/>
      </c>
      <c r="Y381" s="642" t="str">
        <f t="shared" si="16"/>
        <v/>
      </c>
      <c r="Z381" s="642" t="str">
        <f t="shared" si="17"/>
        <v/>
      </c>
    </row>
    <row r="382" spans="1:26" s="127" customFormat="1" ht="25">
      <c r="A382" s="636">
        <v>6081</v>
      </c>
      <c r="B382" s="637" t="s">
        <v>33</v>
      </c>
      <c r="C382" s="636" t="s">
        <v>2725</v>
      </c>
      <c r="D382" s="637" t="s">
        <v>365</v>
      </c>
      <c r="E382" s="637" t="s">
        <v>366</v>
      </c>
      <c r="F382" s="636">
        <v>11806</v>
      </c>
      <c r="G382" s="637" t="s">
        <v>81</v>
      </c>
      <c r="H382" s="637" t="s">
        <v>1163</v>
      </c>
      <c r="I382" s="637" t="s">
        <v>58</v>
      </c>
      <c r="J382" s="636">
        <v>22</v>
      </c>
      <c r="K382" s="636">
        <v>1</v>
      </c>
      <c r="L382" s="637" t="s">
        <v>34</v>
      </c>
      <c r="M382" s="637" t="s">
        <v>41</v>
      </c>
      <c r="N382" s="637" t="s">
        <v>46</v>
      </c>
      <c r="O382" s="637" t="s">
        <v>46</v>
      </c>
      <c r="P382" s="637" t="s">
        <v>47</v>
      </c>
      <c r="Q382" s="638">
        <v>60080</v>
      </c>
      <c r="R382" s="638">
        <v>60080</v>
      </c>
      <c r="S382" s="638">
        <v>346663</v>
      </c>
      <c r="T382" s="638">
        <v>346663</v>
      </c>
      <c r="U382" s="638">
        <v>28847.884999999998</v>
      </c>
      <c r="V382" s="636">
        <v>2022</v>
      </c>
      <c r="W382" s="640" t="s">
        <v>3934</v>
      </c>
      <c r="X382" s="641">
        <f t="shared" si="15"/>
        <v>12.016929490671501</v>
      </c>
      <c r="Y382" s="642" t="str">
        <f t="shared" si="16"/>
        <v/>
      </c>
      <c r="Z382" s="642" t="str">
        <f t="shared" si="17"/>
        <v/>
      </c>
    </row>
    <row r="383" spans="1:26" s="127" customFormat="1" ht="25">
      <c r="A383" s="636">
        <v>6081</v>
      </c>
      <c r="B383" s="637" t="s">
        <v>33</v>
      </c>
      <c r="C383" s="636" t="s">
        <v>2725</v>
      </c>
      <c r="D383" s="637" t="s">
        <v>365</v>
      </c>
      <c r="E383" s="637" t="s">
        <v>366</v>
      </c>
      <c r="F383" s="636">
        <v>11806</v>
      </c>
      <c r="G383" s="637" t="s">
        <v>81</v>
      </c>
      <c r="H383" s="637" t="s">
        <v>1163</v>
      </c>
      <c r="I383" s="637" t="s">
        <v>58</v>
      </c>
      <c r="J383" s="636">
        <v>22</v>
      </c>
      <c r="K383" s="636">
        <v>1</v>
      </c>
      <c r="L383" s="637" t="s">
        <v>34</v>
      </c>
      <c r="M383" s="637" t="s">
        <v>41</v>
      </c>
      <c r="N383" s="637" t="s">
        <v>39</v>
      </c>
      <c r="O383" s="637" t="s">
        <v>39</v>
      </c>
      <c r="P383" s="637" t="s">
        <v>1020</v>
      </c>
      <c r="Q383" s="638">
        <v>580911</v>
      </c>
      <c r="R383" s="638">
        <v>580911</v>
      </c>
      <c r="S383" s="638">
        <v>592530</v>
      </c>
      <c r="T383" s="638">
        <v>592530</v>
      </c>
      <c r="U383" s="638">
        <v>45650.114999999998</v>
      </c>
      <c r="V383" s="636">
        <v>2022</v>
      </c>
      <c r="W383" s="640" t="s">
        <v>3934</v>
      </c>
      <c r="X383" s="641">
        <f t="shared" si="15"/>
        <v>12.979813961038214</v>
      </c>
      <c r="Y383" s="642" t="str">
        <f t="shared" si="16"/>
        <v/>
      </c>
      <c r="Z383" s="642" t="str">
        <f t="shared" si="17"/>
        <v/>
      </c>
    </row>
    <row r="384" spans="1:26" s="127" customFormat="1" ht="25">
      <c r="A384" s="636">
        <v>6081</v>
      </c>
      <c r="B384" s="637" t="s">
        <v>33</v>
      </c>
      <c r="C384" s="636" t="s">
        <v>2725</v>
      </c>
      <c r="D384" s="637" t="s">
        <v>365</v>
      </c>
      <c r="E384" s="637" t="s">
        <v>366</v>
      </c>
      <c r="F384" s="636">
        <v>11806</v>
      </c>
      <c r="G384" s="637" t="s">
        <v>81</v>
      </c>
      <c r="H384" s="637" t="s">
        <v>1163</v>
      </c>
      <c r="I384" s="637" t="s">
        <v>58</v>
      </c>
      <c r="J384" s="636">
        <v>22</v>
      </c>
      <c r="K384" s="636">
        <v>1</v>
      </c>
      <c r="L384" s="637" t="s">
        <v>34</v>
      </c>
      <c r="M384" s="637" t="s">
        <v>50</v>
      </c>
      <c r="N384" s="637" t="s">
        <v>46</v>
      </c>
      <c r="O384" s="637" t="s">
        <v>46</v>
      </c>
      <c r="P384" s="637" t="s">
        <v>47</v>
      </c>
      <c r="Q384" s="638">
        <v>13154</v>
      </c>
      <c r="R384" s="638">
        <v>13154</v>
      </c>
      <c r="S384" s="638">
        <v>75898</v>
      </c>
      <c r="T384" s="638">
        <v>75898</v>
      </c>
      <c r="U384" s="638">
        <v>6046</v>
      </c>
      <c r="V384" s="636">
        <v>2022</v>
      </c>
      <c r="W384" s="640" t="s">
        <v>3934</v>
      </c>
      <c r="X384" s="641">
        <f t="shared" si="15"/>
        <v>12.553423751240489</v>
      </c>
      <c r="Y384" s="642" t="str">
        <f t="shared" si="16"/>
        <v/>
      </c>
      <c r="Z384" s="642" t="str">
        <f t="shared" si="17"/>
        <v/>
      </c>
    </row>
    <row r="385" spans="1:26" s="127" customFormat="1" ht="14.15" customHeight="1">
      <c r="A385" s="636">
        <v>6081</v>
      </c>
      <c r="B385" s="637" t="s">
        <v>33</v>
      </c>
      <c r="C385" s="636" t="s">
        <v>2725</v>
      </c>
      <c r="D385" s="637" t="s">
        <v>365</v>
      </c>
      <c r="E385" s="637" t="s">
        <v>366</v>
      </c>
      <c r="F385" s="636">
        <v>11806</v>
      </c>
      <c r="G385" s="637" t="s">
        <v>81</v>
      </c>
      <c r="H385" s="637" t="s">
        <v>1163</v>
      </c>
      <c r="I385" s="637" t="s">
        <v>58</v>
      </c>
      <c r="J385" s="636">
        <v>22</v>
      </c>
      <c r="K385" s="636">
        <v>1</v>
      </c>
      <c r="L385" s="637" t="s">
        <v>34</v>
      </c>
      <c r="M385" s="637" t="s">
        <v>51</v>
      </c>
      <c r="N385" s="637" t="s">
        <v>46</v>
      </c>
      <c r="O385" s="637" t="s">
        <v>46</v>
      </c>
      <c r="P385" s="637" t="s">
        <v>47</v>
      </c>
      <c r="Q385" s="638">
        <v>0</v>
      </c>
      <c r="R385" s="638">
        <v>0</v>
      </c>
      <c r="S385" s="638">
        <v>0</v>
      </c>
      <c r="T385" s="638">
        <v>0</v>
      </c>
      <c r="U385" s="638">
        <v>0</v>
      </c>
      <c r="V385" s="636">
        <v>2022</v>
      </c>
      <c r="W385" s="640"/>
      <c r="X385" s="641" t="str">
        <f t="shared" si="15"/>
        <v/>
      </c>
      <c r="Y385" s="642" t="str">
        <f t="shared" si="16"/>
        <v/>
      </c>
      <c r="Z385" s="642" t="str">
        <f t="shared" si="17"/>
        <v/>
      </c>
    </row>
    <row r="386" spans="1:26" s="127" customFormat="1" ht="25">
      <c r="A386" s="636">
        <v>6081</v>
      </c>
      <c r="B386" s="637" t="s">
        <v>33</v>
      </c>
      <c r="C386" s="636" t="s">
        <v>2725</v>
      </c>
      <c r="D386" s="637" t="s">
        <v>365</v>
      </c>
      <c r="E386" s="637" t="s">
        <v>366</v>
      </c>
      <c r="F386" s="636">
        <v>11806</v>
      </c>
      <c r="G386" s="637" t="s">
        <v>81</v>
      </c>
      <c r="H386" s="637" t="s">
        <v>1163</v>
      </c>
      <c r="I386" s="637" t="s">
        <v>58</v>
      </c>
      <c r="J386" s="636">
        <v>22</v>
      </c>
      <c r="K386" s="636">
        <v>1</v>
      </c>
      <c r="L386" s="637" t="s">
        <v>34</v>
      </c>
      <c r="M386" s="637" t="s">
        <v>441</v>
      </c>
      <c r="N386" s="637" t="s">
        <v>442</v>
      </c>
      <c r="O386" s="637" t="s">
        <v>442</v>
      </c>
      <c r="P386" s="637" t="s">
        <v>1156</v>
      </c>
      <c r="Q386" s="638">
        <v>0</v>
      </c>
      <c r="R386" s="638">
        <v>0</v>
      </c>
      <c r="S386" s="638">
        <v>0</v>
      </c>
      <c r="T386" s="638">
        <v>0</v>
      </c>
      <c r="U386" s="638">
        <v>0</v>
      </c>
      <c r="V386" s="636">
        <v>2022</v>
      </c>
      <c r="W386" s="640"/>
      <c r="X386" s="641" t="str">
        <f t="shared" si="15"/>
        <v/>
      </c>
      <c r="Y386" s="642" t="str">
        <f t="shared" si="16"/>
        <v/>
      </c>
      <c r="Z386" s="642" t="str">
        <f t="shared" si="17"/>
        <v/>
      </c>
    </row>
    <row r="387" spans="1:26" s="127" customFormat="1" ht="25">
      <c r="A387" s="636">
        <v>6083</v>
      </c>
      <c r="B387" s="637" t="s">
        <v>33</v>
      </c>
      <c r="C387" s="636" t="s">
        <v>2725</v>
      </c>
      <c r="D387" s="637" t="s">
        <v>721</v>
      </c>
      <c r="E387" s="637" t="s">
        <v>2083</v>
      </c>
      <c r="F387" s="636">
        <v>61122</v>
      </c>
      <c r="G387" s="637" t="s">
        <v>81</v>
      </c>
      <c r="H387" s="637" t="s">
        <v>1163</v>
      </c>
      <c r="I387" s="637" t="s">
        <v>58</v>
      </c>
      <c r="J387" s="636">
        <v>22</v>
      </c>
      <c r="K387" s="636">
        <v>2</v>
      </c>
      <c r="L387" s="637" t="s">
        <v>52</v>
      </c>
      <c r="M387" s="637" t="s">
        <v>35</v>
      </c>
      <c r="N387" s="637" t="s">
        <v>36</v>
      </c>
      <c r="O387" s="637" t="s">
        <v>37</v>
      </c>
      <c r="P387" s="637" t="s">
        <v>1156</v>
      </c>
      <c r="Q387" s="638">
        <v>0</v>
      </c>
      <c r="R387" s="638">
        <v>0</v>
      </c>
      <c r="S387" s="638">
        <v>83007</v>
      </c>
      <c r="T387" s="638">
        <v>83007</v>
      </c>
      <c r="U387" s="638">
        <v>24328</v>
      </c>
      <c r="V387" s="636">
        <v>2022</v>
      </c>
      <c r="W387" s="640"/>
      <c r="X387" s="641">
        <f t="shared" si="15"/>
        <v>3.4119944097336403</v>
      </c>
      <c r="Y387" s="642" t="str">
        <f t="shared" si="16"/>
        <v/>
      </c>
      <c r="Z387" s="642" t="str">
        <f t="shared" si="17"/>
        <v/>
      </c>
    </row>
    <row r="388" spans="1:26" s="127" customFormat="1" ht="25">
      <c r="A388" s="636">
        <v>6110</v>
      </c>
      <c r="B388" s="637" t="s">
        <v>33</v>
      </c>
      <c r="C388" s="636">
        <v>1</v>
      </c>
      <c r="D388" s="637" t="s">
        <v>367</v>
      </c>
      <c r="E388" s="637" t="s">
        <v>3599</v>
      </c>
      <c r="F388" s="636">
        <v>55951</v>
      </c>
      <c r="G388" s="637" t="s">
        <v>57</v>
      </c>
      <c r="H388" s="637" t="s">
        <v>1162</v>
      </c>
      <c r="I388" s="637" t="s">
        <v>58</v>
      </c>
      <c r="J388" s="636">
        <v>22</v>
      </c>
      <c r="K388" s="636">
        <v>2</v>
      </c>
      <c r="L388" s="637" t="s">
        <v>52</v>
      </c>
      <c r="M388" s="637" t="s">
        <v>42</v>
      </c>
      <c r="N388" s="637" t="s">
        <v>53</v>
      </c>
      <c r="O388" s="637" t="s">
        <v>53</v>
      </c>
      <c r="P388" s="637" t="s">
        <v>1156</v>
      </c>
      <c r="Q388" s="638">
        <v>0</v>
      </c>
      <c r="R388" s="638">
        <v>0</v>
      </c>
      <c r="S388" s="638">
        <v>0</v>
      </c>
      <c r="T388" s="638">
        <v>0</v>
      </c>
      <c r="U388" s="638">
        <v>6612745</v>
      </c>
      <c r="V388" s="636">
        <v>2022</v>
      </c>
      <c r="W388" s="640"/>
      <c r="X388" s="641" t="str">
        <f t="shared" si="15"/>
        <v/>
      </c>
      <c r="Y388" s="642" t="str">
        <f t="shared" si="16"/>
        <v/>
      </c>
      <c r="Z388" s="642" t="str">
        <f t="shared" si="17"/>
        <v/>
      </c>
    </row>
    <row r="389" spans="1:26" s="127" customFormat="1" ht="25">
      <c r="A389" s="636">
        <v>6115</v>
      </c>
      <c r="B389" s="637" t="s">
        <v>33</v>
      </c>
      <c r="C389" s="636">
        <v>1</v>
      </c>
      <c r="D389" s="637" t="s">
        <v>368</v>
      </c>
      <c r="E389" s="637" t="s">
        <v>722</v>
      </c>
      <c r="F389" s="636">
        <v>6854</v>
      </c>
      <c r="G389" s="637" t="s">
        <v>96</v>
      </c>
      <c r="H389" s="637" t="s">
        <v>1163</v>
      </c>
      <c r="I389" s="637" t="s">
        <v>58</v>
      </c>
      <c r="J389" s="636">
        <v>22</v>
      </c>
      <c r="K389" s="636">
        <v>2</v>
      </c>
      <c r="L389" s="637" t="s">
        <v>52</v>
      </c>
      <c r="M389" s="637" t="s">
        <v>42</v>
      </c>
      <c r="N389" s="637" t="s">
        <v>53</v>
      </c>
      <c r="O389" s="637" t="s">
        <v>53</v>
      </c>
      <c r="P389" s="637" t="s">
        <v>1156</v>
      </c>
      <c r="Q389" s="638">
        <v>0</v>
      </c>
      <c r="R389" s="638">
        <v>0</v>
      </c>
      <c r="S389" s="638">
        <v>0</v>
      </c>
      <c r="T389" s="638">
        <v>0</v>
      </c>
      <c r="U389" s="638">
        <v>10921528</v>
      </c>
      <c r="V389" s="636">
        <v>2022</v>
      </c>
      <c r="W389" s="640"/>
      <c r="X389" s="641" t="str">
        <f t="shared" si="15"/>
        <v/>
      </c>
      <c r="Y389" s="642" t="str">
        <f t="shared" si="16"/>
        <v/>
      </c>
      <c r="Z389" s="642" t="str">
        <f t="shared" si="17"/>
        <v/>
      </c>
    </row>
    <row r="390" spans="1:26" s="127" customFormat="1" ht="25">
      <c r="A390" s="636">
        <v>6119</v>
      </c>
      <c r="B390" s="637" t="s">
        <v>33</v>
      </c>
      <c r="C390" s="636" t="s">
        <v>2725</v>
      </c>
      <c r="D390" s="637" t="s">
        <v>723</v>
      </c>
      <c r="E390" s="637" t="s">
        <v>2083</v>
      </c>
      <c r="F390" s="636">
        <v>61122</v>
      </c>
      <c r="G390" s="637" t="s">
        <v>81</v>
      </c>
      <c r="H390" s="637" t="s">
        <v>1163</v>
      </c>
      <c r="I390" s="637" t="s">
        <v>58</v>
      </c>
      <c r="J390" s="636">
        <v>22</v>
      </c>
      <c r="K390" s="636">
        <v>2</v>
      </c>
      <c r="L390" s="637" t="s">
        <v>52</v>
      </c>
      <c r="M390" s="637" t="s">
        <v>35</v>
      </c>
      <c r="N390" s="637" t="s">
        <v>36</v>
      </c>
      <c r="O390" s="637" t="s">
        <v>37</v>
      </c>
      <c r="P390" s="637" t="s">
        <v>1156</v>
      </c>
      <c r="Q390" s="638">
        <v>0</v>
      </c>
      <c r="R390" s="638">
        <v>0</v>
      </c>
      <c r="S390" s="638">
        <v>63983</v>
      </c>
      <c r="T390" s="638">
        <v>63983</v>
      </c>
      <c r="U390" s="638">
        <v>18753</v>
      </c>
      <c r="V390" s="636">
        <v>2022</v>
      </c>
      <c r="W390" s="640"/>
      <c r="X390" s="641">
        <f t="shared" si="15"/>
        <v>3.4118807657441477</v>
      </c>
      <c r="Y390" s="642" t="str">
        <f t="shared" si="16"/>
        <v/>
      </c>
      <c r="Z390" s="642" t="str">
        <f t="shared" si="17"/>
        <v/>
      </c>
    </row>
    <row r="391" spans="1:26" s="127" customFormat="1" ht="25">
      <c r="A391" s="636">
        <v>6122</v>
      </c>
      <c r="B391" s="637" t="s">
        <v>33</v>
      </c>
      <c r="C391" s="636">
        <v>1</v>
      </c>
      <c r="D391" s="637" t="s">
        <v>1028</v>
      </c>
      <c r="E391" s="637" t="s">
        <v>3599</v>
      </c>
      <c r="F391" s="636">
        <v>55951</v>
      </c>
      <c r="G391" s="637" t="s">
        <v>57</v>
      </c>
      <c r="H391" s="637" t="s">
        <v>1162</v>
      </c>
      <c r="I391" s="637" t="s">
        <v>58</v>
      </c>
      <c r="J391" s="636">
        <v>22</v>
      </c>
      <c r="K391" s="636">
        <v>2</v>
      </c>
      <c r="L391" s="637" t="s">
        <v>52</v>
      </c>
      <c r="M391" s="637" t="s">
        <v>42</v>
      </c>
      <c r="N391" s="637" t="s">
        <v>53</v>
      </c>
      <c r="O391" s="637" t="s">
        <v>53</v>
      </c>
      <c r="P391" s="637" t="s">
        <v>1156</v>
      </c>
      <c r="Q391" s="638">
        <v>0</v>
      </c>
      <c r="R391" s="638">
        <v>0</v>
      </c>
      <c r="S391" s="638">
        <v>0</v>
      </c>
      <c r="T391" s="638">
        <v>0</v>
      </c>
      <c r="U391" s="638">
        <v>5038588</v>
      </c>
      <c r="V391" s="636">
        <v>2022</v>
      </c>
      <c r="W391" s="640"/>
      <c r="X391" s="641" t="str">
        <f t="shared" si="15"/>
        <v/>
      </c>
      <c r="Y391" s="642" t="str">
        <f t="shared" si="16"/>
        <v/>
      </c>
      <c r="Z391" s="642" t="str">
        <f t="shared" si="17"/>
        <v/>
      </c>
    </row>
    <row r="392" spans="1:26" s="127" customFormat="1" ht="25">
      <c r="A392" s="636">
        <v>6125</v>
      </c>
      <c r="B392" s="637" t="s">
        <v>33</v>
      </c>
      <c r="C392" s="636" t="s">
        <v>2725</v>
      </c>
      <c r="D392" s="637" t="s">
        <v>724</v>
      </c>
      <c r="E392" s="637" t="s">
        <v>1142</v>
      </c>
      <c r="F392" s="636">
        <v>17127</v>
      </c>
      <c r="G392" s="637" t="s">
        <v>81</v>
      </c>
      <c r="H392" s="637" t="s">
        <v>1163</v>
      </c>
      <c r="I392" s="637" t="s">
        <v>58</v>
      </c>
      <c r="J392" s="636">
        <v>22</v>
      </c>
      <c r="K392" s="636">
        <v>1</v>
      </c>
      <c r="L392" s="637" t="s">
        <v>34</v>
      </c>
      <c r="M392" s="637" t="s">
        <v>51</v>
      </c>
      <c r="N392" s="637" t="s">
        <v>46</v>
      </c>
      <c r="O392" s="637" t="s">
        <v>46</v>
      </c>
      <c r="P392" s="637" t="s">
        <v>47</v>
      </c>
      <c r="Q392" s="638">
        <v>1512</v>
      </c>
      <c r="R392" s="638">
        <v>1512</v>
      </c>
      <c r="S392" s="638">
        <v>8889</v>
      </c>
      <c r="T392" s="638">
        <v>8889</v>
      </c>
      <c r="U392" s="638">
        <v>251</v>
      </c>
      <c r="V392" s="636">
        <v>2022</v>
      </c>
      <c r="W392" s="640"/>
      <c r="X392" s="641">
        <f t="shared" ref="X392:X455" si="18">IF(OR(K392&gt;3,T392=0,NOT(U392&gt;0)),"",T392/U392)</f>
        <v>35.414342629482071</v>
      </c>
      <c r="Y392" s="642" t="str">
        <f t="shared" ref="Y392:Y455" si="19">IF(AND($M392=$Y$2,$N392=$Y$3,NOT($Q392=$R392),NOT($U392=0)),IF($K392=5,$S392/($U392+(8/5)*$U392),IF($K392=7,$S392/($U392+(29/25)*$U392),"")),"")</f>
        <v/>
      </c>
      <c r="Z392" s="642" t="str">
        <f t="shared" si="17"/>
        <v/>
      </c>
    </row>
    <row r="393" spans="1:26" s="127" customFormat="1" ht="25">
      <c r="A393" s="636">
        <v>6125</v>
      </c>
      <c r="B393" s="637" t="s">
        <v>33</v>
      </c>
      <c r="C393" s="636" t="s">
        <v>2725</v>
      </c>
      <c r="D393" s="637" t="s">
        <v>724</v>
      </c>
      <c r="E393" s="637" t="s">
        <v>1142</v>
      </c>
      <c r="F393" s="636">
        <v>17127</v>
      </c>
      <c r="G393" s="637" t="s">
        <v>81</v>
      </c>
      <c r="H393" s="637" t="s">
        <v>1163</v>
      </c>
      <c r="I393" s="637" t="s">
        <v>58</v>
      </c>
      <c r="J393" s="636">
        <v>22</v>
      </c>
      <c r="K393" s="636">
        <v>1</v>
      </c>
      <c r="L393" s="637" t="s">
        <v>34</v>
      </c>
      <c r="M393" s="637" t="s">
        <v>51</v>
      </c>
      <c r="N393" s="637" t="s">
        <v>39</v>
      </c>
      <c r="O393" s="637" t="s">
        <v>39</v>
      </c>
      <c r="P393" s="637" t="s">
        <v>1020</v>
      </c>
      <c r="Q393" s="638">
        <v>0</v>
      </c>
      <c r="R393" s="638">
        <v>0</v>
      </c>
      <c r="S393" s="638">
        <v>0</v>
      </c>
      <c r="T393" s="638">
        <v>0</v>
      </c>
      <c r="U393" s="638">
        <v>0</v>
      </c>
      <c r="V393" s="636">
        <v>2022</v>
      </c>
      <c r="W393" s="640"/>
      <c r="X393" s="641" t="str">
        <f t="shared" si="18"/>
        <v/>
      </c>
      <c r="Y393" s="642" t="str">
        <f t="shared" si="19"/>
        <v/>
      </c>
      <c r="Z393" s="642" t="str">
        <f t="shared" si="17"/>
        <v/>
      </c>
    </row>
    <row r="394" spans="1:26" s="127" customFormat="1" ht="25">
      <c r="A394" s="636">
        <v>6156</v>
      </c>
      <c r="B394" s="637" t="s">
        <v>33</v>
      </c>
      <c r="C394" s="636" t="s">
        <v>2725</v>
      </c>
      <c r="D394" s="637" t="s">
        <v>369</v>
      </c>
      <c r="E394" s="637" t="s">
        <v>3595</v>
      </c>
      <c r="F394" s="636">
        <v>65448</v>
      </c>
      <c r="G394" s="637" t="s">
        <v>41</v>
      </c>
      <c r="H394" s="637" t="s">
        <v>1163</v>
      </c>
      <c r="I394" s="637" t="s">
        <v>58</v>
      </c>
      <c r="J394" s="636">
        <v>22</v>
      </c>
      <c r="K394" s="636">
        <v>2</v>
      </c>
      <c r="L394" s="637" t="s">
        <v>52</v>
      </c>
      <c r="M394" s="637" t="s">
        <v>50</v>
      </c>
      <c r="N394" s="637" t="s">
        <v>76</v>
      </c>
      <c r="O394" s="637" t="s">
        <v>67</v>
      </c>
      <c r="P394" s="637" t="s">
        <v>47</v>
      </c>
      <c r="Q394" s="638">
        <v>16287</v>
      </c>
      <c r="R394" s="638">
        <v>16287</v>
      </c>
      <c r="S394" s="638">
        <v>92649</v>
      </c>
      <c r="T394" s="638">
        <v>92649</v>
      </c>
      <c r="U394" s="638">
        <v>9916</v>
      </c>
      <c r="V394" s="636">
        <v>2022</v>
      </c>
      <c r="W394" s="640" t="s">
        <v>3934</v>
      </c>
      <c r="X394" s="641">
        <f t="shared" si="18"/>
        <v>9.3433844292053241</v>
      </c>
      <c r="Y394" s="642" t="str">
        <f t="shared" si="19"/>
        <v/>
      </c>
      <c r="Z394" s="642" t="str">
        <f t="shared" si="17"/>
        <v/>
      </c>
    </row>
    <row r="395" spans="1:26" s="127" customFormat="1" ht="25">
      <c r="A395" s="636">
        <v>6156</v>
      </c>
      <c r="B395" s="637" t="s">
        <v>33</v>
      </c>
      <c r="C395" s="636" t="s">
        <v>2725</v>
      </c>
      <c r="D395" s="637" t="s">
        <v>369</v>
      </c>
      <c r="E395" s="637" t="s">
        <v>3595</v>
      </c>
      <c r="F395" s="636">
        <v>65448</v>
      </c>
      <c r="G395" s="637" t="s">
        <v>41</v>
      </c>
      <c r="H395" s="637" t="s">
        <v>1163</v>
      </c>
      <c r="I395" s="637" t="s">
        <v>58</v>
      </c>
      <c r="J395" s="636">
        <v>22</v>
      </c>
      <c r="K395" s="636">
        <v>2</v>
      </c>
      <c r="L395" s="637" t="s">
        <v>52</v>
      </c>
      <c r="M395" s="637" t="s">
        <v>50</v>
      </c>
      <c r="N395" s="637" t="s">
        <v>39</v>
      </c>
      <c r="O395" s="637" t="s">
        <v>39</v>
      </c>
      <c r="P395" s="637" t="s">
        <v>1020</v>
      </c>
      <c r="Q395" s="638">
        <v>0</v>
      </c>
      <c r="R395" s="638">
        <v>0</v>
      </c>
      <c r="S395" s="638">
        <v>0</v>
      </c>
      <c r="T395" s="638">
        <v>0</v>
      </c>
      <c r="U395" s="638">
        <v>0</v>
      </c>
      <c r="V395" s="636">
        <v>2022</v>
      </c>
      <c r="W395" s="640" t="s">
        <v>3934</v>
      </c>
      <c r="X395" s="641" t="str">
        <f t="shared" si="18"/>
        <v/>
      </c>
      <c r="Y395" s="642" t="str">
        <f t="shared" si="19"/>
        <v/>
      </c>
      <c r="Z395" s="642" t="str">
        <f t="shared" si="17"/>
        <v/>
      </c>
    </row>
    <row r="396" spans="1:26" s="127" customFormat="1" ht="25">
      <c r="A396" s="636">
        <v>6156</v>
      </c>
      <c r="B396" s="637" t="s">
        <v>33</v>
      </c>
      <c r="C396" s="636" t="s">
        <v>2725</v>
      </c>
      <c r="D396" s="637" t="s">
        <v>369</v>
      </c>
      <c r="E396" s="637" t="s">
        <v>3595</v>
      </c>
      <c r="F396" s="636">
        <v>65448</v>
      </c>
      <c r="G396" s="637" t="s">
        <v>41</v>
      </c>
      <c r="H396" s="637" t="s">
        <v>1163</v>
      </c>
      <c r="I396" s="637" t="s">
        <v>58</v>
      </c>
      <c r="J396" s="636">
        <v>22</v>
      </c>
      <c r="K396" s="636">
        <v>2</v>
      </c>
      <c r="L396" s="637" t="s">
        <v>52</v>
      </c>
      <c r="M396" s="637" t="s">
        <v>50</v>
      </c>
      <c r="N396" s="637" t="s">
        <v>65</v>
      </c>
      <c r="O396" s="637" t="s">
        <v>65</v>
      </c>
      <c r="P396" s="637" t="s">
        <v>45</v>
      </c>
      <c r="Q396" s="638">
        <v>0</v>
      </c>
      <c r="R396" s="638">
        <v>0</v>
      </c>
      <c r="S396" s="638">
        <v>0</v>
      </c>
      <c r="T396" s="638">
        <v>0</v>
      </c>
      <c r="U396" s="638">
        <v>0</v>
      </c>
      <c r="V396" s="636">
        <v>2022</v>
      </c>
      <c r="W396" s="640" t="s">
        <v>3934</v>
      </c>
      <c r="X396" s="641" t="str">
        <f t="shared" si="18"/>
        <v/>
      </c>
      <c r="Y396" s="642" t="str">
        <f t="shared" si="19"/>
        <v/>
      </c>
      <c r="Z396" s="642" t="str">
        <f t="shared" si="17"/>
        <v/>
      </c>
    </row>
    <row r="397" spans="1:26" s="127" customFormat="1" ht="25">
      <c r="A397" s="636">
        <v>6156</v>
      </c>
      <c r="B397" s="637" t="s">
        <v>33</v>
      </c>
      <c r="C397" s="636" t="s">
        <v>2725</v>
      </c>
      <c r="D397" s="637" t="s">
        <v>369</v>
      </c>
      <c r="E397" s="637" t="s">
        <v>3595</v>
      </c>
      <c r="F397" s="636">
        <v>65448</v>
      </c>
      <c r="G397" s="637" t="s">
        <v>41</v>
      </c>
      <c r="H397" s="637" t="s">
        <v>1163</v>
      </c>
      <c r="I397" s="637" t="s">
        <v>58</v>
      </c>
      <c r="J397" s="636">
        <v>22</v>
      </c>
      <c r="K397" s="636">
        <v>2</v>
      </c>
      <c r="L397" s="637" t="s">
        <v>52</v>
      </c>
      <c r="M397" s="637" t="s">
        <v>42</v>
      </c>
      <c r="N397" s="637" t="s">
        <v>46</v>
      </c>
      <c r="O397" s="637" t="s">
        <v>46</v>
      </c>
      <c r="P397" s="637" t="s">
        <v>47</v>
      </c>
      <c r="Q397" s="638">
        <v>9139</v>
      </c>
      <c r="R397" s="638">
        <v>9139</v>
      </c>
      <c r="S397" s="638">
        <v>53266</v>
      </c>
      <c r="T397" s="638">
        <v>53266</v>
      </c>
      <c r="U397" s="638">
        <v>370.03399999999999</v>
      </c>
      <c r="V397" s="636">
        <v>2022</v>
      </c>
      <c r="W397" s="640" t="s">
        <v>3934</v>
      </c>
      <c r="X397" s="641">
        <f t="shared" si="18"/>
        <v>143.94893442224227</v>
      </c>
      <c r="Y397" s="642" t="str">
        <f t="shared" si="19"/>
        <v/>
      </c>
      <c r="Z397" s="642" t="str">
        <f t="shared" si="17"/>
        <v/>
      </c>
    </row>
    <row r="398" spans="1:26" s="127" customFormat="1" ht="25">
      <c r="A398" s="636">
        <v>6156</v>
      </c>
      <c r="B398" s="637" t="s">
        <v>33</v>
      </c>
      <c r="C398" s="636" t="s">
        <v>2725</v>
      </c>
      <c r="D398" s="637" t="s">
        <v>369</v>
      </c>
      <c r="E398" s="637" t="s">
        <v>3595</v>
      </c>
      <c r="F398" s="636">
        <v>65448</v>
      </c>
      <c r="G398" s="637" t="s">
        <v>41</v>
      </c>
      <c r="H398" s="637" t="s">
        <v>1163</v>
      </c>
      <c r="I398" s="637" t="s">
        <v>58</v>
      </c>
      <c r="J398" s="636">
        <v>22</v>
      </c>
      <c r="K398" s="636">
        <v>2</v>
      </c>
      <c r="L398" s="637" t="s">
        <v>52</v>
      </c>
      <c r="M398" s="637" t="s">
        <v>42</v>
      </c>
      <c r="N398" s="637" t="s">
        <v>39</v>
      </c>
      <c r="O398" s="637" t="s">
        <v>39</v>
      </c>
      <c r="P398" s="637" t="s">
        <v>1020</v>
      </c>
      <c r="Q398" s="638">
        <v>196832</v>
      </c>
      <c r="R398" s="638">
        <v>196832</v>
      </c>
      <c r="S398" s="638">
        <v>201038</v>
      </c>
      <c r="T398" s="638">
        <v>201038</v>
      </c>
      <c r="U398" s="638">
        <v>23795</v>
      </c>
      <c r="V398" s="636">
        <v>2022</v>
      </c>
      <c r="W398" s="640" t="s">
        <v>3934</v>
      </c>
      <c r="X398" s="641">
        <f t="shared" si="18"/>
        <v>8.448749737339778</v>
      </c>
      <c r="Y398" s="642" t="str">
        <f t="shared" si="19"/>
        <v/>
      </c>
      <c r="Z398" s="642" t="str">
        <f t="shared" si="17"/>
        <v/>
      </c>
    </row>
    <row r="399" spans="1:26" s="127" customFormat="1" ht="25">
      <c r="A399" s="636">
        <v>6156</v>
      </c>
      <c r="B399" s="637" t="s">
        <v>33</v>
      </c>
      <c r="C399" s="636" t="s">
        <v>2725</v>
      </c>
      <c r="D399" s="637" t="s">
        <v>369</v>
      </c>
      <c r="E399" s="637" t="s">
        <v>3595</v>
      </c>
      <c r="F399" s="636">
        <v>65448</v>
      </c>
      <c r="G399" s="637" t="s">
        <v>41</v>
      </c>
      <c r="H399" s="637" t="s">
        <v>1163</v>
      </c>
      <c r="I399" s="637" t="s">
        <v>58</v>
      </c>
      <c r="J399" s="636">
        <v>22</v>
      </c>
      <c r="K399" s="636">
        <v>2</v>
      </c>
      <c r="L399" s="637" t="s">
        <v>52</v>
      </c>
      <c r="M399" s="637" t="s">
        <v>42</v>
      </c>
      <c r="N399" s="637" t="s">
        <v>61</v>
      </c>
      <c r="O399" s="637" t="s">
        <v>61</v>
      </c>
      <c r="P399" s="637" t="s">
        <v>47</v>
      </c>
      <c r="Q399" s="638">
        <v>62674</v>
      </c>
      <c r="R399" s="638">
        <v>62674</v>
      </c>
      <c r="S399" s="638">
        <v>365773</v>
      </c>
      <c r="T399" s="638">
        <v>365773</v>
      </c>
      <c r="U399" s="638">
        <v>36625.966</v>
      </c>
      <c r="V399" s="636">
        <v>2022</v>
      </c>
      <c r="W399" s="640" t="s">
        <v>3934</v>
      </c>
      <c r="X399" s="641">
        <f t="shared" si="18"/>
        <v>9.9867127054068696</v>
      </c>
      <c r="Y399" s="642" t="str">
        <f t="shared" si="19"/>
        <v/>
      </c>
      <c r="Z399" s="642" t="str">
        <f t="shared" si="17"/>
        <v/>
      </c>
    </row>
    <row r="400" spans="1:26" s="127" customFormat="1" ht="25">
      <c r="A400" s="636">
        <v>6378</v>
      </c>
      <c r="B400" s="637" t="s">
        <v>33</v>
      </c>
      <c r="C400" s="636" t="s">
        <v>2725</v>
      </c>
      <c r="D400" s="637" t="s">
        <v>725</v>
      </c>
      <c r="E400" s="637" t="s">
        <v>2263</v>
      </c>
      <c r="F400" s="636">
        <v>61350</v>
      </c>
      <c r="G400" s="637" t="s">
        <v>81</v>
      </c>
      <c r="H400" s="637" t="s">
        <v>1163</v>
      </c>
      <c r="I400" s="637" t="s">
        <v>58</v>
      </c>
      <c r="J400" s="636">
        <v>22</v>
      </c>
      <c r="K400" s="636">
        <v>2</v>
      </c>
      <c r="L400" s="637" t="s">
        <v>52</v>
      </c>
      <c r="M400" s="637" t="s">
        <v>35</v>
      </c>
      <c r="N400" s="637" t="s">
        <v>36</v>
      </c>
      <c r="O400" s="637" t="s">
        <v>37</v>
      </c>
      <c r="P400" s="637" t="s">
        <v>1156</v>
      </c>
      <c r="Q400" s="638">
        <v>0</v>
      </c>
      <c r="R400" s="638">
        <v>0</v>
      </c>
      <c r="S400" s="638">
        <v>17920</v>
      </c>
      <c r="T400" s="638">
        <v>17920</v>
      </c>
      <c r="U400" s="638">
        <v>5252</v>
      </c>
      <c r="V400" s="636">
        <v>2022</v>
      </c>
      <c r="W400" s="640"/>
      <c r="X400" s="641">
        <f t="shared" si="18"/>
        <v>3.4120335110434121</v>
      </c>
      <c r="Y400" s="642" t="str">
        <f t="shared" si="19"/>
        <v/>
      </c>
      <c r="Z400" s="642" t="str">
        <f t="shared" ref="Z400:Z463" si="20">IF(AND($M400=$Y$2,$N400=$Y$4,NOT($Q400=$R400),NOT($U400=0)),IF($K400=5,$S400/($U400+(8/5)*$U400),IF($K400=7,$S400/($U400+(29/25)*$U400),"")),"")</f>
        <v/>
      </c>
    </row>
    <row r="401" spans="1:26" s="127" customFormat="1" ht="25">
      <c r="A401" s="636">
        <v>6379</v>
      </c>
      <c r="B401" s="637" t="s">
        <v>33</v>
      </c>
      <c r="C401" s="636" t="s">
        <v>2725</v>
      </c>
      <c r="D401" s="637" t="s">
        <v>726</v>
      </c>
      <c r="E401" s="637" t="s">
        <v>2263</v>
      </c>
      <c r="F401" s="636">
        <v>61350</v>
      </c>
      <c r="G401" s="637" t="s">
        <v>81</v>
      </c>
      <c r="H401" s="637" t="s">
        <v>1163</v>
      </c>
      <c r="I401" s="637" t="s">
        <v>58</v>
      </c>
      <c r="J401" s="636">
        <v>22</v>
      </c>
      <c r="K401" s="636">
        <v>2</v>
      </c>
      <c r="L401" s="637" t="s">
        <v>52</v>
      </c>
      <c r="M401" s="637" t="s">
        <v>35</v>
      </c>
      <c r="N401" s="637" t="s">
        <v>36</v>
      </c>
      <c r="O401" s="637" t="s">
        <v>37</v>
      </c>
      <c r="P401" s="637" t="s">
        <v>1156</v>
      </c>
      <c r="Q401" s="638">
        <v>0</v>
      </c>
      <c r="R401" s="638">
        <v>0</v>
      </c>
      <c r="S401" s="638">
        <v>24448</v>
      </c>
      <c r="T401" s="638">
        <v>24448</v>
      </c>
      <c r="U401" s="638">
        <v>7165</v>
      </c>
      <c r="V401" s="636">
        <v>2022</v>
      </c>
      <c r="W401" s="640"/>
      <c r="X401" s="641">
        <f t="shared" si="18"/>
        <v>3.412142358688067</v>
      </c>
      <c r="Y401" s="642" t="str">
        <f t="shared" si="19"/>
        <v/>
      </c>
      <c r="Z401" s="642" t="str">
        <f t="shared" si="20"/>
        <v/>
      </c>
    </row>
    <row r="402" spans="1:26" s="127" customFormat="1" ht="25">
      <c r="A402" s="636">
        <v>6388</v>
      </c>
      <c r="B402" s="637" t="s">
        <v>33</v>
      </c>
      <c r="C402" s="636" t="s">
        <v>2725</v>
      </c>
      <c r="D402" s="637" t="s">
        <v>727</v>
      </c>
      <c r="E402" s="637" t="s">
        <v>1164</v>
      </c>
      <c r="F402" s="636">
        <v>58185</v>
      </c>
      <c r="G402" s="637" t="s">
        <v>81</v>
      </c>
      <c r="H402" s="637" t="s">
        <v>1163</v>
      </c>
      <c r="I402" s="637" t="s">
        <v>58</v>
      </c>
      <c r="J402" s="636">
        <v>22</v>
      </c>
      <c r="K402" s="636">
        <v>2</v>
      </c>
      <c r="L402" s="637" t="s">
        <v>52</v>
      </c>
      <c r="M402" s="637" t="s">
        <v>35</v>
      </c>
      <c r="N402" s="637" t="s">
        <v>36</v>
      </c>
      <c r="O402" s="637" t="s">
        <v>37</v>
      </c>
      <c r="P402" s="637" t="s">
        <v>1156</v>
      </c>
      <c r="Q402" s="638">
        <v>0</v>
      </c>
      <c r="R402" s="638">
        <v>0</v>
      </c>
      <c r="S402" s="638">
        <v>31871</v>
      </c>
      <c r="T402" s="638">
        <v>31871</v>
      </c>
      <c r="U402" s="638">
        <v>9341</v>
      </c>
      <c r="V402" s="636">
        <v>2022</v>
      </c>
      <c r="W402" s="640"/>
      <c r="X402" s="641">
        <f t="shared" si="18"/>
        <v>3.4119473289797666</v>
      </c>
      <c r="Y402" s="642" t="str">
        <f t="shared" si="19"/>
        <v/>
      </c>
      <c r="Z402" s="642" t="str">
        <f t="shared" si="20"/>
        <v/>
      </c>
    </row>
    <row r="403" spans="1:26" s="127" customFormat="1" ht="25">
      <c r="A403" s="636">
        <v>6450</v>
      </c>
      <c r="B403" s="637" t="s">
        <v>33</v>
      </c>
      <c r="C403" s="636" t="s">
        <v>2725</v>
      </c>
      <c r="D403" s="637" t="s">
        <v>728</v>
      </c>
      <c r="E403" s="637" t="s">
        <v>131</v>
      </c>
      <c r="F403" s="636">
        <v>7601</v>
      </c>
      <c r="G403" s="637" t="s">
        <v>89</v>
      </c>
      <c r="H403" s="637" t="s">
        <v>1163</v>
      </c>
      <c r="I403" s="637" t="s">
        <v>58</v>
      </c>
      <c r="J403" s="636">
        <v>22</v>
      </c>
      <c r="K403" s="636">
        <v>1</v>
      </c>
      <c r="L403" s="637" t="s">
        <v>34</v>
      </c>
      <c r="M403" s="637" t="s">
        <v>35</v>
      </c>
      <c r="N403" s="637" t="s">
        <v>36</v>
      </c>
      <c r="O403" s="637" t="s">
        <v>37</v>
      </c>
      <c r="P403" s="637" t="s">
        <v>1156</v>
      </c>
      <c r="Q403" s="638">
        <v>0</v>
      </c>
      <c r="R403" s="638">
        <v>0</v>
      </c>
      <c r="S403" s="638">
        <v>90943</v>
      </c>
      <c r="T403" s="638">
        <v>90943</v>
      </c>
      <c r="U403" s="638">
        <v>26654</v>
      </c>
      <c r="V403" s="636">
        <v>2022</v>
      </c>
      <c r="W403" s="640"/>
      <c r="X403" s="641">
        <f t="shared" si="18"/>
        <v>3.4119831920162076</v>
      </c>
      <c r="Y403" s="642" t="str">
        <f t="shared" si="19"/>
        <v/>
      </c>
      <c r="Z403" s="642" t="str">
        <f t="shared" si="20"/>
        <v/>
      </c>
    </row>
    <row r="404" spans="1:26" s="127" customFormat="1" ht="25">
      <c r="A404" s="636">
        <v>6451</v>
      </c>
      <c r="B404" s="637" t="s">
        <v>33</v>
      </c>
      <c r="C404" s="636" t="s">
        <v>2725</v>
      </c>
      <c r="D404" s="637" t="s">
        <v>729</v>
      </c>
      <c r="E404" s="637" t="s">
        <v>131</v>
      </c>
      <c r="F404" s="636">
        <v>7601</v>
      </c>
      <c r="G404" s="637" t="s">
        <v>89</v>
      </c>
      <c r="H404" s="637" t="s">
        <v>1163</v>
      </c>
      <c r="I404" s="637" t="s">
        <v>58</v>
      </c>
      <c r="J404" s="636">
        <v>22</v>
      </c>
      <c r="K404" s="636">
        <v>1</v>
      </c>
      <c r="L404" s="637" t="s">
        <v>34</v>
      </c>
      <c r="M404" s="637" t="s">
        <v>35</v>
      </c>
      <c r="N404" s="637" t="s">
        <v>36</v>
      </c>
      <c r="O404" s="637" t="s">
        <v>37</v>
      </c>
      <c r="P404" s="637" t="s">
        <v>1156</v>
      </c>
      <c r="Q404" s="638">
        <v>0</v>
      </c>
      <c r="R404" s="638">
        <v>0</v>
      </c>
      <c r="S404" s="638">
        <v>32439</v>
      </c>
      <c r="T404" s="638">
        <v>32439</v>
      </c>
      <c r="U404" s="638">
        <v>9507</v>
      </c>
      <c r="V404" s="636">
        <v>2022</v>
      </c>
      <c r="W404" s="640"/>
      <c r="X404" s="641">
        <f t="shared" si="18"/>
        <v>3.4121173871883874</v>
      </c>
      <c r="Y404" s="642" t="str">
        <f t="shared" si="19"/>
        <v/>
      </c>
      <c r="Z404" s="642" t="str">
        <f t="shared" si="20"/>
        <v/>
      </c>
    </row>
    <row r="405" spans="1:26" s="127" customFormat="1" ht="25">
      <c r="A405" s="636">
        <v>6456</v>
      </c>
      <c r="B405" s="637" t="s">
        <v>33</v>
      </c>
      <c r="C405" s="636" t="s">
        <v>2725</v>
      </c>
      <c r="D405" s="637" t="s">
        <v>730</v>
      </c>
      <c r="E405" s="637" t="s">
        <v>131</v>
      </c>
      <c r="F405" s="636">
        <v>7601</v>
      </c>
      <c r="G405" s="637" t="s">
        <v>57</v>
      </c>
      <c r="H405" s="637" t="s">
        <v>1162</v>
      </c>
      <c r="I405" s="637" t="s">
        <v>58</v>
      </c>
      <c r="J405" s="636">
        <v>22</v>
      </c>
      <c r="K405" s="636">
        <v>1</v>
      </c>
      <c r="L405" s="637" t="s">
        <v>34</v>
      </c>
      <c r="M405" s="637" t="s">
        <v>35</v>
      </c>
      <c r="N405" s="637" t="s">
        <v>36</v>
      </c>
      <c r="O405" s="637" t="s">
        <v>37</v>
      </c>
      <c r="P405" s="637" t="s">
        <v>1156</v>
      </c>
      <c r="Q405" s="638">
        <v>0</v>
      </c>
      <c r="R405" s="638">
        <v>0</v>
      </c>
      <c r="S405" s="638">
        <v>16591</v>
      </c>
      <c r="T405" s="638">
        <v>16591</v>
      </c>
      <c r="U405" s="638">
        <v>4862</v>
      </c>
      <c r="V405" s="636">
        <v>2022</v>
      </c>
      <c r="W405" s="640"/>
      <c r="X405" s="641">
        <f t="shared" si="18"/>
        <v>3.4123817359111475</v>
      </c>
      <c r="Y405" s="642" t="str">
        <f t="shared" si="19"/>
        <v/>
      </c>
      <c r="Z405" s="642" t="str">
        <f t="shared" si="20"/>
        <v/>
      </c>
    </row>
    <row r="406" spans="1:26" s="127" customFormat="1" ht="25">
      <c r="A406" s="636">
        <v>6475</v>
      </c>
      <c r="B406" s="637" t="s">
        <v>33</v>
      </c>
      <c r="C406" s="636" t="s">
        <v>2725</v>
      </c>
      <c r="D406" s="637" t="s">
        <v>731</v>
      </c>
      <c r="E406" s="637" t="s">
        <v>131</v>
      </c>
      <c r="F406" s="636">
        <v>7601</v>
      </c>
      <c r="G406" s="637" t="s">
        <v>89</v>
      </c>
      <c r="H406" s="637" t="s">
        <v>1163</v>
      </c>
      <c r="I406" s="637" t="s">
        <v>58</v>
      </c>
      <c r="J406" s="636">
        <v>22</v>
      </c>
      <c r="K406" s="636">
        <v>1</v>
      </c>
      <c r="L406" s="637" t="s">
        <v>34</v>
      </c>
      <c r="M406" s="637" t="s">
        <v>35</v>
      </c>
      <c r="N406" s="637" t="s">
        <v>36</v>
      </c>
      <c r="O406" s="637" t="s">
        <v>37</v>
      </c>
      <c r="P406" s="637" t="s">
        <v>1156</v>
      </c>
      <c r="Q406" s="638">
        <v>0</v>
      </c>
      <c r="R406" s="638">
        <v>0</v>
      </c>
      <c r="S406" s="638">
        <v>38059</v>
      </c>
      <c r="T406" s="638">
        <v>38059</v>
      </c>
      <c r="U406" s="638">
        <v>11155</v>
      </c>
      <c r="V406" s="636">
        <v>2022</v>
      </c>
      <c r="W406" s="640"/>
      <c r="X406" s="641">
        <f t="shared" si="18"/>
        <v>3.4118332586284179</v>
      </c>
      <c r="Y406" s="642" t="str">
        <f t="shared" si="19"/>
        <v/>
      </c>
      <c r="Z406" s="642" t="str">
        <f t="shared" si="20"/>
        <v/>
      </c>
    </row>
    <row r="407" spans="1:26" s="127" customFormat="1" ht="25">
      <c r="A407" s="636">
        <v>6483</v>
      </c>
      <c r="B407" s="637" t="s">
        <v>33</v>
      </c>
      <c r="C407" s="636" t="s">
        <v>2725</v>
      </c>
      <c r="D407" s="637" t="s">
        <v>732</v>
      </c>
      <c r="E407" s="637" t="s">
        <v>2083</v>
      </c>
      <c r="F407" s="636">
        <v>61122</v>
      </c>
      <c r="G407" s="637" t="s">
        <v>89</v>
      </c>
      <c r="H407" s="637" t="s">
        <v>1163</v>
      </c>
      <c r="I407" s="637" t="s">
        <v>58</v>
      </c>
      <c r="J407" s="636">
        <v>22</v>
      </c>
      <c r="K407" s="636">
        <v>2</v>
      </c>
      <c r="L407" s="637" t="s">
        <v>52</v>
      </c>
      <c r="M407" s="637" t="s">
        <v>35</v>
      </c>
      <c r="N407" s="637" t="s">
        <v>36</v>
      </c>
      <c r="O407" s="637" t="s">
        <v>37</v>
      </c>
      <c r="P407" s="637" t="s">
        <v>1156</v>
      </c>
      <c r="Q407" s="638">
        <v>0</v>
      </c>
      <c r="R407" s="638">
        <v>0</v>
      </c>
      <c r="S407" s="638">
        <v>151733</v>
      </c>
      <c r="T407" s="638">
        <v>151733</v>
      </c>
      <c r="U407" s="638">
        <v>44471</v>
      </c>
      <c r="V407" s="636">
        <v>2022</v>
      </c>
      <c r="W407" s="640"/>
      <c r="X407" s="641">
        <f t="shared" si="18"/>
        <v>3.4119538575701021</v>
      </c>
      <c r="Y407" s="642" t="str">
        <f t="shared" si="19"/>
        <v/>
      </c>
      <c r="Z407" s="642" t="str">
        <f t="shared" si="20"/>
        <v/>
      </c>
    </row>
    <row r="408" spans="1:26" s="127" customFormat="1" ht="25">
      <c r="A408" s="636">
        <v>6486</v>
      </c>
      <c r="B408" s="637" t="s">
        <v>33</v>
      </c>
      <c r="C408" s="636" t="s">
        <v>2725</v>
      </c>
      <c r="D408" s="637" t="s">
        <v>733</v>
      </c>
      <c r="E408" s="637" t="s">
        <v>570</v>
      </c>
      <c r="F408" s="636">
        <v>13511</v>
      </c>
      <c r="G408" s="637" t="s">
        <v>57</v>
      </c>
      <c r="H408" s="637" t="s">
        <v>1162</v>
      </c>
      <c r="I408" s="637" t="s">
        <v>58</v>
      </c>
      <c r="J408" s="636">
        <v>22</v>
      </c>
      <c r="K408" s="636">
        <v>1</v>
      </c>
      <c r="L408" s="637" t="s">
        <v>34</v>
      </c>
      <c r="M408" s="637" t="s">
        <v>35</v>
      </c>
      <c r="N408" s="637" t="s">
        <v>36</v>
      </c>
      <c r="O408" s="637" t="s">
        <v>37</v>
      </c>
      <c r="P408" s="637" t="s">
        <v>1156</v>
      </c>
      <c r="Q408" s="638">
        <v>0</v>
      </c>
      <c r="R408" s="638">
        <v>0</v>
      </c>
      <c r="S408" s="638">
        <v>58207</v>
      </c>
      <c r="T408" s="638">
        <v>58207</v>
      </c>
      <c r="U408" s="638">
        <v>17060</v>
      </c>
      <c r="V408" s="636">
        <v>2022</v>
      </c>
      <c r="W408" s="640"/>
      <c r="X408" s="641">
        <f t="shared" si="18"/>
        <v>3.4118991793669404</v>
      </c>
      <c r="Y408" s="642" t="str">
        <f t="shared" si="19"/>
        <v/>
      </c>
      <c r="Z408" s="642" t="str">
        <f t="shared" si="20"/>
        <v/>
      </c>
    </row>
    <row r="409" spans="1:26" s="127" customFormat="1" ht="25">
      <c r="A409" s="636">
        <v>6519</v>
      </c>
      <c r="B409" s="637" t="s">
        <v>33</v>
      </c>
      <c r="C409" s="636" t="s">
        <v>2725</v>
      </c>
      <c r="D409" s="637" t="s">
        <v>734</v>
      </c>
      <c r="E409" s="637" t="s">
        <v>131</v>
      </c>
      <c r="F409" s="636">
        <v>7601</v>
      </c>
      <c r="G409" s="637" t="s">
        <v>89</v>
      </c>
      <c r="H409" s="637" t="s">
        <v>1163</v>
      </c>
      <c r="I409" s="637" t="s">
        <v>58</v>
      </c>
      <c r="J409" s="636">
        <v>22</v>
      </c>
      <c r="K409" s="636">
        <v>1</v>
      </c>
      <c r="L409" s="637" t="s">
        <v>34</v>
      </c>
      <c r="M409" s="637" t="s">
        <v>35</v>
      </c>
      <c r="N409" s="637" t="s">
        <v>36</v>
      </c>
      <c r="O409" s="637" t="s">
        <v>37</v>
      </c>
      <c r="P409" s="637" t="s">
        <v>1156</v>
      </c>
      <c r="Q409" s="638">
        <v>0</v>
      </c>
      <c r="R409" s="638">
        <v>0</v>
      </c>
      <c r="S409" s="638">
        <v>33200</v>
      </c>
      <c r="T409" s="638">
        <v>33200</v>
      </c>
      <c r="U409" s="638">
        <v>9730</v>
      </c>
      <c r="V409" s="636">
        <v>2022</v>
      </c>
      <c r="W409" s="640"/>
      <c r="X409" s="641">
        <f t="shared" si="18"/>
        <v>3.4121274409044191</v>
      </c>
      <c r="Y409" s="642" t="str">
        <f t="shared" si="19"/>
        <v/>
      </c>
      <c r="Z409" s="642" t="str">
        <f t="shared" si="20"/>
        <v/>
      </c>
    </row>
    <row r="410" spans="1:26" s="127" customFormat="1" ht="25">
      <c r="A410" s="636">
        <v>6519</v>
      </c>
      <c r="B410" s="637" t="s">
        <v>33</v>
      </c>
      <c r="C410" s="636" t="s">
        <v>2725</v>
      </c>
      <c r="D410" s="637" t="s">
        <v>734</v>
      </c>
      <c r="E410" s="637" t="s">
        <v>131</v>
      </c>
      <c r="F410" s="636">
        <v>7601</v>
      </c>
      <c r="G410" s="637" t="s">
        <v>89</v>
      </c>
      <c r="H410" s="637" t="s">
        <v>1163</v>
      </c>
      <c r="I410" s="637" t="s">
        <v>58</v>
      </c>
      <c r="J410" s="636">
        <v>22</v>
      </c>
      <c r="K410" s="636">
        <v>1</v>
      </c>
      <c r="L410" s="637" t="s">
        <v>34</v>
      </c>
      <c r="M410" s="637" t="s">
        <v>51</v>
      </c>
      <c r="N410" s="637" t="s">
        <v>46</v>
      </c>
      <c r="O410" s="637" t="s">
        <v>46</v>
      </c>
      <c r="P410" s="637" t="s">
        <v>47</v>
      </c>
      <c r="Q410" s="638">
        <v>0</v>
      </c>
      <c r="R410" s="638">
        <v>0</v>
      </c>
      <c r="S410" s="638">
        <v>0</v>
      </c>
      <c r="T410" s="638">
        <v>0</v>
      </c>
      <c r="U410" s="638">
        <v>0</v>
      </c>
      <c r="V410" s="636">
        <v>2022</v>
      </c>
      <c r="W410" s="640"/>
      <c r="X410" s="641" t="str">
        <f t="shared" si="18"/>
        <v/>
      </c>
      <c r="Y410" s="642" t="str">
        <f t="shared" si="19"/>
        <v/>
      </c>
      <c r="Z410" s="642" t="str">
        <f t="shared" si="20"/>
        <v/>
      </c>
    </row>
    <row r="411" spans="1:26" s="127" customFormat="1" ht="25">
      <c r="A411" s="636">
        <v>6520</v>
      </c>
      <c r="B411" s="637" t="s">
        <v>33</v>
      </c>
      <c r="C411" s="636" t="s">
        <v>2725</v>
      </c>
      <c r="D411" s="637" t="s">
        <v>735</v>
      </c>
      <c r="E411" s="637" t="s">
        <v>131</v>
      </c>
      <c r="F411" s="636">
        <v>7601</v>
      </c>
      <c r="G411" s="637" t="s">
        <v>89</v>
      </c>
      <c r="H411" s="637" t="s">
        <v>1163</v>
      </c>
      <c r="I411" s="637" t="s">
        <v>58</v>
      </c>
      <c r="J411" s="636">
        <v>22</v>
      </c>
      <c r="K411" s="636">
        <v>1</v>
      </c>
      <c r="L411" s="637" t="s">
        <v>34</v>
      </c>
      <c r="M411" s="637" t="s">
        <v>35</v>
      </c>
      <c r="N411" s="637" t="s">
        <v>36</v>
      </c>
      <c r="O411" s="637" t="s">
        <v>37</v>
      </c>
      <c r="P411" s="637" t="s">
        <v>1156</v>
      </c>
      <c r="Q411" s="638">
        <v>0</v>
      </c>
      <c r="R411" s="638">
        <v>0</v>
      </c>
      <c r="S411" s="638">
        <v>40442</v>
      </c>
      <c r="T411" s="638">
        <v>40442</v>
      </c>
      <c r="U411" s="638">
        <v>11853</v>
      </c>
      <c r="V411" s="636">
        <v>2022</v>
      </c>
      <c r="W411" s="640"/>
      <c r="X411" s="641">
        <f t="shared" si="18"/>
        <v>3.4119632160634437</v>
      </c>
      <c r="Y411" s="642" t="str">
        <f t="shared" si="19"/>
        <v/>
      </c>
      <c r="Z411" s="642" t="str">
        <f t="shared" si="20"/>
        <v/>
      </c>
    </row>
    <row r="412" spans="1:26" s="127" customFormat="1" ht="25">
      <c r="A412" s="636">
        <v>6526</v>
      </c>
      <c r="B412" s="637" t="s">
        <v>33</v>
      </c>
      <c r="C412" s="636" t="s">
        <v>2725</v>
      </c>
      <c r="D412" s="637" t="s">
        <v>1566</v>
      </c>
      <c r="E412" s="637" t="s">
        <v>570</v>
      </c>
      <c r="F412" s="636">
        <v>13511</v>
      </c>
      <c r="G412" s="637" t="s">
        <v>57</v>
      </c>
      <c r="H412" s="637" t="s">
        <v>1162</v>
      </c>
      <c r="I412" s="637" t="s">
        <v>58</v>
      </c>
      <c r="J412" s="636">
        <v>22</v>
      </c>
      <c r="K412" s="636">
        <v>1</v>
      </c>
      <c r="L412" s="637" t="s">
        <v>34</v>
      </c>
      <c r="M412" s="637" t="s">
        <v>35</v>
      </c>
      <c r="N412" s="637" t="s">
        <v>36</v>
      </c>
      <c r="O412" s="637" t="s">
        <v>37</v>
      </c>
      <c r="P412" s="637" t="s">
        <v>1156</v>
      </c>
      <c r="Q412" s="638">
        <v>0</v>
      </c>
      <c r="R412" s="638">
        <v>0</v>
      </c>
      <c r="S412" s="638">
        <v>36311</v>
      </c>
      <c r="T412" s="638">
        <v>36311</v>
      </c>
      <c r="U412" s="638">
        <v>10642</v>
      </c>
      <c r="V412" s="636">
        <v>2022</v>
      </c>
      <c r="W412" s="640"/>
      <c r="X412" s="641">
        <f t="shared" si="18"/>
        <v>3.4120466077804923</v>
      </c>
      <c r="Y412" s="642" t="str">
        <f t="shared" si="19"/>
        <v/>
      </c>
      <c r="Z412" s="642" t="str">
        <f t="shared" si="20"/>
        <v/>
      </c>
    </row>
    <row r="413" spans="1:26" s="127" customFormat="1" ht="25">
      <c r="A413" s="636">
        <v>6527</v>
      </c>
      <c r="B413" s="637" t="s">
        <v>33</v>
      </c>
      <c r="C413" s="636" t="s">
        <v>2725</v>
      </c>
      <c r="D413" s="637" t="s">
        <v>736</v>
      </c>
      <c r="E413" s="637" t="s">
        <v>118</v>
      </c>
      <c r="F413" s="636">
        <v>5914</v>
      </c>
      <c r="G413" s="637" t="s">
        <v>57</v>
      </c>
      <c r="H413" s="637" t="s">
        <v>1162</v>
      </c>
      <c r="I413" s="637" t="s">
        <v>58</v>
      </c>
      <c r="J413" s="636">
        <v>22</v>
      </c>
      <c r="K413" s="636">
        <v>2</v>
      </c>
      <c r="L413" s="637" t="s">
        <v>52</v>
      </c>
      <c r="M413" s="637" t="s">
        <v>35</v>
      </c>
      <c r="N413" s="637" t="s">
        <v>36</v>
      </c>
      <c r="O413" s="637" t="s">
        <v>37</v>
      </c>
      <c r="P413" s="637" t="s">
        <v>1156</v>
      </c>
      <c r="Q413" s="638">
        <v>0</v>
      </c>
      <c r="R413" s="638">
        <v>0</v>
      </c>
      <c r="S413" s="638">
        <v>194101</v>
      </c>
      <c r="T413" s="638">
        <v>194101</v>
      </c>
      <c r="U413" s="638">
        <v>56888</v>
      </c>
      <c r="V413" s="636">
        <v>2022</v>
      </c>
      <c r="W413" s="640"/>
      <c r="X413" s="641">
        <f t="shared" si="18"/>
        <v>3.4119849528898891</v>
      </c>
      <c r="Y413" s="642" t="str">
        <f t="shared" si="19"/>
        <v/>
      </c>
      <c r="Z413" s="642" t="str">
        <f t="shared" si="20"/>
        <v/>
      </c>
    </row>
    <row r="414" spans="1:26" s="127" customFormat="1" ht="25">
      <c r="A414" s="636">
        <v>6529</v>
      </c>
      <c r="B414" s="637" t="s">
        <v>33</v>
      </c>
      <c r="C414" s="636" t="s">
        <v>2725</v>
      </c>
      <c r="D414" s="637" t="s">
        <v>737</v>
      </c>
      <c r="E414" s="637" t="s">
        <v>2083</v>
      </c>
      <c r="F414" s="636">
        <v>61122</v>
      </c>
      <c r="G414" s="637" t="s">
        <v>89</v>
      </c>
      <c r="H414" s="637" t="s">
        <v>1163</v>
      </c>
      <c r="I414" s="637" t="s">
        <v>58</v>
      </c>
      <c r="J414" s="636">
        <v>22</v>
      </c>
      <c r="K414" s="636">
        <v>2</v>
      </c>
      <c r="L414" s="637" t="s">
        <v>52</v>
      </c>
      <c r="M414" s="637" t="s">
        <v>35</v>
      </c>
      <c r="N414" s="637" t="s">
        <v>36</v>
      </c>
      <c r="O414" s="637" t="s">
        <v>37</v>
      </c>
      <c r="P414" s="637" t="s">
        <v>1156</v>
      </c>
      <c r="Q414" s="638">
        <v>0</v>
      </c>
      <c r="R414" s="638">
        <v>0</v>
      </c>
      <c r="S414" s="638">
        <v>48728</v>
      </c>
      <c r="T414" s="638">
        <v>48728</v>
      </c>
      <c r="U414" s="638">
        <v>14282</v>
      </c>
      <c r="V414" s="636">
        <v>2022</v>
      </c>
      <c r="W414" s="640"/>
      <c r="X414" s="641">
        <f t="shared" si="18"/>
        <v>3.4118470802408627</v>
      </c>
      <c r="Y414" s="642" t="str">
        <f t="shared" si="19"/>
        <v/>
      </c>
      <c r="Z414" s="642" t="str">
        <f t="shared" si="20"/>
        <v/>
      </c>
    </row>
    <row r="415" spans="1:26" s="127" customFormat="1" ht="25">
      <c r="A415" s="636">
        <v>6567</v>
      </c>
      <c r="B415" s="637" t="s">
        <v>33</v>
      </c>
      <c r="C415" s="636" t="s">
        <v>2725</v>
      </c>
      <c r="D415" s="637" t="s">
        <v>738</v>
      </c>
      <c r="E415" s="637" t="s">
        <v>2732</v>
      </c>
      <c r="F415" s="636">
        <v>1857</v>
      </c>
      <c r="G415" s="637" t="s">
        <v>130</v>
      </c>
      <c r="H415" s="637" t="s">
        <v>1163</v>
      </c>
      <c r="I415" s="637" t="s">
        <v>58</v>
      </c>
      <c r="J415" s="636">
        <v>22</v>
      </c>
      <c r="K415" s="636">
        <v>1</v>
      </c>
      <c r="L415" s="637" t="s">
        <v>34</v>
      </c>
      <c r="M415" s="637" t="s">
        <v>51</v>
      </c>
      <c r="N415" s="637" t="s">
        <v>46</v>
      </c>
      <c r="O415" s="637" t="s">
        <v>46</v>
      </c>
      <c r="P415" s="637" t="s">
        <v>47</v>
      </c>
      <c r="Q415" s="638">
        <v>613</v>
      </c>
      <c r="R415" s="638">
        <v>613</v>
      </c>
      <c r="S415" s="638">
        <v>3617</v>
      </c>
      <c r="T415" s="638">
        <v>3617</v>
      </c>
      <c r="U415" s="638">
        <v>346</v>
      </c>
      <c r="V415" s="636">
        <v>2022</v>
      </c>
      <c r="W415" s="640"/>
      <c r="X415" s="641">
        <f t="shared" si="18"/>
        <v>10.453757225433526</v>
      </c>
      <c r="Y415" s="642" t="str">
        <f t="shared" si="19"/>
        <v/>
      </c>
      <c r="Z415" s="642" t="str">
        <f t="shared" si="20"/>
        <v/>
      </c>
    </row>
    <row r="416" spans="1:26" s="127" customFormat="1" ht="25">
      <c r="A416" s="636">
        <v>6586</v>
      </c>
      <c r="B416" s="637" t="s">
        <v>33</v>
      </c>
      <c r="C416" s="636" t="s">
        <v>2725</v>
      </c>
      <c r="D416" s="637" t="s">
        <v>739</v>
      </c>
      <c r="E416" s="637" t="s">
        <v>3026</v>
      </c>
      <c r="F416" s="636">
        <v>11624</v>
      </c>
      <c r="G416" s="637" t="s">
        <v>81</v>
      </c>
      <c r="H416" s="637" t="s">
        <v>1163</v>
      </c>
      <c r="I416" s="637" t="s">
        <v>58</v>
      </c>
      <c r="J416" s="636">
        <v>22</v>
      </c>
      <c r="K416" s="636">
        <v>1</v>
      </c>
      <c r="L416" s="637" t="s">
        <v>34</v>
      </c>
      <c r="M416" s="637" t="s">
        <v>51</v>
      </c>
      <c r="N416" s="637" t="s">
        <v>46</v>
      </c>
      <c r="O416" s="637" t="s">
        <v>46</v>
      </c>
      <c r="P416" s="637" t="s">
        <v>47</v>
      </c>
      <c r="Q416" s="638">
        <v>210</v>
      </c>
      <c r="R416" s="638">
        <v>210</v>
      </c>
      <c r="S416" s="638">
        <v>1219</v>
      </c>
      <c r="T416" s="638">
        <v>1219</v>
      </c>
      <c r="U416" s="638">
        <v>108</v>
      </c>
      <c r="V416" s="636">
        <v>2022</v>
      </c>
      <c r="W416" s="640"/>
      <c r="X416" s="641">
        <f t="shared" si="18"/>
        <v>11.287037037037036</v>
      </c>
      <c r="Y416" s="642" t="str">
        <f t="shared" si="19"/>
        <v/>
      </c>
      <c r="Z416" s="642" t="str">
        <f t="shared" si="20"/>
        <v/>
      </c>
    </row>
    <row r="417" spans="1:26" s="127" customFormat="1" ht="25">
      <c r="A417" s="636">
        <v>6618</v>
      </c>
      <c r="B417" s="637" t="s">
        <v>33</v>
      </c>
      <c r="C417" s="636" t="s">
        <v>2725</v>
      </c>
      <c r="D417" s="637" t="s">
        <v>740</v>
      </c>
      <c r="E417" s="637" t="s">
        <v>1029</v>
      </c>
      <c r="F417" s="636">
        <v>18371</v>
      </c>
      <c r="G417" s="637" t="s">
        <v>89</v>
      </c>
      <c r="H417" s="637" t="s">
        <v>1163</v>
      </c>
      <c r="I417" s="637" t="s">
        <v>58</v>
      </c>
      <c r="J417" s="636">
        <v>22</v>
      </c>
      <c r="K417" s="636">
        <v>1</v>
      </c>
      <c r="L417" s="637" t="s">
        <v>34</v>
      </c>
      <c r="M417" s="637" t="s">
        <v>35</v>
      </c>
      <c r="N417" s="637" t="s">
        <v>36</v>
      </c>
      <c r="O417" s="637" t="s">
        <v>37</v>
      </c>
      <c r="P417" s="637" t="s">
        <v>1156</v>
      </c>
      <c r="Q417" s="638">
        <v>0</v>
      </c>
      <c r="R417" s="638">
        <v>0</v>
      </c>
      <c r="S417" s="638">
        <v>163740</v>
      </c>
      <c r="T417" s="638">
        <v>163740</v>
      </c>
      <c r="U417" s="638">
        <v>47990</v>
      </c>
      <c r="V417" s="636">
        <v>2022</v>
      </c>
      <c r="W417" s="640"/>
      <c r="X417" s="641">
        <f t="shared" si="18"/>
        <v>3.4119608251719109</v>
      </c>
      <c r="Y417" s="642" t="str">
        <f t="shared" si="19"/>
        <v/>
      </c>
      <c r="Z417" s="642" t="str">
        <f t="shared" si="20"/>
        <v/>
      </c>
    </row>
    <row r="418" spans="1:26" s="127" customFormat="1" ht="25">
      <c r="A418" s="636">
        <v>6635</v>
      </c>
      <c r="B418" s="637" t="s">
        <v>33</v>
      </c>
      <c r="C418" s="636" t="s">
        <v>2725</v>
      </c>
      <c r="D418" s="637" t="s">
        <v>370</v>
      </c>
      <c r="E418" s="637" t="s">
        <v>371</v>
      </c>
      <c r="F418" s="636">
        <v>4180</v>
      </c>
      <c r="G418" s="637" t="s">
        <v>41</v>
      </c>
      <c r="H418" s="637" t="s">
        <v>1163</v>
      </c>
      <c r="I418" s="637" t="s">
        <v>58</v>
      </c>
      <c r="J418" s="636">
        <v>22</v>
      </c>
      <c r="K418" s="636">
        <v>1</v>
      </c>
      <c r="L418" s="637" t="s">
        <v>34</v>
      </c>
      <c r="M418" s="637" t="s">
        <v>50</v>
      </c>
      <c r="N418" s="637" t="s">
        <v>46</v>
      </c>
      <c r="O418" s="637" t="s">
        <v>46</v>
      </c>
      <c r="P418" s="637" t="s">
        <v>47</v>
      </c>
      <c r="Q418" s="638">
        <v>0</v>
      </c>
      <c r="R418" s="638">
        <v>0</v>
      </c>
      <c r="S418" s="638">
        <v>0</v>
      </c>
      <c r="T418" s="638">
        <v>0</v>
      </c>
      <c r="U418" s="638">
        <v>0</v>
      </c>
      <c r="V418" s="636">
        <v>2022</v>
      </c>
      <c r="W418" s="640" t="s">
        <v>3934</v>
      </c>
      <c r="X418" s="641" t="str">
        <f t="shared" si="18"/>
        <v/>
      </c>
      <c r="Y418" s="642" t="str">
        <f t="shared" si="19"/>
        <v/>
      </c>
      <c r="Z418" s="642" t="str">
        <f t="shared" si="20"/>
        <v/>
      </c>
    </row>
    <row r="419" spans="1:26" s="127" customFormat="1" ht="25">
      <c r="A419" s="636">
        <v>6635</v>
      </c>
      <c r="B419" s="637" t="s">
        <v>33</v>
      </c>
      <c r="C419" s="636" t="s">
        <v>2725</v>
      </c>
      <c r="D419" s="637" t="s">
        <v>370</v>
      </c>
      <c r="E419" s="637" t="s">
        <v>371</v>
      </c>
      <c r="F419" s="636">
        <v>4180</v>
      </c>
      <c r="G419" s="637" t="s">
        <v>41</v>
      </c>
      <c r="H419" s="637" t="s">
        <v>1163</v>
      </c>
      <c r="I419" s="637" t="s">
        <v>58</v>
      </c>
      <c r="J419" s="636">
        <v>22</v>
      </c>
      <c r="K419" s="636">
        <v>1</v>
      </c>
      <c r="L419" s="637" t="s">
        <v>34</v>
      </c>
      <c r="M419" s="637" t="s">
        <v>50</v>
      </c>
      <c r="N419" s="637" t="s">
        <v>63</v>
      </c>
      <c r="O419" s="637" t="s">
        <v>64</v>
      </c>
      <c r="P419" s="637" t="s">
        <v>1020</v>
      </c>
      <c r="Q419" s="638">
        <v>0</v>
      </c>
      <c r="R419" s="638">
        <v>0</v>
      </c>
      <c r="S419" s="638">
        <v>0</v>
      </c>
      <c r="T419" s="638">
        <v>0</v>
      </c>
      <c r="U419" s="638">
        <v>0</v>
      </c>
      <c r="V419" s="636">
        <v>2022</v>
      </c>
      <c r="W419" s="640" t="s">
        <v>3934</v>
      </c>
      <c r="X419" s="641" t="str">
        <f t="shared" si="18"/>
        <v/>
      </c>
      <c r="Y419" s="642" t="str">
        <f t="shared" si="19"/>
        <v/>
      </c>
      <c r="Z419" s="642" t="str">
        <f t="shared" si="20"/>
        <v/>
      </c>
    </row>
    <row r="420" spans="1:26" s="127" customFormat="1" ht="25">
      <c r="A420" s="636">
        <v>6635</v>
      </c>
      <c r="B420" s="637" t="s">
        <v>33</v>
      </c>
      <c r="C420" s="636" t="s">
        <v>2725</v>
      </c>
      <c r="D420" s="637" t="s">
        <v>370</v>
      </c>
      <c r="E420" s="637" t="s">
        <v>371</v>
      </c>
      <c r="F420" s="636">
        <v>4180</v>
      </c>
      <c r="G420" s="637" t="s">
        <v>41</v>
      </c>
      <c r="H420" s="637" t="s">
        <v>1163</v>
      </c>
      <c r="I420" s="637" t="s">
        <v>58</v>
      </c>
      <c r="J420" s="636">
        <v>22</v>
      </c>
      <c r="K420" s="636">
        <v>1</v>
      </c>
      <c r="L420" s="637" t="s">
        <v>34</v>
      </c>
      <c r="M420" s="637" t="s">
        <v>50</v>
      </c>
      <c r="N420" s="637" t="s">
        <v>39</v>
      </c>
      <c r="O420" s="637" t="s">
        <v>39</v>
      </c>
      <c r="P420" s="637" t="s">
        <v>1020</v>
      </c>
      <c r="Q420" s="638">
        <v>7162</v>
      </c>
      <c r="R420" s="638">
        <v>7162</v>
      </c>
      <c r="S420" s="638">
        <v>7348</v>
      </c>
      <c r="T420" s="638">
        <v>7348</v>
      </c>
      <c r="U420" s="638">
        <v>581</v>
      </c>
      <c r="V420" s="636">
        <v>2022</v>
      </c>
      <c r="W420" s="640" t="s">
        <v>3934</v>
      </c>
      <c r="X420" s="641">
        <f t="shared" si="18"/>
        <v>12.647160068846816</v>
      </c>
      <c r="Y420" s="642" t="str">
        <f t="shared" si="19"/>
        <v/>
      </c>
      <c r="Z420" s="642" t="str">
        <f t="shared" si="20"/>
        <v/>
      </c>
    </row>
    <row r="421" spans="1:26" s="127" customFormat="1" ht="25">
      <c r="A421" s="636">
        <v>7051</v>
      </c>
      <c r="B421" s="637" t="s">
        <v>33</v>
      </c>
      <c r="C421" s="636" t="s">
        <v>2725</v>
      </c>
      <c r="D421" s="637" t="s">
        <v>741</v>
      </c>
      <c r="E421" s="637" t="s">
        <v>1030</v>
      </c>
      <c r="F421" s="636">
        <v>20151</v>
      </c>
      <c r="G421" s="637" t="s">
        <v>89</v>
      </c>
      <c r="H421" s="637" t="s">
        <v>1163</v>
      </c>
      <c r="I421" s="637" t="s">
        <v>58</v>
      </c>
      <c r="J421" s="636">
        <v>22</v>
      </c>
      <c r="K421" s="636">
        <v>1</v>
      </c>
      <c r="L421" s="637" t="s">
        <v>34</v>
      </c>
      <c r="M421" s="637" t="s">
        <v>35</v>
      </c>
      <c r="N421" s="637" t="s">
        <v>36</v>
      </c>
      <c r="O421" s="637" t="s">
        <v>37</v>
      </c>
      <c r="P421" s="637" t="s">
        <v>1156</v>
      </c>
      <c r="Q421" s="638">
        <v>0</v>
      </c>
      <c r="R421" s="638">
        <v>0</v>
      </c>
      <c r="S421" s="638">
        <v>2191</v>
      </c>
      <c r="T421" s="638">
        <v>2191</v>
      </c>
      <c r="U421" s="638">
        <v>642</v>
      </c>
      <c r="V421" s="636">
        <v>2022</v>
      </c>
      <c r="W421" s="640"/>
      <c r="X421" s="641">
        <f t="shared" si="18"/>
        <v>3.4127725856697819</v>
      </c>
      <c r="Y421" s="642" t="str">
        <f t="shared" si="19"/>
        <v/>
      </c>
      <c r="Z421" s="642" t="str">
        <f t="shared" si="20"/>
        <v/>
      </c>
    </row>
    <row r="422" spans="1:26" s="127" customFormat="1" ht="25">
      <c r="A422" s="636">
        <v>7056</v>
      </c>
      <c r="B422" s="637" t="s">
        <v>33</v>
      </c>
      <c r="C422" s="636" t="s">
        <v>2725</v>
      </c>
      <c r="D422" s="637" t="s">
        <v>742</v>
      </c>
      <c r="E422" s="637" t="s">
        <v>131</v>
      </c>
      <c r="F422" s="636">
        <v>7601</v>
      </c>
      <c r="G422" s="637" t="s">
        <v>89</v>
      </c>
      <c r="H422" s="637" t="s">
        <v>1163</v>
      </c>
      <c r="I422" s="637" t="s">
        <v>58</v>
      </c>
      <c r="J422" s="636">
        <v>22</v>
      </c>
      <c r="K422" s="636">
        <v>1</v>
      </c>
      <c r="L422" s="637" t="s">
        <v>34</v>
      </c>
      <c r="M422" s="637" t="s">
        <v>35</v>
      </c>
      <c r="N422" s="637" t="s">
        <v>36</v>
      </c>
      <c r="O422" s="637" t="s">
        <v>37</v>
      </c>
      <c r="P422" s="637" t="s">
        <v>1156</v>
      </c>
      <c r="Q422" s="638">
        <v>0</v>
      </c>
      <c r="R422" s="638">
        <v>0</v>
      </c>
      <c r="S422" s="638">
        <v>21176</v>
      </c>
      <c r="T422" s="638">
        <v>21176</v>
      </c>
      <c r="U422" s="638">
        <v>6206</v>
      </c>
      <c r="V422" s="636">
        <v>2022</v>
      </c>
      <c r="W422" s="640"/>
      <c r="X422" s="641">
        <f t="shared" si="18"/>
        <v>3.4121817595874959</v>
      </c>
      <c r="Y422" s="642" t="str">
        <f t="shared" si="19"/>
        <v/>
      </c>
      <c r="Z422" s="642" t="str">
        <f t="shared" si="20"/>
        <v/>
      </c>
    </row>
    <row r="423" spans="1:26" s="127" customFormat="1" ht="25">
      <c r="A423" s="636">
        <v>7146</v>
      </c>
      <c r="B423" s="637" t="s">
        <v>33</v>
      </c>
      <c r="C423" s="636" t="s">
        <v>2725</v>
      </c>
      <c r="D423" s="637" t="s">
        <v>372</v>
      </c>
      <c r="E423" s="637" t="s">
        <v>618</v>
      </c>
      <c r="F423" s="636">
        <v>56505</v>
      </c>
      <c r="G423" s="637" t="s">
        <v>57</v>
      </c>
      <c r="H423" s="637" t="s">
        <v>1162</v>
      </c>
      <c r="I423" s="637" t="s">
        <v>58</v>
      </c>
      <c r="J423" s="636">
        <v>22</v>
      </c>
      <c r="K423" s="636">
        <v>1</v>
      </c>
      <c r="L423" s="637" t="s">
        <v>34</v>
      </c>
      <c r="M423" s="637" t="s">
        <v>50</v>
      </c>
      <c r="N423" s="637" t="s">
        <v>46</v>
      </c>
      <c r="O423" s="637" t="s">
        <v>46</v>
      </c>
      <c r="P423" s="637" t="s">
        <v>47</v>
      </c>
      <c r="Q423" s="638">
        <v>49076</v>
      </c>
      <c r="R423" s="638">
        <v>49076</v>
      </c>
      <c r="S423" s="638">
        <v>279340</v>
      </c>
      <c r="T423" s="638">
        <v>279340</v>
      </c>
      <c r="U423" s="638">
        <v>20313.001</v>
      </c>
      <c r="V423" s="636">
        <v>2022</v>
      </c>
      <c r="W423" s="640" t="s">
        <v>3934</v>
      </c>
      <c r="X423" s="641">
        <f t="shared" si="18"/>
        <v>13.751783894462468</v>
      </c>
      <c r="Y423" s="642" t="str">
        <f t="shared" si="19"/>
        <v/>
      </c>
      <c r="Z423" s="642" t="str">
        <f t="shared" si="20"/>
        <v/>
      </c>
    </row>
    <row r="424" spans="1:26" s="127" customFormat="1" ht="25">
      <c r="A424" s="636">
        <v>7314</v>
      </c>
      <c r="B424" s="637" t="s">
        <v>33</v>
      </c>
      <c r="C424" s="636" t="s">
        <v>2725</v>
      </c>
      <c r="D424" s="637" t="s">
        <v>743</v>
      </c>
      <c r="E424" s="637" t="s">
        <v>56</v>
      </c>
      <c r="F424" s="636">
        <v>15296</v>
      </c>
      <c r="G424" s="637" t="s">
        <v>57</v>
      </c>
      <c r="H424" s="637" t="s">
        <v>1162</v>
      </c>
      <c r="I424" s="637" t="s">
        <v>58</v>
      </c>
      <c r="J424" s="636">
        <v>22</v>
      </c>
      <c r="K424" s="636">
        <v>1</v>
      </c>
      <c r="L424" s="637" t="s">
        <v>34</v>
      </c>
      <c r="M424" s="637" t="s">
        <v>38</v>
      </c>
      <c r="N424" s="637" t="s">
        <v>46</v>
      </c>
      <c r="O424" s="637" t="s">
        <v>46</v>
      </c>
      <c r="P424" s="637" t="s">
        <v>47</v>
      </c>
      <c r="Q424" s="638">
        <v>0</v>
      </c>
      <c r="R424" s="638">
        <v>0</v>
      </c>
      <c r="S424" s="638">
        <v>0</v>
      </c>
      <c r="T424" s="638">
        <v>0</v>
      </c>
      <c r="U424" s="638">
        <v>0</v>
      </c>
      <c r="V424" s="636">
        <v>2022</v>
      </c>
      <c r="W424" s="640" t="s">
        <v>3934</v>
      </c>
      <c r="X424" s="641" t="str">
        <f t="shared" si="18"/>
        <v/>
      </c>
      <c r="Y424" s="642" t="str">
        <f t="shared" si="19"/>
        <v/>
      </c>
      <c r="Z424" s="642" t="str">
        <f t="shared" si="20"/>
        <v/>
      </c>
    </row>
    <row r="425" spans="1:26" s="127" customFormat="1" ht="25">
      <c r="A425" s="636">
        <v>7314</v>
      </c>
      <c r="B425" s="637" t="s">
        <v>33</v>
      </c>
      <c r="C425" s="636" t="s">
        <v>2725</v>
      </c>
      <c r="D425" s="637" t="s">
        <v>743</v>
      </c>
      <c r="E425" s="637" t="s">
        <v>56</v>
      </c>
      <c r="F425" s="636">
        <v>15296</v>
      </c>
      <c r="G425" s="637" t="s">
        <v>57</v>
      </c>
      <c r="H425" s="637" t="s">
        <v>1162</v>
      </c>
      <c r="I425" s="637" t="s">
        <v>58</v>
      </c>
      <c r="J425" s="636">
        <v>22</v>
      </c>
      <c r="K425" s="636">
        <v>1</v>
      </c>
      <c r="L425" s="637" t="s">
        <v>34</v>
      </c>
      <c r="M425" s="637" t="s">
        <v>38</v>
      </c>
      <c r="N425" s="637" t="s">
        <v>39</v>
      </c>
      <c r="O425" s="637" t="s">
        <v>39</v>
      </c>
      <c r="P425" s="637" t="s">
        <v>1020</v>
      </c>
      <c r="Q425" s="638">
        <v>0</v>
      </c>
      <c r="R425" s="638">
        <v>0</v>
      </c>
      <c r="S425" s="638">
        <v>0</v>
      </c>
      <c r="T425" s="638">
        <v>0</v>
      </c>
      <c r="U425" s="638">
        <v>0</v>
      </c>
      <c r="V425" s="636">
        <v>2022</v>
      </c>
      <c r="W425" s="640" t="s">
        <v>3934</v>
      </c>
      <c r="X425" s="641" t="str">
        <f t="shared" si="18"/>
        <v/>
      </c>
      <c r="Y425" s="642" t="str">
        <f t="shared" si="19"/>
        <v/>
      </c>
      <c r="Z425" s="642" t="str">
        <f t="shared" si="20"/>
        <v/>
      </c>
    </row>
    <row r="426" spans="1:26" s="127" customFormat="1" ht="25">
      <c r="A426" s="636">
        <v>7314</v>
      </c>
      <c r="B426" s="637" t="s">
        <v>33</v>
      </c>
      <c r="C426" s="636" t="s">
        <v>2725</v>
      </c>
      <c r="D426" s="637" t="s">
        <v>743</v>
      </c>
      <c r="E426" s="637" t="s">
        <v>56</v>
      </c>
      <c r="F426" s="636">
        <v>15296</v>
      </c>
      <c r="G426" s="637" t="s">
        <v>57</v>
      </c>
      <c r="H426" s="637" t="s">
        <v>1162</v>
      </c>
      <c r="I426" s="637" t="s">
        <v>58</v>
      </c>
      <c r="J426" s="636">
        <v>22</v>
      </c>
      <c r="K426" s="636">
        <v>1</v>
      </c>
      <c r="L426" s="637" t="s">
        <v>34</v>
      </c>
      <c r="M426" s="637" t="s">
        <v>41</v>
      </c>
      <c r="N426" s="637" t="s">
        <v>46</v>
      </c>
      <c r="O426" s="637" t="s">
        <v>46</v>
      </c>
      <c r="P426" s="637" t="s">
        <v>47</v>
      </c>
      <c r="Q426" s="638">
        <v>126017</v>
      </c>
      <c r="R426" s="638">
        <v>126017</v>
      </c>
      <c r="S426" s="638">
        <v>721441</v>
      </c>
      <c r="T426" s="638">
        <v>721441</v>
      </c>
      <c r="U426" s="638">
        <v>84362.926000000007</v>
      </c>
      <c r="V426" s="636">
        <v>2022</v>
      </c>
      <c r="W426" s="640" t="s">
        <v>3934</v>
      </c>
      <c r="X426" s="641">
        <f t="shared" si="18"/>
        <v>8.5516355845694587</v>
      </c>
      <c r="Y426" s="642" t="str">
        <f t="shared" si="19"/>
        <v/>
      </c>
      <c r="Z426" s="642" t="str">
        <f t="shared" si="20"/>
        <v/>
      </c>
    </row>
    <row r="427" spans="1:26" s="127" customFormat="1" ht="25">
      <c r="A427" s="636">
        <v>7314</v>
      </c>
      <c r="B427" s="637" t="s">
        <v>33</v>
      </c>
      <c r="C427" s="636" t="s">
        <v>2725</v>
      </c>
      <c r="D427" s="637" t="s">
        <v>743</v>
      </c>
      <c r="E427" s="637" t="s">
        <v>56</v>
      </c>
      <c r="F427" s="636">
        <v>15296</v>
      </c>
      <c r="G427" s="637" t="s">
        <v>57</v>
      </c>
      <c r="H427" s="637" t="s">
        <v>1162</v>
      </c>
      <c r="I427" s="637" t="s">
        <v>58</v>
      </c>
      <c r="J427" s="636">
        <v>22</v>
      </c>
      <c r="K427" s="636">
        <v>1</v>
      </c>
      <c r="L427" s="637" t="s">
        <v>34</v>
      </c>
      <c r="M427" s="637" t="s">
        <v>41</v>
      </c>
      <c r="N427" s="637" t="s">
        <v>39</v>
      </c>
      <c r="O427" s="637" t="s">
        <v>39</v>
      </c>
      <c r="P427" s="637" t="s">
        <v>1020</v>
      </c>
      <c r="Q427" s="638">
        <v>4604070</v>
      </c>
      <c r="R427" s="638">
        <v>4604070</v>
      </c>
      <c r="S427" s="638">
        <v>4738628</v>
      </c>
      <c r="T427" s="638">
        <v>4738628</v>
      </c>
      <c r="U427" s="638">
        <v>583938.06999999995</v>
      </c>
      <c r="V427" s="636">
        <v>2022</v>
      </c>
      <c r="W427" s="640" t="s">
        <v>3934</v>
      </c>
      <c r="X427" s="641">
        <f t="shared" si="18"/>
        <v>8.1149495870341184</v>
      </c>
      <c r="Y427" s="642" t="str">
        <f t="shared" si="19"/>
        <v/>
      </c>
      <c r="Z427" s="642" t="str">
        <f t="shared" si="20"/>
        <v/>
      </c>
    </row>
    <row r="428" spans="1:26" s="127" customFormat="1" ht="25">
      <c r="A428" s="636">
        <v>7381</v>
      </c>
      <c r="B428" s="637" t="s">
        <v>33</v>
      </c>
      <c r="C428" s="636" t="s">
        <v>2725</v>
      </c>
      <c r="D428" s="637" t="s">
        <v>373</v>
      </c>
      <c r="E428" s="637" t="s">
        <v>131</v>
      </c>
      <c r="F428" s="636">
        <v>7601</v>
      </c>
      <c r="G428" s="637" t="s">
        <v>89</v>
      </c>
      <c r="H428" s="637" t="s">
        <v>1163</v>
      </c>
      <c r="I428" s="637" t="s">
        <v>58</v>
      </c>
      <c r="J428" s="636">
        <v>22</v>
      </c>
      <c r="K428" s="636">
        <v>1</v>
      </c>
      <c r="L428" s="637" t="s">
        <v>34</v>
      </c>
      <c r="M428" s="637" t="s">
        <v>71</v>
      </c>
      <c r="N428" s="637" t="s">
        <v>72</v>
      </c>
      <c r="O428" s="637" t="s">
        <v>72</v>
      </c>
      <c r="P428" s="637" t="s">
        <v>1156</v>
      </c>
      <c r="Q428" s="638">
        <v>0</v>
      </c>
      <c r="R428" s="638">
        <v>0</v>
      </c>
      <c r="S428" s="638">
        <v>32222</v>
      </c>
      <c r="T428" s="638">
        <v>32222</v>
      </c>
      <c r="U428" s="638">
        <v>9444</v>
      </c>
      <c r="V428" s="636">
        <v>2022</v>
      </c>
      <c r="W428" s="640"/>
      <c r="X428" s="641">
        <f t="shared" si="18"/>
        <v>3.4119017365523083</v>
      </c>
      <c r="Y428" s="642" t="str">
        <f t="shared" si="19"/>
        <v/>
      </c>
      <c r="Z428" s="642" t="str">
        <f t="shared" si="20"/>
        <v/>
      </c>
    </row>
    <row r="429" spans="1:26" s="127" customFormat="1" ht="25">
      <c r="A429" s="636">
        <v>7396</v>
      </c>
      <c r="B429" s="637" t="s">
        <v>33</v>
      </c>
      <c r="C429" s="636" t="s">
        <v>2725</v>
      </c>
      <c r="D429" s="637" t="s">
        <v>744</v>
      </c>
      <c r="E429" s="637" t="s">
        <v>1084</v>
      </c>
      <c r="F429" s="636">
        <v>3477</v>
      </c>
      <c r="G429" s="637" t="s">
        <v>81</v>
      </c>
      <c r="H429" s="637" t="s">
        <v>1163</v>
      </c>
      <c r="I429" s="637" t="s">
        <v>58</v>
      </c>
      <c r="J429" s="636">
        <v>22</v>
      </c>
      <c r="K429" s="636">
        <v>1</v>
      </c>
      <c r="L429" s="637" t="s">
        <v>34</v>
      </c>
      <c r="M429" s="637" t="s">
        <v>51</v>
      </c>
      <c r="N429" s="637" t="s">
        <v>46</v>
      </c>
      <c r="O429" s="637" t="s">
        <v>46</v>
      </c>
      <c r="P429" s="637" t="s">
        <v>47</v>
      </c>
      <c r="Q429" s="638">
        <v>2561</v>
      </c>
      <c r="R429" s="638">
        <v>2561</v>
      </c>
      <c r="S429" s="638">
        <v>14950</v>
      </c>
      <c r="T429" s="638">
        <v>14950</v>
      </c>
      <c r="U429" s="638">
        <v>1445</v>
      </c>
      <c r="V429" s="636">
        <v>2022</v>
      </c>
      <c r="W429" s="640"/>
      <c r="X429" s="641">
        <f t="shared" si="18"/>
        <v>10.346020761245676</v>
      </c>
      <c r="Y429" s="642" t="str">
        <f t="shared" si="19"/>
        <v/>
      </c>
      <c r="Z429" s="642" t="str">
        <f t="shared" si="20"/>
        <v/>
      </c>
    </row>
    <row r="430" spans="1:26" s="127" customFormat="1" ht="25">
      <c r="A430" s="636">
        <v>7501</v>
      </c>
      <c r="B430" s="637" t="s">
        <v>33</v>
      </c>
      <c r="C430" s="636" t="s">
        <v>2725</v>
      </c>
      <c r="D430" s="637" t="s">
        <v>1085</v>
      </c>
      <c r="E430" s="637" t="s">
        <v>1031</v>
      </c>
      <c r="F430" s="636">
        <v>15371</v>
      </c>
      <c r="G430" s="637" t="s">
        <v>81</v>
      </c>
      <c r="H430" s="637" t="s">
        <v>1163</v>
      </c>
      <c r="I430" s="637" t="s">
        <v>58</v>
      </c>
      <c r="J430" s="636">
        <v>22</v>
      </c>
      <c r="K430" s="636">
        <v>1</v>
      </c>
      <c r="L430" s="637" t="s">
        <v>34</v>
      </c>
      <c r="M430" s="637" t="s">
        <v>71</v>
      </c>
      <c r="N430" s="637" t="s">
        <v>72</v>
      </c>
      <c r="O430" s="637" t="s">
        <v>72</v>
      </c>
      <c r="P430" s="637" t="s">
        <v>1156</v>
      </c>
      <c r="Q430" s="638">
        <v>0</v>
      </c>
      <c r="R430" s="638">
        <v>0</v>
      </c>
      <c r="S430" s="638">
        <v>8352</v>
      </c>
      <c r="T430" s="638">
        <v>8352</v>
      </c>
      <c r="U430" s="638">
        <v>2448</v>
      </c>
      <c r="V430" s="636">
        <v>2022</v>
      </c>
      <c r="W430" s="640"/>
      <c r="X430" s="641">
        <f t="shared" si="18"/>
        <v>3.4117647058823528</v>
      </c>
      <c r="Y430" s="642" t="str">
        <f t="shared" si="19"/>
        <v/>
      </c>
      <c r="Z430" s="642" t="str">
        <f t="shared" si="20"/>
        <v/>
      </c>
    </row>
    <row r="431" spans="1:26" s="127" customFormat="1" ht="25">
      <c r="A431" s="636">
        <v>7583</v>
      </c>
      <c r="B431" s="637" t="s">
        <v>33</v>
      </c>
      <c r="C431" s="636" t="s">
        <v>2725</v>
      </c>
      <c r="D431" s="637" t="s">
        <v>745</v>
      </c>
      <c r="E431" s="637" t="s">
        <v>118</v>
      </c>
      <c r="F431" s="636">
        <v>5914</v>
      </c>
      <c r="G431" s="637" t="s">
        <v>57</v>
      </c>
      <c r="H431" s="637" t="s">
        <v>1162</v>
      </c>
      <c r="I431" s="637" t="s">
        <v>58</v>
      </c>
      <c r="J431" s="636">
        <v>22</v>
      </c>
      <c r="K431" s="636">
        <v>2</v>
      </c>
      <c r="L431" s="637" t="s">
        <v>52</v>
      </c>
      <c r="M431" s="637" t="s">
        <v>35</v>
      </c>
      <c r="N431" s="637" t="s">
        <v>36</v>
      </c>
      <c r="O431" s="637" t="s">
        <v>37</v>
      </c>
      <c r="P431" s="637" t="s">
        <v>1156</v>
      </c>
      <c r="Q431" s="638">
        <v>0</v>
      </c>
      <c r="R431" s="638">
        <v>0</v>
      </c>
      <c r="S431" s="638">
        <v>10584</v>
      </c>
      <c r="T431" s="638">
        <v>10584</v>
      </c>
      <c r="U431" s="638">
        <v>3102</v>
      </c>
      <c r="V431" s="636">
        <v>2022</v>
      </c>
      <c r="W431" s="640"/>
      <c r="X431" s="641">
        <f t="shared" si="18"/>
        <v>3.411992263056093</v>
      </c>
      <c r="Y431" s="642" t="str">
        <f t="shared" si="19"/>
        <v/>
      </c>
      <c r="Z431" s="642" t="str">
        <f t="shared" si="20"/>
        <v/>
      </c>
    </row>
    <row r="432" spans="1:26" s="127" customFormat="1" ht="25">
      <c r="A432" s="636">
        <v>7784</v>
      </c>
      <c r="B432" s="637" t="s">
        <v>33</v>
      </c>
      <c r="C432" s="636" t="s">
        <v>2725</v>
      </c>
      <c r="D432" s="637" t="s">
        <v>746</v>
      </c>
      <c r="E432" s="637" t="s">
        <v>1567</v>
      </c>
      <c r="F432" s="636">
        <v>58651</v>
      </c>
      <c r="G432" s="637" t="s">
        <v>57</v>
      </c>
      <c r="H432" s="637" t="s">
        <v>1162</v>
      </c>
      <c r="I432" s="637" t="s">
        <v>58</v>
      </c>
      <c r="J432" s="636">
        <v>22</v>
      </c>
      <c r="K432" s="636">
        <v>2</v>
      </c>
      <c r="L432" s="637" t="s">
        <v>52</v>
      </c>
      <c r="M432" s="637" t="s">
        <v>38</v>
      </c>
      <c r="N432" s="637" t="s">
        <v>39</v>
      </c>
      <c r="O432" s="637" t="s">
        <v>39</v>
      </c>
      <c r="P432" s="637" t="s">
        <v>1020</v>
      </c>
      <c r="Q432" s="638">
        <v>29716</v>
      </c>
      <c r="R432" s="638">
        <v>29716</v>
      </c>
      <c r="S432" s="638">
        <v>30606</v>
      </c>
      <c r="T432" s="638">
        <v>30606</v>
      </c>
      <c r="U432" s="638">
        <v>12348</v>
      </c>
      <c r="V432" s="636">
        <v>2022</v>
      </c>
      <c r="W432" s="640"/>
      <c r="X432" s="641">
        <f t="shared" si="18"/>
        <v>2.4786200194363461</v>
      </c>
      <c r="Y432" s="642" t="str">
        <f t="shared" si="19"/>
        <v/>
      </c>
      <c r="Z432" s="642" t="str">
        <f t="shared" si="20"/>
        <v/>
      </c>
    </row>
    <row r="433" spans="1:26" s="127" customFormat="1" ht="25">
      <c r="A433" s="636">
        <v>7784</v>
      </c>
      <c r="B433" s="637" t="s">
        <v>33</v>
      </c>
      <c r="C433" s="636" t="s">
        <v>2725</v>
      </c>
      <c r="D433" s="637" t="s">
        <v>746</v>
      </c>
      <c r="E433" s="637" t="s">
        <v>1567</v>
      </c>
      <c r="F433" s="636">
        <v>58651</v>
      </c>
      <c r="G433" s="637" t="s">
        <v>57</v>
      </c>
      <c r="H433" s="637" t="s">
        <v>1162</v>
      </c>
      <c r="I433" s="637" t="s">
        <v>58</v>
      </c>
      <c r="J433" s="636">
        <v>22</v>
      </c>
      <c r="K433" s="636">
        <v>2</v>
      </c>
      <c r="L433" s="637" t="s">
        <v>52</v>
      </c>
      <c r="M433" s="637" t="s">
        <v>41</v>
      </c>
      <c r="N433" s="637" t="s">
        <v>39</v>
      </c>
      <c r="O433" s="637" t="s">
        <v>39</v>
      </c>
      <c r="P433" s="637" t="s">
        <v>1020</v>
      </c>
      <c r="Q433" s="638">
        <v>306300</v>
      </c>
      <c r="R433" s="638">
        <v>306300</v>
      </c>
      <c r="S433" s="638">
        <v>315488</v>
      </c>
      <c r="T433" s="638">
        <v>315488</v>
      </c>
      <c r="U433" s="638">
        <v>31616</v>
      </c>
      <c r="V433" s="636">
        <v>2022</v>
      </c>
      <c r="W433" s="640"/>
      <c r="X433" s="641">
        <f t="shared" si="18"/>
        <v>9.9787449392712553</v>
      </c>
      <c r="Y433" s="642" t="str">
        <f t="shared" si="19"/>
        <v/>
      </c>
      <c r="Z433" s="642" t="str">
        <f t="shared" si="20"/>
        <v/>
      </c>
    </row>
    <row r="434" spans="1:26" s="127" customFormat="1" ht="25">
      <c r="A434" s="636">
        <v>7869</v>
      </c>
      <c r="B434" s="637" t="s">
        <v>33</v>
      </c>
      <c r="C434" s="636" t="s">
        <v>2725</v>
      </c>
      <c r="D434" s="637" t="s">
        <v>747</v>
      </c>
      <c r="E434" s="637" t="s">
        <v>618</v>
      </c>
      <c r="F434" s="636">
        <v>56505</v>
      </c>
      <c r="G434" s="637" t="s">
        <v>57</v>
      </c>
      <c r="H434" s="637" t="s">
        <v>1162</v>
      </c>
      <c r="I434" s="637" t="s">
        <v>58</v>
      </c>
      <c r="J434" s="636">
        <v>22</v>
      </c>
      <c r="K434" s="636">
        <v>1</v>
      </c>
      <c r="L434" s="637" t="s">
        <v>34</v>
      </c>
      <c r="M434" s="637" t="s">
        <v>50</v>
      </c>
      <c r="N434" s="637" t="s">
        <v>46</v>
      </c>
      <c r="O434" s="637" t="s">
        <v>46</v>
      </c>
      <c r="P434" s="637" t="s">
        <v>47</v>
      </c>
      <c r="Q434" s="638">
        <v>0</v>
      </c>
      <c r="R434" s="638">
        <v>0</v>
      </c>
      <c r="S434" s="638">
        <v>0</v>
      </c>
      <c r="T434" s="638">
        <v>0</v>
      </c>
      <c r="U434" s="638">
        <v>0</v>
      </c>
      <c r="V434" s="636">
        <v>2022</v>
      </c>
      <c r="W434" s="640" t="s">
        <v>3934</v>
      </c>
      <c r="X434" s="641" t="str">
        <f t="shared" si="18"/>
        <v/>
      </c>
      <c r="Y434" s="642" t="str">
        <f t="shared" si="19"/>
        <v/>
      </c>
      <c r="Z434" s="642" t="str">
        <f t="shared" si="20"/>
        <v/>
      </c>
    </row>
    <row r="435" spans="1:26" s="127" customFormat="1" ht="25">
      <c r="A435" s="636">
        <v>7869</v>
      </c>
      <c r="B435" s="637" t="s">
        <v>33</v>
      </c>
      <c r="C435" s="636" t="s">
        <v>2725</v>
      </c>
      <c r="D435" s="637" t="s">
        <v>747</v>
      </c>
      <c r="E435" s="637" t="s">
        <v>618</v>
      </c>
      <c r="F435" s="636">
        <v>56505</v>
      </c>
      <c r="G435" s="637" t="s">
        <v>57</v>
      </c>
      <c r="H435" s="637" t="s">
        <v>1162</v>
      </c>
      <c r="I435" s="637" t="s">
        <v>58</v>
      </c>
      <c r="J435" s="636">
        <v>22</v>
      </c>
      <c r="K435" s="636">
        <v>1</v>
      </c>
      <c r="L435" s="637" t="s">
        <v>34</v>
      </c>
      <c r="M435" s="637" t="s">
        <v>50</v>
      </c>
      <c r="N435" s="637" t="s">
        <v>76</v>
      </c>
      <c r="O435" s="637" t="s">
        <v>67</v>
      </c>
      <c r="P435" s="637" t="s">
        <v>47</v>
      </c>
      <c r="Q435" s="638">
        <v>7439</v>
      </c>
      <c r="R435" s="638">
        <v>7439</v>
      </c>
      <c r="S435" s="638">
        <v>42208</v>
      </c>
      <c r="T435" s="638">
        <v>42208</v>
      </c>
      <c r="U435" s="638">
        <v>4109.6729999999998</v>
      </c>
      <c r="V435" s="636">
        <v>2022</v>
      </c>
      <c r="W435" s="640" t="s">
        <v>3934</v>
      </c>
      <c r="X435" s="641">
        <f t="shared" si="18"/>
        <v>10.270403508989645</v>
      </c>
      <c r="Y435" s="642" t="str">
        <f t="shared" si="19"/>
        <v/>
      </c>
      <c r="Z435" s="642" t="str">
        <f t="shared" si="20"/>
        <v/>
      </c>
    </row>
    <row r="436" spans="1:26" s="127" customFormat="1" ht="25">
      <c r="A436" s="636">
        <v>7869</v>
      </c>
      <c r="B436" s="637" t="s">
        <v>33</v>
      </c>
      <c r="C436" s="636" t="s">
        <v>2725</v>
      </c>
      <c r="D436" s="637" t="s">
        <v>747</v>
      </c>
      <c r="E436" s="637" t="s">
        <v>618</v>
      </c>
      <c r="F436" s="636">
        <v>56505</v>
      </c>
      <c r="G436" s="637" t="s">
        <v>57</v>
      </c>
      <c r="H436" s="637" t="s">
        <v>1162</v>
      </c>
      <c r="I436" s="637" t="s">
        <v>58</v>
      </c>
      <c r="J436" s="636">
        <v>22</v>
      </c>
      <c r="K436" s="636">
        <v>1</v>
      </c>
      <c r="L436" s="637" t="s">
        <v>34</v>
      </c>
      <c r="M436" s="637" t="s">
        <v>50</v>
      </c>
      <c r="N436" s="637" t="s">
        <v>39</v>
      </c>
      <c r="O436" s="637" t="s">
        <v>39</v>
      </c>
      <c r="P436" s="637" t="s">
        <v>1020</v>
      </c>
      <c r="Q436" s="638">
        <v>1990270</v>
      </c>
      <c r="R436" s="638">
        <v>1990270</v>
      </c>
      <c r="S436" s="638">
        <v>2049979</v>
      </c>
      <c r="T436" s="638">
        <v>2049979</v>
      </c>
      <c r="U436" s="638">
        <v>199596.33</v>
      </c>
      <c r="V436" s="636">
        <v>2022</v>
      </c>
      <c r="W436" s="640" t="s">
        <v>3934</v>
      </c>
      <c r="X436" s="641">
        <f t="shared" si="18"/>
        <v>10.270624715394316</v>
      </c>
      <c r="Y436" s="642" t="str">
        <f t="shared" si="19"/>
        <v/>
      </c>
      <c r="Z436" s="642" t="str">
        <f t="shared" si="20"/>
        <v/>
      </c>
    </row>
    <row r="437" spans="1:26" s="127" customFormat="1" ht="25">
      <c r="A437" s="636">
        <v>7909</v>
      </c>
      <c r="B437" s="637" t="s">
        <v>33</v>
      </c>
      <c r="C437" s="636" t="s">
        <v>2725</v>
      </c>
      <c r="D437" s="637" t="s">
        <v>28</v>
      </c>
      <c r="E437" s="637" t="s">
        <v>56</v>
      </c>
      <c r="F437" s="636">
        <v>15296</v>
      </c>
      <c r="G437" s="637" t="s">
        <v>57</v>
      </c>
      <c r="H437" s="637" t="s">
        <v>1162</v>
      </c>
      <c r="I437" s="637" t="s">
        <v>58</v>
      </c>
      <c r="J437" s="636">
        <v>22</v>
      </c>
      <c r="K437" s="636">
        <v>1</v>
      </c>
      <c r="L437" s="637" t="s">
        <v>34</v>
      </c>
      <c r="M437" s="637" t="s">
        <v>50</v>
      </c>
      <c r="N437" s="637" t="s">
        <v>39</v>
      </c>
      <c r="O437" s="637" t="s">
        <v>39</v>
      </c>
      <c r="P437" s="637" t="s">
        <v>1020</v>
      </c>
      <c r="Q437" s="638">
        <v>1305598</v>
      </c>
      <c r="R437" s="638">
        <v>1305598</v>
      </c>
      <c r="S437" s="638">
        <v>1347376</v>
      </c>
      <c r="T437" s="638">
        <v>1347376</v>
      </c>
      <c r="U437" s="638">
        <v>123002</v>
      </c>
      <c r="V437" s="636">
        <v>2022</v>
      </c>
      <c r="W437" s="640" t="s">
        <v>3934</v>
      </c>
      <c r="X437" s="641">
        <f t="shared" si="18"/>
        <v>10.954098307344596</v>
      </c>
      <c r="Y437" s="642" t="str">
        <f t="shared" si="19"/>
        <v/>
      </c>
      <c r="Z437" s="642" t="str">
        <f t="shared" si="20"/>
        <v/>
      </c>
    </row>
    <row r="438" spans="1:26" s="127" customFormat="1" ht="25">
      <c r="A438" s="636">
        <v>7910</v>
      </c>
      <c r="B438" s="637" t="s">
        <v>33</v>
      </c>
      <c r="C438" s="636" t="s">
        <v>2725</v>
      </c>
      <c r="D438" s="637" t="s">
        <v>1032</v>
      </c>
      <c r="E438" s="637" t="s">
        <v>56</v>
      </c>
      <c r="F438" s="636">
        <v>15296</v>
      </c>
      <c r="G438" s="637" t="s">
        <v>57</v>
      </c>
      <c r="H438" s="637" t="s">
        <v>1162</v>
      </c>
      <c r="I438" s="637" t="s">
        <v>58</v>
      </c>
      <c r="J438" s="636">
        <v>22</v>
      </c>
      <c r="K438" s="636">
        <v>1</v>
      </c>
      <c r="L438" s="637" t="s">
        <v>34</v>
      </c>
      <c r="M438" s="637" t="s">
        <v>50</v>
      </c>
      <c r="N438" s="637" t="s">
        <v>39</v>
      </c>
      <c r="O438" s="637" t="s">
        <v>39</v>
      </c>
      <c r="P438" s="637" t="s">
        <v>1020</v>
      </c>
      <c r="Q438" s="638">
        <v>1248622</v>
      </c>
      <c r="R438" s="638">
        <v>1248622</v>
      </c>
      <c r="S438" s="638">
        <v>1291074</v>
      </c>
      <c r="T438" s="638">
        <v>1291074</v>
      </c>
      <c r="U438" s="638">
        <v>113933</v>
      </c>
      <c r="V438" s="636">
        <v>2022</v>
      </c>
      <c r="W438" s="640" t="s">
        <v>3934</v>
      </c>
      <c r="X438" s="641">
        <f t="shared" si="18"/>
        <v>11.331870485285211</v>
      </c>
      <c r="Y438" s="642" t="str">
        <f t="shared" si="19"/>
        <v/>
      </c>
      <c r="Z438" s="642" t="str">
        <f t="shared" si="20"/>
        <v/>
      </c>
    </row>
    <row r="439" spans="1:26" s="127" customFormat="1" ht="25">
      <c r="A439" s="636">
        <v>7912</v>
      </c>
      <c r="B439" s="637" t="s">
        <v>33</v>
      </c>
      <c r="C439" s="636" t="s">
        <v>2725</v>
      </c>
      <c r="D439" s="637" t="s">
        <v>29</v>
      </c>
      <c r="E439" s="637" t="s">
        <v>56</v>
      </c>
      <c r="F439" s="636">
        <v>15296</v>
      </c>
      <c r="G439" s="637" t="s">
        <v>57</v>
      </c>
      <c r="H439" s="637" t="s">
        <v>1162</v>
      </c>
      <c r="I439" s="637" t="s">
        <v>58</v>
      </c>
      <c r="J439" s="636">
        <v>22</v>
      </c>
      <c r="K439" s="636">
        <v>1</v>
      </c>
      <c r="L439" s="637" t="s">
        <v>34</v>
      </c>
      <c r="M439" s="637" t="s">
        <v>50</v>
      </c>
      <c r="N439" s="637" t="s">
        <v>39</v>
      </c>
      <c r="O439" s="637" t="s">
        <v>39</v>
      </c>
      <c r="P439" s="637" t="s">
        <v>1020</v>
      </c>
      <c r="Q439" s="638">
        <v>725497</v>
      </c>
      <c r="R439" s="638">
        <v>725497</v>
      </c>
      <c r="S439" s="638">
        <v>745811</v>
      </c>
      <c r="T439" s="638">
        <v>745811</v>
      </c>
      <c r="U439" s="638">
        <v>67723.001999999993</v>
      </c>
      <c r="V439" s="636">
        <v>2022</v>
      </c>
      <c r="W439" s="640" t="s">
        <v>3934</v>
      </c>
      <c r="X439" s="641">
        <f t="shared" si="18"/>
        <v>11.012668930417469</v>
      </c>
      <c r="Y439" s="642" t="str">
        <f t="shared" si="19"/>
        <v/>
      </c>
      <c r="Z439" s="642" t="str">
        <f t="shared" si="20"/>
        <v/>
      </c>
    </row>
    <row r="440" spans="1:26" s="127" customFormat="1" ht="25">
      <c r="A440" s="636">
        <v>7913</v>
      </c>
      <c r="B440" s="637" t="s">
        <v>33</v>
      </c>
      <c r="C440" s="636" t="s">
        <v>2725</v>
      </c>
      <c r="D440" s="637" t="s">
        <v>30</v>
      </c>
      <c r="E440" s="637" t="s">
        <v>56</v>
      </c>
      <c r="F440" s="636">
        <v>15296</v>
      </c>
      <c r="G440" s="637" t="s">
        <v>57</v>
      </c>
      <c r="H440" s="637" t="s">
        <v>1162</v>
      </c>
      <c r="I440" s="637" t="s">
        <v>58</v>
      </c>
      <c r="J440" s="636">
        <v>22</v>
      </c>
      <c r="K440" s="636">
        <v>1</v>
      </c>
      <c r="L440" s="637" t="s">
        <v>34</v>
      </c>
      <c r="M440" s="637" t="s">
        <v>50</v>
      </c>
      <c r="N440" s="637" t="s">
        <v>39</v>
      </c>
      <c r="O440" s="637" t="s">
        <v>39</v>
      </c>
      <c r="P440" s="637" t="s">
        <v>1020</v>
      </c>
      <c r="Q440" s="638">
        <v>1169223</v>
      </c>
      <c r="R440" s="638">
        <v>1169223</v>
      </c>
      <c r="S440" s="638">
        <v>1200792</v>
      </c>
      <c r="T440" s="638">
        <v>1200792</v>
      </c>
      <c r="U440" s="638">
        <v>110115</v>
      </c>
      <c r="V440" s="636">
        <v>2022</v>
      </c>
      <c r="W440" s="640" t="s">
        <v>3934</v>
      </c>
      <c r="X440" s="641">
        <f t="shared" si="18"/>
        <v>10.904890341915271</v>
      </c>
      <c r="Y440" s="642" t="str">
        <f t="shared" si="19"/>
        <v/>
      </c>
      <c r="Z440" s="642" t="str">
        <f t="shared" si="20"/>
        <v/>
      </c>
    </row>
    <row r="441" spans="1:26" s="127" customFormat="1" ht="25">
      <c r="A441" s="636">
        <v>7914</v>
      </c>
      <c r="B441" s="637" t="s">
        <v>33</v>
      </c>
      <c r="C441" s="636" t="s">
        <v>2725</v>
      </c>
      <c r="D441" s="637" t="s">
        <v>31</v>
      </c>
      <c r="E441" s="637" t="s">
        <v>56</v>
      </c>
      <c r="F441" s="636">
        <v>15296</v>
      </c>
      <c r="G441" s="637" t="s">
        <v>57</v>
      </c>
      <c r="H441" s="637" t="s">
        <v>1162</v>
      </c>
      <c r="I441" s="637" t="s">
        <v>58</v>
      </c>
      <c r="J441" s="636">
        <v>22</v>
      </c>
      <c r="K441" s="636">
        <v>1</v>
      </c>
      <c r="L441" s="637" t="s">
        <v>34</v>
      </c>
      <c r="M441" s="637" t="s">
        <v>50</v>
      </c>
      <c r="N441" s="637" t="s">
        <v>39</v>
      </c>
      <c r="O441" s="637" t="s">
        <v>39</v>
      </c>
      <c r="P441" s="637" t="s">
        <v>1020</v>
      </c>
      <c r="Q441" s="638">
        <v>1225512</v>
      </c>
      <c r="R441" s="638">
        <v>1225512</v>
      </c>
      <c r="S441" s="638">
        <v>1258599</v>
      </c>
      <c r="T441" s="638">
        <v>1258599</v>
      </c>
      <c r="U441" s="638">
        <v>115482</v>
      </c>
      <c r="V441" s="636">
        <v>2022</v>
      </c>
      <c r="W441" s="640" t="s">
        <v>3934</v>
      </c>
      <c r="X441" s="641">
        <f t="shared" si="18"/>
        <v>10.898659531355536</v>
      </c>
      <c r="Y441" s="642" t="str">
        <f t="shared" si="19"/>
        <v/>
      </c>
      <c r="Z441" s="642" t="str">
        <f t="shared" si="20"/>
        <v/>
      </c>
    </row>
    <row r="442" spans="1:26" s="127" customFormat="1" ht="25">
      <c r="A442" s="636">
        <v>7915</v>
      </c>
      <c r="B442" s="637" t="s">
        <v>33</v>
      </c>
      <c r="C442" s="636" t="s">
        <v>2725</v>
      </c>
      <c r="D442" s="637" t="s">
        <v>32</v>
      </c>
      <c r="E442" s="637" t="s">
        <v>56</v>
      </c>
      <c r="F442" s="636">
        <v>15296</v>
      </c>
      <c r="G442" s="637" t="s">
        <v>57</v>
      </c>
      <c r="H442" s="637" t="s">
        <v>1162</v>
      </c>
      <c r="I442" s="637" t="s">
        <v>58</v>
      </c>
      <c r="J442" s="636">
        <v>22</v>
      </c>
      <c r="K442" s="636">
        <v>1</v>
      </c>
      <c r="L442" s="637" t="s">
        <v>34</v>
      </c>
      <c r="M442" s="637" t="s">
        <v>50</v>
      </c>
      <c r="N442" s="637" t="s">
        <v>39</v>
      </c>
      <c r="O442" s="637" t="s">
        <v>39</v>
      </c>
      <c r="P442" s="637" t="s">
        <v>1020</v>
      </c>
      <c r="Q442" s="638">
        <v>744244</v>
      </c>
      <c r="R442" s="638">
        <v>744244</v>
      </c>
      <c r="S442" s="638">
        <v>770292</v>
      </c>
      <c r="T442" s="638">
        <v>770292</v>
      </c>
      <c r="U442" s="638">
        <v>70738</v>
      </c>
      <c r="V442" s="636">
        <v>2022</v>
      </c>
      <c r="W442" s="640" t="s">
        <v>3934</v>
      </c>
      <c r="X442" s="641">
        <f t="shared" si="18"/>
        <v>10.889366394300094</v>
      </c>
      <c r="Y442" s="642" t="str">
        <f t="shared" si="19"/>
        <v/>
      </c>
      <c r="Z442" s="642" t="str">
        <f t="shared" si="20"/>
        <v/>
      </c>
    </row>
    <row r="443" spans="1:26" s="127" customFormat="1" ht="25">
      <c r="A443" s="636">
        <v>8002</v>
      </c>
      <c r="B443" s="637" t="s">
        <v>33</v>
      </c>
      <c r="C443" s="636" t="s">
        <v>2725</v>
      </c>
      <c r="D443" s="637" t="s">
        <v>145</v>
      </c>
      <c r="E443" s="637" t="s">
        <v>2265</v>
      </c>
      <c r="F443" s="636">
        <v>62032</v>
      </c>
      <c r="G443" s="637" t="s">
        <v>96</v>
      </c>
      <c r="H443" s="637" t="s">
        <v>1163</v>
      </c>
      <c r="I443" s="637" t="s">
        <v>58</v>
      </c>
      <c r="J443" s="636">
        <v>22</v>
      </c>
      <c r="K443" s="636">
        <v>2</v>
      </c>
      <c r="L443" s="637" t="s">
        <v>52</v>
      </c>
      <c r="M443" s="637" t="s">
        <v>42</v>
      </c>
      <c r="N443" s="637" t="s">
        <v>46</v>
      </c>
      <c r="O443" s="637" t="s">
        <v>46</v>
      </c>
      <c r="P443" s="637" t="s">
        <v>47</v>
      </c>
      <c r="Q443" s="638">
        <v>2418</v>
      </c>
      <c r="R443" s="638">
        <v>2418</v>
      </c>
      <c r="S443" s="638">
        <v>14025</v>
      </c>
      <c r="T443" s="638">
        <v>14025</v>
      </c>
      <c r="U443" s="638">
        <v>1155.039</v>
      </c>
      <c r="V443" s="636">
        <v>2022</v>
      </c>
      <c r="W443" s="640" t="s">
        <v>3934</v>
      </c>
      <c r="X443" s="641">
        <f t="shared" si="18"/>
        <v>12.142447138148583</v>
      </c>
      <c r="Y443" s="642" t="str">
        <f t="shared" si="19"/>
        <v/>
      </c>
      <c r="Z443" s="642" t="str">
        <f t="shared" si="20"/>
        <v/>
      </c>
    </row>
    <row r="444" spans="1:26" s="127" customFormat="1" ht="25">
      <c r="A444" s="636">
        <v>8002</v>
      </c>
      <c r="B444" s="637" t="s">
        <v>33</v>
      </c>
      <c r="C444" s="636" t="s">
        <v>2725</v>
      </c>
      <c r="D444" s="637" t="s">
        <v>145</v>
      </c>
      <c r="E444" s="637" t="s">
        <v>2265</v>
      </c>
      <c r="F444" s="636">
        <v>62032</v>
      </c>
      <c r="G444" s="637" t="s">
        <v>96</v>
      </c>
      <c r="H444" s="637" t="s">
        <v>1163</v>
      </c>
      <c r="I444" s="637" t="s">
        <v>58</v>
      </c>
      <c r="J444" s="636">
        <v>22</v>
      </c>
      <c r="K444" s="636">
        <v>2</v>
      </c>
      <c r="L444" s="637" t="s">
        <v>52</v>
      </c>
      <c r="M444" s="637" t="s">
        <v>42</v>
      </c>
      <c r="N444" s="637" t="s">
        <v>39</v>
      </c>
      <c r="O444" s="637" t="s">
        <v>39</v>
      </c>
      <c r="P444" s="637" t="s">
        <v>1020</v>
      </c>
      <c r="Q444" s="638">
        <v>403000</v>
      </c>
      <c r="R444" s="638">
        <v>403000</v>
      </c>
      <c r="S444" s="638">
        <v>419120</v>
      </c>
      <c r="T444" s="638">
        <v>419120</v>
      </c>
      <c r="U444" s="638">
        <v>32850.951000000001</v>
      </c>
      <c r="V444" s="636">
        <v>2022</v>
      </c>
      <c r="W444" s="640" t="s">
        <v>3934</v>
      </c>
      <c r="X444" s="641">
        <f t="shared" si="18"/>
        <v>12.758230347730267</v>
      </c>
      <c r="Y444" s="642" t="str">
        <f t="shared" si="19"/>
        <v/>
      </c>
      <c r="Z444" s="642" t="str">
        <f t="shared" si="20"/>
        <v/>
      </c>
    </row>
    <row r="445" spans="1:26" s="127" customFormat="1" ht="25">
      <c r="A445" s="636">
        <v>8002</v>
      </c>
      <c r="B445" s="637" t="s">
        <v>33</v>
      </c>
      <c r="C445" s="636" t="s">
        <v>2725</v>
      </c>
      <c r="D445" s="637" t="s">
        <v>145</v>
      </c>
      <c r="E445" s="637" t="s">
        <v>2265</v>
      </c>
      <c r="F445" s="636">
        <v>62032</v>
      </c>
      <c r="G445" s="637" t="s">
        <v>96</v>
      </c>
      <c r="H445" s="637" t="s">
        <v>1163</v>
      </c>
      <c r="I445" s="637" t="s">
        <v>58</v>
      </c>
      <c r="J445" s="636">
        <v>22</v>
      </c>
      <c r="K445" s="636">
        <v>2</v>
      </c>
      <c r="L445" s="637" t="s">
        <v>52</v>
      </c>
      <c r="M445" s="637" t="s">
        <v>42</v>
      </c>
      <c r="N445" s="637" t="s">
        <v>61</v>
      </c>
      <c r="O445" s="637" t="s">
        <v>61</v>
      </c>
      <c r="P445" s="637" t="s">
        <v>47</v>
      </c>
      <c r="Q445" s="638">
        <v>193901</v>
      </c>
      <c r="R445" s="638">
        <v>193901</v>
      </c>
      <c r="S445" s="638">
        <v>1211841</v>
      </c>
      <c r="T445" s="638">
        <v>1211841</v>
      </c>
      <c r="U445" s="638">
        <v>103557.01</v>
      </c>
      <c r="V445" s="636">
        <v>2022</v>
      </c>
      <c r="W445" s="640" t="s">
        <v>3934</v>
      </c>
      <c r="X445" s="641">
        <f t="shared" si="18"/>
        <v>11.702162895587659</v>
      </c>
      <c r="Y445" s="642" t="str">
        <f t="shared" si="19"/>
        <v/>
      </c>
      <c r="Z445" s="642" t="str">
        <f t="shared" si="20"/>
        <v/>
      </c>
    </row>
    <row r="446" spans="1:26" s="127" customFormat="1" ht="25">
      <c r="A446" s="636">
        <v>8004</v>
      </c>
      <c r="B446" s="637" t="s">
        <v>33</v>
      </c>
      <c r="C446" s="636" t="s">
        <v>2725</v>
      </c>
      <c r="D446" s="637" t="s">
        <v>748</v>
      </c>
      <c r="E446" s="637" t="s">
        <v>1172</v>
      </c>
      <c r="F446" s="636">
        <v>54765</v>
      </c>
      <c r="G446" s="637" t="s">
        <v>81</v>
      </c>
      <c r="H446" s="637" t="s">
        <v>1163</v>
      </c>
      <c r="I446" s="637" t="s">
        <v>58</v>
      </c>
      <c r="J446" s="636">
        <v>22</v>
      </c>
      <c r="K446" s="636">
        <v>2</v>
      </c>
      <c r="L446" s="637" t="s">
        <v>52</v>
      </c>
      <c r="M446" s="637" t="s">
        <v>35</v>
      </c>
      <c r="N446" s="637" t="s">
        <v>36</v>
      </c>
      <c r="O446" s="637" t="s">
        <v>37</v>
      </c>
      <c r="P446" s="637" t="s">
        <v>1156</v>
      </c>
      <c r="Q446" s="638">
        <v>0</v>
      </c>
      <c r="R446" s="638">
        <v>0</v>
      </c>
      <c r="S446" s="638">
        <v>84614</v>
      </c>
      <c r="T446" s="638">
        <v>84614</v>
      </c>
      <c r="U446" s="638">
        <v>24799</v>
      </c>
      <c r="V446" s="636">
        <v>2022</v>
      </c>
      <c r="W446" s="640"/>
      <c r="X446" s="641">
        <f t="shared" si="18"/>
        <v>3.4119924190491551</v>
      </c>
      <c r="Y446" s="642" t="str">
        <f t="shared" si="19"/>
        <v/>
      </c>
      <c r="Z446" s="642" t="str">
        <f t="shared" si="20"/>
        <v/>
      </c>
    </row>
    <row r="447" spans="1:26" s="127" customFormat="1" ht="25">
      <c r="A447" s="636">
        <v>8005</v>
      </c>
      <c r="B447" s="637" t="s">
        <v>33</v>
      </c>
      <c r="C447" s="636" t="s">
        <v>2725</v>
      </c>
      <c r="D447" s="637" t="s">
        <v>147</v>
      </c>
      <c r="E447" s="637" t="s">
        <v>1172</v>
      </c>
      <c r="F447" s="636">
        <v>54765</v>
      </c>
      <c r="G447" s="637" t="s">
        <v>81</v>
      </c>
      <c r="H447" s="637" t="s">
        <v>1163</v>
      </c>
      <c r="I447" s="637" t="s">
        <v>58</v>
      </c>
      <c r="J447" s="636">
        <v>22</v>
      </c>
      <c r="K447" s="636">
        <v>2</v>
      </c>
      <c r="L447" s="637" t="s">
        <v>52</v>
      </c>
      <c r="M447" s="637" t="s">
        <v>59</v>
      </c>
      <c r="N447" s="637" t="s">
        <v>36</v>
      </c>
      <c r="O447" s="637" t="s">
        <v>60</v>
      </c>
      <c r="P447" s="637" t="s">
        <v>2726</v>
      </c>
      <c r="Q447" s="638">
        <v>636623</v>
      </c>
      <c r="R447" s="638">
        <v>636623</v>
      </c>
      <c r="S447" s="638">
        <v>0</v>
      </c>
      <c r="T447" s="638">
        <v>0</v>
      </c>
      <c r="U447" s="638">
        <v>-129268</v>
      </c>
      <c r="V447" s="636">
        <v>2022</v>
      </c>
      <c r="W447" s="640"/>
      <c r="X447" s="641" t="str">
        <f t="shared" si="18"/>
        <v/>
      </c>
      <c r="Y447" s="642" t="str">
        <f t="shared" si="19"/>
        <v/>
      </c>
      <c r="Z447" s="642" t="str">
        <f t="shared" si="20"/>
        <v/>
      </c>
    </row>
    <row r="448" spans="1:26" s="127" customFormat="1" ht="25">
      <c r="A448" s="636">
        <v>8006</v>
      </c>
      <c r="B448" s="637" t="s">
        <v>33</v>
      </c>
      <c r="C448" s="636" t="s">
        <v>2725</v>
      </c>
      <c r="D448" s="637" t="s">
        <v>1173</v>
      </c>
      <c r="E448" s="637" t="s">
        <v>1149</v>
      </c>
      <c r="F448" s="636">
        <v>5511</v>
      </c>
      <c r="G448" s="637" t="s">
        <v>57</v>
      </c>
      <c r="H448" s="637" t="s">
        <v>1162</v>
      </c>
      <c r="I448" s="637" t="s">
        <v>58</v>
      </c>
      <c r="J448" s="636">
        <v>22</v>
      </c>
      <c r="K448" s="636">
        <v>2</v>
      </c>
      <c r="L448" s="637" t="s">
        <v>52</v>
      </c>
      <c r="M448" s="637" t="s">
        <v>42</v>
      </c>
      <c r="N448" s="637" t="s">
        <v>46</v>
      </c>
      <c r="O448" s="637" t="s">
        <v>46</v>
      </c>
      <c r="P448" s="637" t="s">
        <v>47</v>
      </c>
      <c r="Q448" s="638">
        <v>0</v>
      </c>
      <c r="R448" s="638">
        <v>0</v>
      </c>
      <c r="S448" s="638">
        <v>0</v>
      </c>
      <c r="T448" s="638">
        <v>0</v>
      </c>
      <c r="U448" s="638">
        <v>0</v>
      </c>
      <c r="V448" s="636">
        <v>2022</v>
      </c>
      <c r="W448" s="640" t="s">
        <v>3934</v>
      </c>
      <c r="X448" s="641" t="str">
        <f t="shared" si="18"/>
        <v/>
      </c>
      <c r="Y448" s="642" t="str">
        <f t="shared" si="19"/>
        <v/>
      </c>
      <c r="Z448" s="642" t="str">
        <f t="shared" si="20"/>
        <v/>
      </c>
    </row>
    <row r="449" spans="1:26" s="127" customFormat="1" ht="25">
      <c r="A449" s="636">
        <v>8006</v>
      </c>
      <c r="B449" s="637" t="s">
        <v>33</v>
      </c>
      <c r="C449" s="636" t="s">
        <v>2725</v>
      </c>
      <c r="D449" s="637" t="s">
        <v>1173</v>
      </c>
      <c r="E449" s="637" t="s">
        <v>1149</v>
      </c>
      <c r="F449" s="636">
        <v>5511</v>
      </c>
      <c r="G449" s="637" t="s">
        <v>57</v>
      </c>
      <c r="H449" s="637" t="s">
        <v>1162</v>
      </c>
      <c r="I449" s="637" t="s">
        <v>58</v>
      </c>
      <c r="J449" s="636">
        <v>22</v>
      </c>
      <c r="K449" s="636">
        <v>2</v>
      </c>
      <c r="L449" s="637" t="s">
        <v>52</v>
      </c>
      <c r="M449" s="637" t="s">
        <v>42</v>
      </c>
      <c r="N449" s="637" t="s">
        <v>39</v>
      </c>
      <c r="O449" s="637" t="s">
        <v>39</v>
      </c>
      <c r="P449" s="637" t="s">
        <v>1020</v>
      </c>
      <c r="Q449" s="638">
        <v>2199678</v>
      </c>
      <c r="R449" s="638">
        <v>2199678</v>
      </c>
      <c r="S449" s="638">
        <v>2221674</v>
      </c>
      <c r="T449" s="638">
        <v>2221674</v>
      </c>
      <c r="U449" s="638">
        <v>192385.01</v>
      </c>
      <c r="V449" s="636">
        <v>2022</v>
      </c>
      <c r="W449" s="640" t="s">
        <v>3934</v>
      </c>
      <c r="X449" s="641">
        <f t="shared" si="18"/>
        <v>11.548061878625575</v>
      </c>
      <c r="Y449" s="642" t="str">
        <f t="shared" si="19"/>
        <v/>
      </c>
      <c r="Z449" s="642" t="str">
        <f t="shared" si="20"/>
        <v/>
      </c>
    </row>
    <row r="450" spans="1:26" s="127" customFormat="1" ht="25">
      <c r="A450" s="636">
        <v>8006</v>
      </c>
      <c r="B450" s="637" t="s">
        <v>33</v>
      </c>
      <c r="C450" s="636" t="s">
        <v>2725</v>
      </c>
      <c r="D450" s="637" t="s">
        <v>1173</v>
      </c>
      <c r="E450" s="637" t="s">
        <v>1149</v>
      </c>
      <c r="F450" s="636">
        <v>5511</v>
      </c>
      <c r="G450" s="637" t="s">
        <v>57</v>
      </c>
      <c r="H450" s="637" t="s">
        <v>1162</v>
      </c>
      <c r="I450" s="637" t="s">
        <v>58</v>
      </c>
      <c r="J450" s="636">
        <v>22</v>
      </c>
      <c r="K450" s="636">
        <v>2</v>
      </c>
      <c r="L450" s="637" t="s">
        <v>52</v>
      </c>
      <c r="M450" s="637" t="s">
        <v>42</v>
      </c>
      <c r="N450" s="637" t="s">
        <v>61</v>
      </c>
      <c r="O450" s="637" t="s">
        <v>61</v>
      </c>
      <c r="P450" s="637" t="s">
        <v>47</v>
      </c>
      <c r="Q450" s="638">
        <v>460660</v>
      </c>
      <c r="R450" s="638">
        <v>460660</v>
      </c>
      <c r="S450" s="638">
        <v>2935376</v>
      </c>
      <c r="T450" s="638">
        <v>2935376</v>
      </c>
      <c r="U450" s="638">
        <v>285342.99</v>
      </c>
      <c r="V450" s="636">
        <v>2022</v>
      </c>
      <c r="W450" s="640" t="s">
        <v>3934</v>
      </c>
      <c r="X450" s="641">
        <f t="shared" si="18"/>
        <v>10.28718455638248</v>
      </c>
      <c r="Y450" s="642" t="str">
        <f t="shared" si="19"/>
        <v/>
      </c>
      <c r="Z450" s="642" t="str">
        <f t="shared" si="20"/>
        <v/>
      </c>
    </row>
    <row r="451" spans="1:26" s="127" customFormat="1" ht="25">
      <c r="A451" s="636">
        <v>8007</v>
      </c>
      <c r="B451" s="637" t="s">
        <v>33</v>
      </c>
      <c r="C451" s="636" t="s">
        <v>2725</v>
      </c>
      <c r="D451" s="637" t="s">
        <v>148</v>
      </c>
      <c r="E451" s="637" t="s">
        <v>618</v>
      </c>
      <c r="F451" s="636">
        <v>56505</v>
      </c>
      <c r="G451" s="637" t="s">
        <v>57</v>
      </c>
      <c r="H451" s="637" t="s">
        <v>1162</v>
      </c>
      <c r="I451" s="637" t="s">
        <v>58</v>
      </c>
      <c r="J451" s="636">
        <v>22</v>
      </c>
      <c r="K451" s="636">
        <v>1</v>
      </c>
      <c r="L451" s="637" t="s">
        <v>34</v>
      </c>
      <c r="M451" s="637" t="s">
        <v>50</v>
      </c>
      <c r="N451" s="637" t="s">
        <v>46</v>
      </c>
      <c r="O451" s="637" t="s">
        <v>46</v>
      </c>
      <c r="P451" s="637" t="s">
        <v>47</v>
      </c>
      <c r="Q451" s="638">
        <v>0</v>
      </c>
      <c r="R451" s="638">
        <v>0</v>
      </c>
      <c r="S451" s="638">
        <v>0</v>
      </c>
      <c r="T451" s="638">
        <v>0</v>
      </c>
      <c r="U451" s="638">
        <v>0</v>
      </c>
      <c r="V451" s="636">
        <v>2022</v>
      </c>
      <c r="W451" s="640" t="s">
        <v>3934</v>
      </c>
      <c r="X451" s="641" t="str">
        <f t="shared" si="18"/>
        <v/>
      </c>
      <c r="Y451" s="642" t="str">
        <f t="shared" si="19"/>
        <v/>
      </c>
      <c r="Z451" s="642" t="str">
        <f t="shared" si="20"/>
        <v/>
      </c>
    </row>
    <row r="452" spans="1:26" s="127" customFormat="1" ht="25">
      <c r="A452" s="636">
        <v>8007</v>
      </c>
      <c r="B452" s="637" t="s">
        <v>33</v>
      </c>
      <c r="C452" s="636" t="s">
        <v>2725</v>
      </c>
      <c r="D452" s="637" t="s">
        <v>148</v>
      </c>
      <c r="E452" s="637" t="s">
        <v>618</v>
      </c>
      <c r="F452" s="636">
        <v>56505</v>
      </c>
      <c r="G452" s="637" t="s">
        <v>57</v>
      </c>
      <c r="H452" s="637" t="s">
        <v>1162</v>
      </c>
      <c r="I452" s="637" t="s">
        <v>58</v>
      </c>
      <c r="J452" s="636">
        <v>22</v>
      </c>
      <c r="K452" s="636">
        <v>1</v>
      </c>
      <c r="L452" s="637" t="s">
        <v>34</v>
      </c>
      <c r="M452" s="637" t="s">
        <v>50</v>
      </c>
      <c r="N452" s="637" t="s">
        <v>76</v>
      </c>
      <c r="O452" s="637" t="s">
        <v>67</v>
      </c>
      <c r="P452" s="637" t="s">
        <v>47</v>
      </c>
      <c r="Q452" s="638">
        <v>80851</v>
      </c>
      <c r="R452" s="638">
        <v>80851</v>
      </c>
      <c r="S452" s="638">
        <v>460769</v>
      </c>
      <c r="T452" s="638">
        <v>460769</v>
      </c>
      <c r="U452" s="638">
        <v>29653</v>
      </c>
      <c r="V452" s="636">
        <v>2022</v>
      </c>
      <c r="W452" s="640" t="s">
        <v>3934</v>
      </c>
      <c r="X452" s="641">
        <f t="shared" si="18"/>
        <v>15.538697602266213</v>
      </c>
      <c r="Y452" s="642" t="str">
        <f t="shared" si="19"/>
        <v/>
      </c>
      <c r="Z452" s="642" t="str">
        <f t="shared" si="20"/>
        <v/>
      </c>
    </row>
    <row r="453" spans="1:26" s="127" customFormat="1" ht="25">
      <c r="A453" s="636">
        <v>8053</v>
      </c>
      <c r="B453" s="637" t="s">
        <v>33</v>
      </c>
      <c r="C453" s="636" t="s">
        <v>2725</v>
      </c>
      <c r="D453" s="637" t="s">
        <v>749</v>
      </c>
      <c r="E453" s="637" t="s">
        <v>56</v>
      </c>
      <c r="F453" s="636">
        <v>15296</v>
      </c>
      <c r="G453" s="637" t="s">
        <v>57</v>
      </c>
      <c r="H453" s="637" t="s">
        <v>1162</v>
      </c>
      <c r="I453" s="637" t="s">
        <v>58</v>
      </c>
      <c r="J453" s="636">
        <v>22</v>
      </c>
      <c r="K453" s="636">
        <v>1</v>
      </c>
      <c r="L453" s="637" t="s">
        <v>34</v>
      </c>
      <c r="M453" s="637" t="s">
        <v>50</v>
      </c>
      <c r="N453" s="637" t="s">
        <v>39</v>
      </c>
      <c r="O453" s="637" t="s">
        <v>39</v>
      </c>
      <c r="P453" s="637" t="s">
        <v>1020</v>
      </c>
      <c r="Q453" s="638">
        <v>631646</v>
      </c>
      <c r="R453" s="638">
        <v>631646</v>
      </c>
      <c r="S453" s="638">
        <v>659440</v>
      </c>
      <c r="T453" s="638">
        <v>659440</v>
      </c>
      <c r="U453" s="638">
        <v>60080</v>
      </c>
      <c r="V453" s="636">
        <v>2022</v>
      </c>
      <c r="W453" s="640" t="s">
        <v>3934</v>
      </c>
      <c r="X453" s="641">
        <f t="shared" si="18"/>
        <v>10.976031957390147</v>
      </c>
      <c r="Y453" s="642" t="str">
        <f t="shared" si="19"/>
        <v/>
      </c>
      <c r="Z453" s="642" t="str">
        <f t="shared" si="20"/>
        <v/>
      </c>
    </row>
    <row r="454" spans="1:26" s="127" customFormat="1" ht="25">
      <c r="A454" s="636">
        <v>8824</v>
      </c>
      <c r="B454" s="637" t="s">
        <v>33</v>
      </c>
      <c r="C454" s="636" t="s">
        <v>2725</v>
      </c>
      <c r="D454" s="637" t="s">
        <v>149</v>
      </c>
      <c r="E454" s="637" t="s">
        <v>107</v>
      </c>
      <c r="F454" s="636">
        <v>4226</v>
      </c>
      <c r="G454" s="637" t="s">
        <v>57</v>
      </c>
      <c r="H454" s="637" t="s">
        <v>1162</v>
      </c>
      <c r="I454" s="637" t="s">
        <v>1156</v>
      </c>
      <c r="J454" s="636">
        <v>22</v>
      </c>
      <c r="K454" s="636">
        <v>1</v>
      </c>
      <c r="L454" s="637" t="s">
        <v>34</v>
      </c>
      <c r="M454" s="637" t="s">
        <v>42</v>
      </c>
      <c r="N454" s="637" t="s">
        <v>61</v>
      </c>
      <c r="O454" s="637" t="s">
        <v>61</v>
      </c>
      <c r="P454" s="637" t="s">
        <v>47</v>
      </c>
      <c r="Q454" s="638">
        <v>0</v>
      </c>
      <c r="R454" s="638">
        <v>0</v>
      </c>
      <c r="S454" s="638">
        <v>0</v>
      </c>
      <c r="T454" s="638">
        <v>0</v>
      </c>
      <c r="U454" s="638">
        <v>0</v>
      </c>
      <c r="V454" s="636">
        <v>2022</v>
      </c>
      <c r="W454" s="640"/>
      <c r="X454" s="641" t="str">
        <f t="shared" si="18"/>
        <v/>
      </c>
      <c r="Y454" s="642" t="str">
        <f t="shared" si="19"/>
        <v/>
      </c>
      <c r="Z454" s="642" t="str">
        <f t="shared" si="20"/>
        <v/>
      </c>
    </row>
    <row r="455" spans="1:26" s="127" customFormat="1" ht="25">
      <c r="A455" s="636">
        <v>8858</v>
      </c>
      <c r="B455" s="637" t="s">
        <v>33</v>
      </c>
      <c r="C455" s="636" t="s">
        <v>2725</v>
      </c>
      <c r="D455" s="637" t="s">
        <v>3275</v>
      </c>
      <c r="E455" s="637" t="s">
        <v>87</v>
      </c>
      <c r="F455" s="636">
        <v>15452</v>
      </c>
      <c r="G455" s="637" t="s">
        <v>130</v>
      </c>
      <c r="H455" s="637" t="s">
        <v>1163</v>
      </c>
      <c r="I455" s="637" t="s">
        <v>1156</v>
      </c>
      <c r="J455" s="636">
        <v>22</v>
      </c>
      <c r="K455" s="636">
        <v>2</v>
      </c>
      <c r="L455" s="637" t="s">
        <v>52</v>
      </c>
      <c r="M455" s="637" t="s">
        <v>42</v>
      </c>
      <c r="N455" s="637" t="s">
        <v>48</v>
      </c>
      <c r="O455" s="637" t="s">
        <v>44</v>
      </c>
      <c r="P455" s="637" t="s">
        <v>45</v>
      </c>
      <c r="Q455" s="638">
        <v>0</v>
      </c>
      <c r="R455" s="638">
        <v>0</v>
      </c>
      <c r="S455" s="638">
        <v>0</v>
      </c>
      <c r="T455" s="638">
        <v>0</v>
      </c>
      <c r="U455" s="638">
        <v>0</v>
      </c>
      <c r="V455" s="636">
        <v>2022</v>
      </c>
      <c r="W455" s="640"/>
      <c r="X455" s="641" t="str">
        <f t="shared" si="18"/>
        <v/>
      </c>
      <c r="Y455" s="642" t="str">
        <f t="shared" si="19"/>
        <v/>
      </c>
      <c r="Z455" s="642" t="str">
        <f t="shared" si="20"/>
        <v/>
      </c>
    </row>
    <row r="456" spans="1:26" s="127" customFormat="1" ht="25">
      <c r="A456" s="636">
        <v>8906</v>
      </c>
      <c r="B456" s="637" t="s">
        <v>33</v>
      </c>
      <c r="C456" s="636" t="s">
        <v>2725</v>
      </c>
      <c r="D456" s="637" t="s">
        <v>150</v>
      </c>
      <c r="E456" s="637" t="s">
        <v>109</v>
      </c>
      <c r="F456" s="636">
        <v>54863</v>
      </c>
      <c r="G456" s="637" t="s">
        <v>57</v>
      </c>
      <c r="H456" s="637" t="s">
        <v>1162</v>
      </c>
      <c r="I456" s="637" t="s">
        <v>58</v>
      </c>
      <c r="J456" s="636">
        <v>22</v>
      </c>
      <c r="K456" s="636">
        <v>2</v>
      </c>
      <c r="L456" s="637" t="s">
        <v>52</v>
      </c>
      <c r="M456" s="637" t="s">
        <v>50</v>
      </c>
      <c r="N456" s="637" t="s">
        <v>39</v>
      </c>
      <c r="O456" s="637" t="s">
        <v>39</v>
      </c>
      <c r="P456" s="637" t="s">
        <v>1020</v>
      </c>
      <c r="Q456" s="638">
        <v>25938</v>
      </c>
      <c r="R456" s="638">
        <v>25938</v>
      </c>
      <c r="S456" s="638">
        <v>26666</v>
      </c>
      <c r="T456" s="638">
        <v>26666</v>
      </c>
      <c r="U456" s="638">
        <v>1039</v>
      </c>
      <c r="V456" s="636">
        <v>2022</v>
      </c>
      <c r="W456" s="640" t="s">
        <v>3934</v>
      </c>
      <c r="X456" s="641">
        <f t="shared" ref="X456:X519" si="21">IF(OR(K456&gt;3,T456=0,NOT(U456&gt;0)),"",T456/U456)</f>
        <v>25.665062560153995</v>
      </c>
      <c r="Y456" s="642" t="str">
        <f t="shared" ref="Y456:Y519" si="22">IF(AND($M456=$Y$2,$N456=$Y$3,NOT($Q456=$R456),NOT($U456=0)),IF($K456=5,$S456/($U456+(8/5)*$U456),IF($K456=7,$S456/($U456+(29/25)*$U456),"")),"")</f>
        <v/>
      </c>
      <c r="Z456" s="642" t="str">
        <f t="shared" si="20"/>
        <v/>
      </c>
    </row>
    <row r="457" spans="1:26" s="127" customFormat="1" ht="25">
      <c r="A457" s="636">
        <v>8906</v>
      </c>
      <c r="B457" s="637" t="s">
        <v>33</v>
      </c>
      <c r="C457" s="636" t="s">
        <v>2725</v>
      </c>
      <c r="D457" s="637" t="s">
        <v>150</v>
      </c>
      <c r="E457" s="637" t="s">
        <v>109</v>
      </c>
      <c r="F457" s="636">
        <v>54863</v>
      </c>
      <c r="G457" s="637" t="s">
        <v>57</v>
      </c>
      <c r="H457" s="637" t="s">
        <v>1162</v>
      </c>
      <c r="I457" s="637" t="s">
        <v>58</v>
      </c>
      <c r="J457" s="636">
        <v>22</v>
      </c>
      <c r="K457" s="636">
        <v>2</v>
      </c>
      <c r="L457" s="637" t="s">
        <v>52</v>
      </c>
      <c r="M457" s="637" t="s">
        <v>42</v>
      </c>
      <c r="N457" s="637" t="s">
        <v>46</v>
      </c>
      <c r="O457" s="637" t="s">
        <v>46</v>
      </c>
      <c r="P457" s="637" t="s">
        <v>47</v>
      </c>
      <c r="Q457" s="638">
        <v>0</v>
      </c>
      <c r="R457" s="638">
        <v>0</v>
      </c>
      <c r="S457" s="638">
        <v>0</v>
      </c>
      <c r="T457" s="638">
        <v>0</v>
      </c>
      <c r="U457" s="638">
        <v>0</v>
      </c>
      <c r="V457" s="636">
        <v>2022</v>
      </c>
      <c r="W457" s="640" t="s">
        <v>3934</v>
      </c>
      <c r="X457" s="641" t="str">
        <f t="shared" si="21"/>
        <v/>
      </c>
      <c r="Y457" s="642" t="str">
        <f t="shared" si="22"/>
        <v/>
      </c>
      <c r="Z457" s="642" t="str">
        <f t="shared" si="20"/>
        <v/>
      </c>
    </row>
    <row r="458" spans="1:26" s="127" customFormat="1" ht="25">
      <c r="A458" s="636">
        <v>8906</v>
      </c>
      <c r="B458" s="637" t="s">
        <v>33</v>
      </c>
      <c r="C458" s="636" t="s">
        <v>2725</v>
      </c>
      <c r="D458" s="637" t="s">
        <v>150</v>
      </c>
      <c r="E458" s="637" t="s">
        <v>109</v>
      </c>
      <c r="F458" s="636">
        <v>54863</v>
      </c>
      <c r="G458" s="637" t="s">
        <v>57</v>
      </c>
      <c r="H458" s="637" t="s">
        <v>1162</v>
      </c>
      <c r="I458" s="637" t="s">
        <v>58</v>
      </c>
      <c r="J458" s="636">
        <v>22</v>
      </c>
      <c r="K458" s="636">
        <v>2</v>
      </c>
      <c r="L458" s="637" t="s">
        <v>52</v>
      </c>
      <c r="M458" s="637" t="s">
        <v>42</v>
      </c>
      <c r="N458" s="637" t="s">
        <v>39</v>
      </c>
      <c r="O458" s="637" t="s">
        <v>39</v>
      </c>
      <c r="P458" s="637" t="s">
        <v>1020</v>
      </c>
      <c r="Q458" s="638">
        <v>9303694</v>
      </c>
      <c r="R458" s="638">
        <v>9303694</v>
      </c>
      <c r="S458" s="638">
        <v>9564199</v>
      </c>
      <c r="T458" s="638">
        <v>9564199</v>
      </c>
      <c r="U458" s="638">
        <v>749335.19</v>
      </c>
      <c r="V458" s="636">
        <v>2022</v>
      </c>
      <c r="W458" s="640" t="s">
        <v>3934</v>
      </c>
      <c r="X458" s="641">
        <f t="shared" si="21"/>
        <v>12.763579140064142</v>
      </c>
      <c r="Y458" s="642" t="str">
        <f t="shared" si="22"/>
        <v/>
      </c>
      <c r="Z458" s="642" t="str">
        <f t="shared" si="20"/>
        <v/>
      </c>
    </row>
    <row r="459" spans="1:26" s="127" customFormat="1" ht="25">
      <c r="A459" s="636">
        <v>8906</v>
      </c>
      <c r="B459" s="637" t="s">
        <v>33</v>
      </c>
      <c r="C459" s="636" t="s">
        <v>2725</v>
      </c>
      <c r="D459" s="637" t="s">
        <v>150</v>
      </c>
      <c r="E459" s="637" t="s">
        <v>109</v>
      </c>
      <c r="F459" s="636">
        <v>54863</v>
      </c>
      <c r="G459" s="637" t="s">
        <v>57</v>
      </c>
      <c r="H459" s="637" t="s">
        <v>1162</v>
      </c>
      <c r="I459" s="637" t="s">
        <v>58</v>
      </c>
      <c r="J459" s="636">
        <v>22</v>
      </c>
      <c r="K459" s="636">
        <v>2</v>
      </c>
      <c r="L459" s="637" t="s">
        <v>52</v>
      </c>
      <c r="M459" s="637" t="s">
        <v>42</v>
      </c>
      <c r="N459" s="637" t="s">
        <v>61</v>
      </c>
      <c r="O459" s="637" t="s">
        <v>61</v>
      </c>
      <c r="P459" s="637" t="s">
        <v>47</v>
      </c>
      <c r="Q459" s="638">
        <v>160872</v>
      </c>
      <c r="R459" s="638">
        <v>160872</v>
      </c>
      <c r="S459" s="638">
        <v>1011402</v>
      </c>
      <c r="T459" s="638">
        <v>1011402</v>
      </c>
      <c r="U459" s="638">
        <v>78447.81</v>
      </c>
      <c r="V459" s="636">
        <v>2022</v>
      </c>
      <c r="W459" s="640" t="s">
        <v>3934</v>
      </c>
      <c r="X459" s="641">
        <f t="shared" si="21"/>
        <v>12.892673485722547</v>
      </c>
      <c r="Y459" s="642" t="str">
        <f t="shared" si="22"/>
        <v/>
      </c>
      <c r="Z459" s="642" t="str">
        <f t="shared" si="20"/>
        <v/>
      </c>
    </row>
    <row r="460" spans="1:26" s="127" customFormat="1" ht="25">
      <c r="A460" s="636">
        <v>9038</v>
      </c>
      <c r="B460" s="637" t="s">
        <v>33</v>
      </c>
      <c r="C460" s="636" t="s">
        <v>2725</v>
      </c>
      <c r="D460" s="637" t="s">
        <v>750</v>
      </c>
      <c r="E460" s="637" t="s">
        <v>1568</v>
      </c>
      <c r="F460" s="636">
        <v>8973</v>
      </c>
      <c r="G460" s="637" t="s">
        <v>81</v>
      </c>
      <c r="H460" s="637" t="s">
        <v>1163</v>
      </c>
      <c r="I460" s="637" t="s">
        <v>58</v>
      </c>
      <c r="J460" s="636">
        <v>22</v>
      </c>
      <c r="K460" s="636">
        <v>1</v>
      </c>
      <c r="L460" s="637" t="s">
        <v>34</v>
      </c>
      <c r="M460" s="637" t="s">
        <v>51</v>
      </c>
      <c r="N460" s="637" t="s">
        <v>46</v>
      </c>
      <c r="O460" s="637" t="s">
        <v>46</v>
      </c>
      <c r="P460" s="637" t="s">
        <v>47</v>
      </c>
      <c r="Q460" s="638">
        <v>466</v>
      </c>
      <c r="R460" s="638">
        <v>466</v>
      </c>
      <c r="S460" s="638">
        <v>2716</v>
      </c>
      <c r="T460" s="638">
        <v>2716</v>
      </c>
      <c r="U460" s="638">
        <v>241.125</v>
      </c>
      <c r="V460" s="636">
        <v>2022</v>
      </c>
      <c r="W460" s="640"/>
      <c r="X460" s="641">
        <f t="shared" si="21"/>
        <v>11.263867288750648</v>
      </c>
      <c r="Y460" s="642" t="str">
        <f t="shared" si="22"/>
        <v/>
      </c>
      <c r="Z460" s="642" t="str">
        <f t="shared" si="20"/>
        <v/>
      </c>
    </row>
    <row r="461" spans="1:26" s="127" customFormat="1" ht="25">
      <c r="A461" s="636">
        <v>9038</v>
      </c>
      <c r="B461" s="637" t="s">
        <v>33</v>
      </c>
      <c r="C461" s="636" t="s">
        <v>2725</v>
      </c>
      <c r="D461" s="637" t="s">
        <v>750</v>
      </c>
      <c r="E461" s="637" t="s">
        <v>1568</v>
      </c>
      <c r="F461" s="636">
        <v>8973</v>
      </c>
      <c r="G461" s="637" t="s">
        <v>81</v>
      </c>
      <c r="H461" s="637" t="s">
        <v>1163</v>
      </c>
      <c r="I461" s="637" t="s">
        <v>58</v>
      </c>
      <c r="J461" s="636">
        <v>22</v>
      </c>
      <c r="K461" s="636">
        <v>1</v>
      </c>
      <c r="L461" s="637" t="s">
        <v>34</v>
      </c>
      <c r="M461" s="637" t="s">
        <v>51</v>
      </c>
      <c r="N461" s="637" t="s">
        <v>39</v>
      </c>
      <c r="O461" s="637" t="s">
        <v>39</v>
      </c>
      <c r="P461" s="637" t="s">
        <v>1020</v>
      </c>
      <c r="Q461" s="638">
        <v>4405</v>
      </c>
      <c r="R461" s="638">
        <v>4405</v>
      </c>
      <c r="S461" s="638">
        <v>4542</v>
      </c>
      <c r="T461" s="638">
        <v>4542</v>
      </c>
      <c r="U461" s="638">
        <v>402.875</v>
      </c>
      <c r="V461" s="636">
        <v>2022</v>
      </c>
      <c r="W461" s="640"/>
      <c r="X461" s="641">
        <f t="shared" si="21"/>
        <v>11.273968352466646</v>
      </c>
      <c r="Y461" s="642" t="str">
        <f t="shared" si="22"/>
        <v/>
      </c>
      <c r="Z461" s="642" t="str">
        <f t="shared" si="20"/>
        <v/>
      </c>
    </row>
    <row r="462" spans="1:26" s="127" customFormat="1" ht="25">
      <c r="A462" s="636">
        <v>9864</v>
      </c>
      <c r="B462" s="637" t="s">
        <v>33</v>
      </c>
      <c r="C462" s="636" t="s">
        <v>2725</v>
      </c>
      <c r="D462" s="637" t="s">
        <v>751</v>
      </c>
      <c r="E462" s="637" t="s">
        <v>592</v>
      </c>
      <c r="F462" s="636">
        <v>8776</v>
      </c>
      <c r="G462" s="637" t="s">
        <v>81</v>
      </c>
      <c r="H462" s="637" t="s">
        <v>1163</v>
      </c>
      <c r="I462" s="637" t="s">
        <v>58</v>
      </c>
      <c r="J462" s="636">
        <v>22</v>
      </c>
      <c r="K462" s="636">
        <v>1</v>
      </c>
      <c r="L462" s="637" t="s">
        <v>34</v>
      </c>
      <c r="M462" s="637" t="s">
        <v>35</v>
      </c>
      <c r="N462" s="637" t="s">
        <v>36</v>
      </c>
      <c r="O462" s="637" t="s">
        <v>37</v>
      </c>
      <c r="P462" s="637" t="s">
        <v>1156</v>
      </c>
      <c r="Q462" s="638">
        <v>0</v>
      </c>
      <c r="R462" s="638">
        <v>0</v>
      </c>
      <c r="S462" s="638">
        <v>8458</v>
      </c>
      <c r="T462" s="638">
        <v>8458</v>
      </c>
      <c r="U462" s="638">
        <v>2479</v>
      </c>
      <c r="V462" s="636">
        <v>2022</v>
      </c>
      <c r="W462" s="640"/>
      <c r="X462" s="641">
        <f t="shared" si="21"/>
        <v>3.4118596208148446</v>
      </c>
      <c r="Y462" s="642" t="str">
        <f t="shared" si="22"/>
        <v/>
      </c>
      <c r="Z462" s="642" t="str">
        <f t="shared" si="20"/>
        <v/>
      </c>
    </row>
    <row r="463" spans="1:26" s="127" customFormat="1" ht="25">
      <c r="A463" s="636">
        <v>9864</v>
      </c>
      <c r="B463" s="637" t="s">
        <v>33</v>
      </c>
      <c r="C463" s="636" t="s">
        <v>2725</v>
      </c>
      <c r="D463" s="637" t="s">
        <v>751</v>
      </c>
      <c r="E463" s="637" t="s">
        <v>592</v>
      </c>
      <c r="F463" s="636">
        <v>8776</v>
      </c>
      <c r="G463" s="637" t="s">
        <v>81</v>
      </c>
      <c r="H463" s="637" t="s">
        <v>1163</v>
      </c>
      <c r="I463" s="637" t="s">
        <v>58</v>
      </c>
      <c r="J463" s="636">
        <v>22</v>
      </c>
      <c r="K463" s="636">
        <v>1</v>
      </c>
      <c r="L463" s="637" t="s">
        <v>34</v>
      </c>
      <c r="M463" s="637" t="s">
        <v>42</v>
      </c>
      <c r="N463" s="637" t="s">
        <v>46</v>
      </c>
      <c r="O463" s="637" t="s">
        <v>46</v>
      </c>
      <c r="P463" s="637" t="s">
        <v>47</v>
      </c>
      <c r="Q463" s="638">
        <v>0</v>
      </c>
      <c r="R463" s="638">
        <v>0</v>
      </c>
      <c r="S463" s="638">
        <v>0</v>
      </c>
      <c r="T463" s="638">
        <v>0</v>
      </c>
      <c r="U463" s="638">
        <v>0</v>
      </c>
      <c r="V463" s="636">
        <v>2022</v>
      </c>
      <c r="W463" s="640"/>
      <c r="X463" s="641" t="str">
        <f t="shared" si="21"/>
        <v/>
      </c>
      <c r="Y463" s="642" t="str">
        <f t="shared" si="22"/>
        <v/>
      </c>
      <c r="Z463" s="642" t="str">
        <f t="shared" si="20"/>
        <v/>
      </c>
    </row>
    <row r="464" spans="1:26" s="127" customFormat="1" ht="25">
      <c r="A464" s="636">
        <v>9864</v>
      </c>
      <c r="B464" s="637" t="s">
        <v>33</v>
      </c>
      <c r="C464" s="636" t="s">
        <v>2725</v>
      </c>
      <c r="D464" s="637" t="s">
        <v>751</v>
      </c>
      <c r="E464" s="637" t="s">
        <v>592</v>
      </c>
      <c r="F464" s="636">
        <v>8776</v>
      </c>
      <c r="G464" s="637" t="s">
        <v>81</v>
      </c>
      <c r="H464" s="637" t="s">
        <v>1163</v>
      </c>
      <c r="I464" s="637" t="s">
        <v>58</v>
      </c>
      <c r="J464" s="636">
        <v>22</v>
      </c>
      <c r="K464" s="636">
        <v>1</v>
      </c>
      <c r="L464" s="637" t="s">
        <v>34</v>
      </c>
      <c r="M464" s="637" t="s">
        <v>42</v>
      </c>
      <c r="N464" s="637" t="s">
        <v>39</v>
      </c>
      <c r="O464" s="637" t="s">
        <v>39</v>
      </c>
      <c r="P464" s="637" t="s">
        <v>1020</v>
      </c>
      <c r="Q464" s="638">
        <v>0</v>
      </c>
      <c r="R464" s="638">
        <v>0</v>
      </c>
      <c r="S464" s="638">
        <v>0</v>
      </c>
      <c r="T464" s="638">
        <v>0</v>
      </c>
      <c r="U464" s="638">
        <v>0</v>
      </c>
      <c r="V464" s="636">
        <v>2022</v>
      </c>
      <c r="W464" s="640"/>
      <c r="X464" s="641" t="str">
        <f t="shared" si="21"/>
        <v/>
      </c>
      <c r="Y464" s="642" t="str">
        <f t="shared" si="22"/>
        <v/>
      </c>
      <c r="Z464" s="642" t="str">
        <f t="shared" ref="Z464:Z527" si="23">IF(AND($M464=$Y$2,$N464=$Y$4,NOT($Q464=$R464),NOT($U464=0)),IF($K464=5,$S464/($U464+(8/5)*$U464),IF($K464=7,$S464/($U464+(29/25)*$U464),"")),"")</f>
        <v/>
      </c>
    </row>
    <row r="465" spans="1:26" s="127" customFormat="1" ht="25">
      <c r="A465" s="636">
        <v>9864</v>
      </c>
      <c r="B465" s="637" t="s">
        <v>33</v>
      </c>
      <c r="C465" s="636" t="s">
        <v>2725</v>
      </c>
      <c r="D465" s="637" t="s">
        <v>751</v>
      </c>
      <c r="E465" s="637" t="s">
        <v>592</v>
      </c>
      <c r="F465" s="636">
        <v>8776</v>
      </c>
      <c r="G465" s="637" t="s">
        <v>81</v>
      </c>
      <c r="H465" s="637" t="s">
        <v>1163</v>
      </c>
      <c r="I465" s="637" t="s">
        <v>58</v>
      </c>
      <c r="J465" s="636">
        <v>22</v>
      </c>
      <c r="K465" s="636">
        <v>1</v>
      </c>
      <c r="L465" s="637" t="s">
        <v>34</v>
      </c>
      <c r="M465" s="637" t="s">
        <v>42</v>
      </c>
      <c r="N465" s="637" t="s">
        <v>61</v>
      </c>
      <c r="O465" s="637" t="s">
        <v>61</v>
      </c>
      <c r="P465" s="637" t="s">
        <v>47</v>
      </c>
      <c r="Q465" s="638">
        <v>0</v>
      </c>
      <c r="R465" s="638">
        <v>0</v>
      </c>
      <c r="S465" s="638">
        <v>0</v>
      </c>
      <c r="T465" s="638">
        <v>0</v>
      </c>
      <c r="U465" s="638">
        <v>0</v>
      </c>
      <c r="V465" s="636">
        <v>2022</v>
      </c>
      <c r="W465" s="640"/>
      <c r="X465" s="641" t="str">
        <f t="shared" si="21"/>
        <v/>
      </c>
      <c r="Y465" s="642" t="str">
        <f t="shared" si="22"/>
        <v/>
      </c>
      <c r="Z465" s="642" t="str">
        <f t="shared" si="23"/>
        <v/>
      </c>
    </row>
    <row r="466" spans="1:26" s="127" customFormat="1" ht="37.5" hidden="1">
      <c r="A466" s="636">
        <v>10025</v>
      </c>
      <c r="B466" s="637" t="s">
        <v>54</v>
      </c>
      <c r="C466" s="636" t="s">
        <v>2725</v>
      </c>
      <c r="D466" s="637" t="s">
        <v>1370</v>
      </c>
      <c r="E466" s="637" t="s">
        <v>1370</v>
      </c>
      <c r="F466" s="636">
        <v>5624</v>
      </c>
      <c r="G466" s="637" t="s">
        <v>57</v>
      </c>
      <c r="H466" s="637" t="s">
        <v>1162</v>
      </c>
      <c r="I466" s="637" t="s">
        <v>58</v>
      </c>
      <c r="J466" s="636">
        <v>339</v>
      </c>
      <c r="K466" s="636">
        <v>7</v>
      </c>
      <c r="L466" s="637" t="s">
        <v>403</v>
      </c>
      <c r="M466" s="637" t="s">
        <v>35</v>
      </c>
      <c r="N466" s="637" t="s">
        <v>36</v>
      </c>
      <c r="O466" s="637" t="s">
        <v>37</v>
      </c>
      <c r="P466" s="637" t="s">
        <v>1156</v>
      </c>
      <c r="Q466" s="638">
        <v>0</v>
      </c>
      <c r="R466" s="638">
        <v>0</v>
      </c>
      <c r="S466" s="638">
        <v>0</v>
      </c>
      <c r="T466" s="638">
        <v>0</v>
      </c>
      <c r="U466" s="638">
        <v>0</v>
      </c>
      <c r="V466" s="636">
        <v>2022</v>
      </c>
      <c r="W466" s="640"/>
      <c r="X466" s="641" t="str">
        <f t="shared" si="21"/>
        <v/>
      </c>
      <c r="Y466" s="642" t="str">
        <f t="shared" si="22"/>
        <v/>
      </c>
      <c r="Z466" s="642" t="str">
        <f t="shared" si="23"/>
        <v/>
      </c>
    </row>
    <row r="467" spans="1:26" s="127" customFormat="1" ht="37.5" hidden="1">
      <c r="A467" s="636">
        <v>10025</v>
      </c>
      <c r="B467" s="637" t="s">
        <v>54</v>
      </c>
      <c r="C467" s="636" t="s">
        <v>2725</v>
      </c>
      <c r="D467" s="637" t="s">
        <v>1370</v>
      </c>
      <c r="E467" s="637" t="s">
        <v>1370</v>
      </c>
      <c r="F467" s="636">
        <v>5624</v>
      </c>
      <c r="G467" s="637" t="s">
        <v>57</v>
      </c>
      <c r="H467" s="637" t="s">
        <v>1162</v>
      </c>
      <c r="I467" s="637" t="s">
        <v>58</v>
      </c>
      <c r="J467" s="636">
        <v>339</v>
      </c>
      <c r="K467" s="636">
        <v>7</v>
      </c>
      <c r="L467" s="637" t="s">
        <v>403</v>
      </c>
      <c r="M467" s="637" t="s">
        <v>42</v>
      </c>
      <c r="N467" s="637" t="s">
        <v>43</v>
      </c>
      <c r="O467" s="637" t="s">
        <v>44</v>
      </c>
      <c r="P467" s="637" t="s">
        <v>45</v>
      </c>
      <c r="Q467" s="638">
        <v>0</v>
      </c>
      <c r="R467" s="638">
        <v>0</v>
      </c>
      <c r="S467" s="638">
        <v>0</v>
      </c>
      <c r="T467" s="638">
        <v>0</v>
      </c>
      <c r="U467" s="638">
        <v>0</v>
      </c>
      <c r="V467" s="636">
        <v>2022</v>
      </c>
      <c r="W467" s="640"/>
      <c r="X467" s="641" t="str">
        <f t="shared" si="21"/>
        <v/>
      </c>
      <c r="Y467" s="642" t="str">
        <f t="shared" si="22"/>
        <v/>
      </c>
      <c r="Z467" s="642" t="str">
        <f t="shared" si="23"/>
        <v/>
      </c>
    </row>
    <row r="468" spans="1:26" s="127" customFormat="1" ht="37.5" hidden="1">
      <c r="A468" s="636">
        <v>10025</v>
      </c>
      <c r="B468" s="637" t="s">
        <v>54</v>
      </c>
      <c r="C468" s="636" t="s">
        <v>2725</v>
      </c>
      <c r="D468" s="637" t="s">
        <v>1370</v>
      </c>
      <c r="E468" s="637" t="s">
        <v>1370</v>
      </c>
      <c r="F468" s="636">
        <v>5624</v>
      </c>
      <c r="G468" s="637" t="s">
        <v>57</v>
      </c>
      <c r="H468" s="637" t="s">
        <v>1162</v>
      </c>
      <c r="I468" s="637" t="s">
        <v>58</v>
      </c>
      <c r="J468" s="636">
        <v>339</v>
      </c>
      <c r="K468" s="636">
        <v>7</v>
      </c>
      <c r="L468" s="637" t="s">
        <v>403</v>
      </c>
      <c r="M468" s="637" t="s">
        <v>42</v>
      </c>
      <c r="N468" s="637" t="s">
        <v>46</v>
      </c>
      <c r="O468" s="637" t="s">
        <v>46</v>
      </c>
      <c r="P468" s="637" t="s">
        <v>47</v>
      </c>
      <c r="Q468" s="638">
        <v>101</v>
      </c>
      <c r="R468" s="638">
        <v>30</v>
      </c>
      <c r="S468" s="638">
        <v>587</v>
      </c>
      <c r="T468" s="638">
        <v>177</v>
      </c>
      <c r="U468" s="638">
        <v>24.824000000000002</v>
      </c>
      <c r="V468" s="636">
        <v>2022</v>
      </c>
      <c r="W468" s="640"/>
      <c r="X468" s="641" t="str">
        <f t="shared" si="21"/>
        <v/>
      </c>
      <c r="Y468" s="642" t="str">
        <f t="shared" si="22"/>
        <v/>
      </c>
      <c r="Z468" s="642" t="str">
        <f t="shared" si="23"/>
        <v/>
      </c>
    </row>
    <row r="469" spans="1:26" s="127" customFormat="1" ht="37.5" hidden="1">
      <c r="A469" s="636">
        <v>10025</v>
      </c>
      <c r="B469" s="637" t="s">
        <v>54</v>
      </c>
      <c r="C469" s="636" t="s">
        <v>2725</v>
      </c>
      <c r="D469" s="637" t="s">
        <v>1370</v>
      </c>
      <c r="E469" s="637" t="s">
        <v>1370</v>
      </c>
      <c r="F469" s="636">
        <v>5624</v>
      </c>
      <c r="G469" s="637" t="s">
        <v>57</v>
      </c>
      <c r="H469" s="637" t="s">
        <v>1162</v>
      </c>
      <c r="I469" s="637" t="s">
        <v>58</v>
      </c>
      <c r="J469" s="636">
        <v>339</v>
      </c>
      <c r="K469" s="636">
        <v>7</v>
      </c>
      <c r="L469" s="637" t="s">
        <v>403</v>
      </c>
      <c r="M469" s="637" t="s">
        <v>42</v>
      </c>
      <c r="N469" s="637" t="s">
        <v>39</v>
      </c>
      <c r="O469" s="637" t="s">
        <v>39</v>
      </c>
      <c r="P469" s="637" t="s">
        <v>1020</v>
      </c>
      <c r="Q469" s="638">
        <v>6810348</v>
      </c>
      <c r="R469" s="638">
        <v>2036938</v>
      </c>
      <c r="S469" s="638">
        <v>7014658</v>
      </c>
      <c r="T469" s="638">
        <v>2098046</v>
      </c>
      <c r="U469" s="638">
        <v>291091.18</v>
      </c>
      <c r="V469" s="636">
        <v>2022</v>
      </c>
      <c r="W469" s="640"/>
      <c r="X469" s="641" t="str">
        <f t="shared" si="21"/>
        <v/>
      </c>
      <c r="Y469" s="642" t="str">
        <f t="shared" si="22"/>
        <v/>
      </c>
      <c r="Z469" s="642" t="str">
        <f t="shared" si="23"/>
        <v/>
      </c>
    </row>
    <row r="470" spans="1:26" s="127" customFormat="1" ht="37.5" hidden="1">
      <c r="A470" s="636">
        <v>10025</v>
      </c>
      <c r="B470" s="637" t="s">
        <v>54</v>
      </c>
      <c r="C470" s="636" t="s">
        <v>2725</v>
      </c>
      <c r="D470" s="637" t="s">
        <v>1370</v>
      </c>
      <c r="E470" s="637" t="s">
        <v>1370</v>
      </c>
      <c r="F470" s="636">
        <v>5624</v>
      </c>
      <c r="G470" s="637" t="s">
        <v>57</v>
      </c>
      <c r="H470" s="637" t="s">
        <v>1162</v>
      </c>
      <c r="I470" s="637" t="s">
        <v>58</v>
      </c>
      <c r="J470" s="636">
        <v>339</v>
      </c>
      <c r="K470" s="636">
        <v>7</v>
      </c>
      <c r="L470" s="637" t="s">
        <v>403</v>
      </c>
      <c r="M470" s="637" t="s">
        <v>42</v>
      </c>
      <c r="N470" s="637" t="s">
        <v>61</v>
      </c>
      <c r="O470" s="637" t="s">
        <v>61</v>
      </c>
      <c r="P470" s="637" t="s">
        <v>47</v>
      </c>
      <c r="Q470" s="638">
        <v>0</v>
      </c>
      <c r="R470" s="638">
        <v>0</v>
      </c>
      <c r="S470" s="638">
        <v>0</v>
      </c>
      <c r="T470" s="638">
        <v>0</v>
      </c>
      <c r="U470" s="638">
        <v>0</v>
      </c>
      <c r="V470" s="636">
        <v>2022</v>
      </c>
      <c r="W470" s="640"/>
      <c r="X470" s="641" t="str">
        <f t="shared" si="21"/>
        <v/>
      </c>
      <c r="Y470" s="642" t="str">
        <f t="shared" si="22"/>
        <v/>
      </c>
      <c r="Z470" s="642" t="str">
        <f t="shared" si="23"/>
        <v/>
      </c>
    </row>
    <row r="471" spans="1:26" s="127" customFormat="1" ht="37.5" hidden="1">
      <c r="A471" s="636">
        <v>10029</v>
      </c>
      <c r="B471" s="637" t="s">
        <v>33</v>
      </c>
      <c r="C471" s="636" t="s">
        <v>2725</v>
      </c>
      <c r="D471" s="637" t="s">
        <v>752</v>
      </c>
      <c r="E471" s="637" t="s">
        <v>752</v>
      </c>
      <c r="F471" s="636">
        <v>7049</v>
      </c>
      <c r="G471" s="637" t="s">
        <v>81</v>
      </c>
      <c r="H471" s="637" t="s">
        <v>1163</v>
      </c>
      <c r="I471" s="637" t="s">
        <v>58</v>
      </c>
      <c r="J471" s="636">
        <v>336</v>
      </c>
      <c r="K471" s="636">
        <v>6</v>
      </c>
      <c r="L471" s="637" t="s">
        <v>404</v>
      </c>
      <c r="M471" s="637" t="s">
        <v>441</v>
      </c>
      <c r="N471" s="637" t="s">
        <v>442</v>
      </c>
      <c r="O471" s="637" t="s">
        <v>442</v>
      </c>
      <c r="P471" s="637" t="s">
        <v>1156</v>
      </c>
      <c r="Q471" s="638">
        <v>0</v>
      </c>
      <c r="R471" s="638">
        <v>0</v>
      </c>
      <c r="S471" s="638">
        <v>8328</v>
      </c>
      <c r="T471" s="638">
        <v>8328</v>
      </c>
      <c r="U471" s="638">
        <v>2441</v>
      </c>
      <c r="V471" s="636">
        <v>2022</v>
      </c>
      <c r="W471" s="640"/>
      <c r="X471" s="641" t="str">
        <f t="shared" si="21"/>
        <v/>
      </c>
      <c r="Y471" s="642" t="str">
        <f t="shared" si="22"/>
        <v/>
      </c>
      <c r="Z471" s="642" t="str">
        <f t="shared" si="23"/>
        <v/>
      </c>
    </row>
    <row r="472" spans="1:26" s="127" customFormat="1" ht="37.5" hidden="1">
      <c r="A472" s="636">
        <v>10029</v>
      </c>
      <c r="B472" s="637" t="s">
        <v>33</v>
      </c>
      <c r="C472" s="636" t="s">
        <v>2725</v>
      </c>
      <c r="D472" s="637" t="s">
        <v>752</v>
      </c>
      <c r="E472" s="637" t="s">
        <v>752</v>
      </c>
      <c r="F472" s="636">
        <v>7049</v>
      </c>
      <c r="G472" s="637" t="s">
        <v>81</v>
      </c>
      <c r="H472" s="637" t="s">
        <v>1163</v>
      </c>
      <c r="I472" s="637" t="s">
        <v>58</v>
      </c>
      <c r="J472" s="636">
        <v>336</v>
      </c>
      <c r="K472" s="636">
        <v>6</v>
      </c>
      <c r="L472" s="637" t="s">
        <v>404</v>
      </c>
      <c r="M472" s="637" t="s">
        <v>42</v>
      </c>
      <c r="N472" s="637" t="s">
        <v>46</v>
      </c>
      <c r="O472" s="637" t="s">
        <v>46</v>
      </c>
      <c r="P472" s="637" t="s">
        <v>47</v>
      </c>
      <c r="Q472" s="638">
        <v>0</v>
      </c>
      <c r="R472" s="638">
        <v>0</v>
      </c>
      <c r="S472" s="638">
        <v>0</v>
      </c>
      <c r="T472" s="638">
        <v>0</v>
      </c>
      <c r="U472" s="638">
        <v>0</v>
      </c>
      <c r="V472" s="636">
        <v>2022</v>
      </c>
      <c r="W472" s="640"/>
      <c r="X472" s="641" t="str">
        <f t="shared" si="21"/>
        <v/>
      </c>
      <c r="Y472" s="642" t="str">
        <f t="shared" si="22"/>
        <v/>
      </c>
      <c r="Z472" s="642" t="str">
        <f t="shared" si="23"/>
        <v/>
      </c>
    </row>
    <row r="473" spans="1:26" s="127" customFormat="1" ht="37.5" hidden="1">
      <c r="A473" s="636">
        <v>10029</v>
      </c>
      <c r="B473" s="637" t="s">
        <v>33</v>
      </c>
      <c r="C473" s="636" t="s">
        <v>2725</v>
      </c>
      <c r="D473" s="637" t="s">
        <v>752</v>
      </c>
      <c r="E473" s="637" t="s">
        <v>752</v>
      </c>
      <c r="F473" s="636">
        <v>7049</v>
      </c>
      <c r="G473" s="637" t="s">
        <v>81</v>
      </c>
      <c r="H473" s="637" t="s">
        <v>1163</v>
      </c>
      <c r="I473" s="637" t="s">
        <v>58</v>
      </c>
      <c r="J473" s="636">
        <v>336</v>
      </c>
      <c r="K473" s="636">
        <v>6</v>
      </c>
      <c r="L473" s="637" t="s">
        <v>404</v>
      </c>
      <c r="M473" s="637" t="s">
        <v>42</v>
      </c>
      <c r="N473" s="637" t="s">
        <v>39</v>
      </c>
      <c r="O473" s="637" t="s">
        <v>39</v>
      </c>
      <c r="P473" s="637" t="s">
        <v>1020</v>
      </c>
      <c r="Q473" s="638">
        <v>0</v>
      </c>
      <c r="R473" s="638">
        <v>0</v>
      </c>
      <c r="S473" s="638">
        <v>0</v>
      </c>
      <c r="T473" s="638">
        <v>0</v>
      </c>
      <c r="U473" s="638">
        <v>0</v>
      </c>
      <c r="V473" s="636">
        <v>2022</v>
      </c>
      <c r="W473" s="640"/>
      <c r="X473" s="641" t="str">
        <f t="shared" si="21"/>
        <v/>
      </c>
      <c r="Y473" s="642" t="str">
        <f t="shared" si="22"/>
        <v/>
      </c>
      <c r="Z473" s="642" t="str">
        <f t="shared" si="23"/>
        <v/>
      </c>
    </row>
    <row r="474" spans="1:26" s="127" customFormat="1" ht="37.5" hidden="1">
      <c r="A474" s="636">
        <v>10029</v>
      </c>
      <c r="B474" s="637" t="s">
        <v>33</v>
      </c>
      <c r="C474" s="636" t="s">
        <v>2725</v>
      </c>
      <c r="D474" s="637" t="s">
        <v>752</v>
      </c>
      <c r="E474" s="637" t="s">
        <v>752</v>
      </c>
      <c r="F474" s="636">
        <v>7049</v>
      </c>
      <c r="G474" s="637" t="s">
        <v>81</v>
      </c>
      <c r="H474" s="637" t="s">
        <v>1163</v>
      </c>
      <c r="I474" s="637" t="s">
        <v>58</v>
      </c>
      <c r="J474" s="636">
        <v>336</v>
      </c>
      <c r="K474" s="636">
        <v>6</v>
      </c>
      <c r="L474" s="637" t="s">
        <v>404</v>
      </c>
      <c r="M474" s="637" t="s">
        <v>42</v>
      </c>
      <c r="N474" s="637" t="s">
        <v>61</v>
      </c>
      <c r="O474" s="637" t="s">
        <v>61</v>
      </c>
      <c r="P474" s="637" t="s">
        <v>47</v>
      </c>
      <c r="Q474" s="638">
        <v>0</v>
      </c>
      <c r="R474" s="638">
        <v>0</v>
      </c>
      <c r="S474" s="638">
        <v>0</v>
      </c>
      <c r="T474" s="638">
        <v>0</v>
      </c>
      <c r="U474" s="638">
        <v>0</v>
      </c>
      <c r="V474" s="636">
        <v>2022</v>
      </c>
      <c r="W474" s="640"/>
      <c r="X474" s="641" t="str">
        <f t="shared" si="21"/>
        <v/>
      </c>
      <c r="Y474" s="642" t="str">
        <f t="shared" si="22"/>
        <v/>
      </c>
      <c r="Z474" s="642" t="str">
        <f t="shared" si="23"/>
        <v/>
      </c>
    </row>
    <row r="475" spans="1:26" s="127" customFormat="1" ht="25">
      <c r="A475" s="636">
        <v>10036</v>
      </c>
      <c r="B475" s="637" t="s">
        <v>33</v>
      </c>
      <c r="C475" s="636" t="s">
        <v>2725</v>
      </c>
      <c r="D475" s="637" t="s">
        <v>753</v>
      </c>
      <c r="E475" s="637" t="s">
        <v>754</v>
      </c>
      <c r="F475" s="636">
        <v>56590</v>
      </c>
      <c r="G475" s="637" t="s">
        <v>96</v>
      </c>
      <c r="H475" s="637" t="s">
        <v>1163</v>
      </c>
      <c r="I475" s="637" t="s">
        <v>58</v>
      </c>
      <c r="J475" s="636">
        <v>22</v>
      </c>
      <c r="K475" s="636">
        <v>2</v>
      </c>
      <c r="L475" s="637" t="s">
        <v>52</v>
      </c>
      <c r="M475" s="637" t="s">
        <v>35</v>
      </c>
      <c r="N475" s="637" t="s">
        <v>36</v>
      </c>
      <c r="O475" s="637" t="s">
        <v>37</v>
      </c>
      <c r="P475" s="637" t="s">
        <v>1156</v>
      </c>
      <c r="Q475" s="638">
        <v>0</v>
      </c>
      <c r="R475" s="638">
        <v>0</v>
      </c>
      <c r="S475" s="638">
        <v>7149</v>
      </c>
      <c r="T475" s="638">
        <v>7149</v>
      </c>
      <c r="U475" s="638">
        <v>2095</v>
      </c>
      <c r="V475" s="636">
        <v>2022</v>
      </c>
      <c r="W475" s="640"/>
      <c r="X475" s="641">
        <f t="shared" si="21"/>
        <v>3.4124105011933175</v>
      </c>
      <c r="Y475" s="642" t="str">
        <f t="shared" si="22"/>
        <v/>
      </c>
      <c r="Z475" s="642" t="str">
        <f t="shared" si="23"/>
        <v/>
      </c>
    </row>
    <row r="476" spans="1:26" s="127" customFormat="1" ht="25">
      <c r="A476" s="636">
        <v>10063</v>
      </c>
      <c r="B476" s="637" t="s">
        <v>33</v>
      </c>
      <c r="C476" s="636" t="s">
        <v>2725</v>
      </c>
      <c r="D476" s="637" t="s">
        <v>755</v>
      </c>
      <c r="E476" s="637" t="s">
        <v>756</v>
      </c>
      <c r="F476" s="636">
        <v>11943</v>
      </c>
      <c r="G476" s="637" t="s">
        <v>41</v>
      </c>
      <c r="H476" s="637" t="s">
        <v>1163</v>
      </c>
      <c r="I476" s="637" t="s">
        <v>58</v>
      </c>
      <c r="J476" s="636">
        <v>22</v>
      </c>
      <c r="K476" s="636">
        <v>2</v>
      </c>
      <c r="L476" s="637" t="s">
        <v>52</v>
      </c>
      <c r="M476" s="637" t="s">
        <v>35</v>
      </c>
      <c r="N476" s="637" t="s">
        <v>36</v>
      </c>
      <c r="O476" s="637" t="s">
        <v>37</v>
      </c>
      <c r="P476" s="637" t="s">
        <v>1156</v>
      </c>
      <c r="Q476" s="638">
        <v>0</v>
      </c>
      <c r="R476" s="638">
        <v>0</v>
      </c>
      <c r="S476" s="638">
        <v>74564</v>
      </c>
      <c r="T476" s="638">
        <v>74564</v>
      </c>
      <c r="U476" s="638">
        <v>21853</v>
      </c>
      <c r="V476" s="636">
        <v>2022</v>
      </c>
      <c r="W476" s="640"/>
      <c r="X476" s="641">
        <f t="shared" si="21"/>
        <v>3.4120715691209447</v>
      </c>
      <c r="Y476" s="642" t="str">
        <f t="shared" si="22"/>
        <v/>
      </c>
      <c r="Z476" s="642" t="str">
        <f t="shared" si="23"/>
        <v/>
      </c>
    </row>
    <row r="477" spans="1:26" s="127" customFormat="1" ht="25">
      <c r="A477" s="636">
        <v>10066</v>
      </c>
      <c r="B477" s="637" t="s">
        <v>33</v>
      </c>
      <c r="C477" s="636" t="s">
        <v>2725</v>
      </c>
      <c r="D477" s="637" t="s">
        <v>757</v>
      </c>
      <c r="E477" s="637" t="s">
        <v>758</v>
      </c>
      <c r="F477" s="636">
        <v>12401</v>
      </c>
      <c r="G477" s="637" t="s">
        <v>90</v>
      </c>
      <c r="H477" s="637" t="s">
        <v>1163</v>
      </c>
      <c r="I477" s="637" t="s">
        <v>58</v>
      </c>
      <c r="J477" s="636">
        <v>22</v>
      </c>
      <c r="K477" s="636">
        <v>2</v>
      </c>
      <c r="L477" s="637" t="s">
        <v>52</v>
      </c>
      <c r="M477" s="637" t="s">
        <v>35</v>
      </c>
      <c r="N477" s="637" t="s">
        <v>36</v>
      </c>
      <c r="O477" s="637" t="s">
        <v>37</v>
      </c>
      <c r="P477" s="637" t="s">
        <v>1156</v>
      </c>
      <c r="Q477" s="638">
        <v>0</v>
      </c>
      <c r="R477" s="638">
        <v>0</v>
      </c>
      <c r="S477" s="638">
        <v>67882</v>
      </c>
      <c r="T477" s="638">
        <v>67882</v>
      </c>
      <c r="U477" s="638">
        <v>19895</v>
      </c>
      <c r="V477" s="636">
        <v>2022</v>
      </c>
      <c r="W477" s="640"/>
      <c r="X477" s="641">
        <f t="shared" si="21"/>
        <v>3.4120130686102037</v>
      </c>
      <c r="Y477" s="642" t="str">
        <f t="shared" si="22"/>
        <v/>
      </c>
      <c r="Z477" s="642" t="str">
        <f t="shared" si="23"/>
        <v/>
      </c>
    </row>
    <row r="478" spans="1:26" s="127" customFormat="1" ht="37.5" hidden="1">
      <c r="A478" s="636">
        <v>10108</v>
      </c>
      <c r="B478" s="637" t="s">
        <v>54</v>
      </c>
      <c r="C478" s="636" t="s">
        <v>2725</v>
      </c>
      <c r="D478" s="637" t="s">
        <v>759</v>
      </c>
      <c r="E478" s="637" t="s">
        <v>760</v>
      </c>
      <c r="F478" s="636">
        <v>6636</v>
      </c>
      <c r="G478" s="637" t="s">
        <v>96</v>
      </c>
      <c r="H478" s="637" t="s">
        <v>1163</v>
      </c>
      <c r="I478" s="637" t="s">
        <v>58</v>
      </c>
      <c r="J478" s="636">
        <v>313</v>
      </c>
      <c r="K478" s="636">
        <v>7</v>
      </c>
      <c r="L478" s="637" t="s">
        <v>403</v>
      </c>
      <c r="M478" s="637" t="s">
        <v>50</v>
      </c>
      <c r="N478" s="637" t="s">
        <v>46</v>
      </c>
      <c r="O478" s="637" t="s">
        <v>46</v>
      </c>
      <c r="P478" s="637" t="s">
        <v>47</v>
      </c>
      <c r="Q478" s="638">
        <v>0</v>
      </c>
      <c r="R478" s="638">
        <v>0</v>
      </c>
      <c r="S478" s="638">
        <v>0</v>
      </c>
      <c r="T478" s="638">
        <v>0</v>
      </c>
      <c r="U478" s="638">
        <v>0</v>
      </c>
      <c r="V478" s="636">
        <v>2022</v>
      </c>
      <c r="W478" s="640"/>
      <c r="X478" s="641" t="str">
        <f t="shared" si="21"/>
        <v/>
      </c>
      <c r="Y478" s="642" t="str">
        <f t="shared" si="22"/>
        <v/>
      </c>
      <c r="Z478" s="642" t="str">
        <f t="shared" si="23"/>
        <v/>
      </c>
    </row>
    <row r="479" spans="1:26" s="127" customFormat="1" ht="37.5" hidden="1">
      <c r="A479" s="636">
        <v>10108</v>
      </c>
      <c r="B479" s="637" t="s">
        <v>54</v>
      </c>
      <c r="C479" s="636" t="s">
        <v>2725</v>
      </c>
      <c r="D479" s="637" t="s">
        <v>759</v>
      </c>
      <c r="E479" s="637" t="s">
        <v>760</v>
      </c>
      <c r="F479" s="636">
        <v>6636</v>
      </c>
      <c r="G479" s="637" t="s">
        <v>96</v>
      </c>
      <c r="H479" s="637" t="s">
        <v>1163</v>
      </c>
      <c r="I479" s="637" t="s">
        <v>58</v>
      </c>
      <c r="J479" s="636">
        <v>313</v>
      </c>
      <c r="K479" s="636">
        <v>7</v>
      </c>
      <c r="L479" s="637" t="s">
        <v>403</v>
      </c>
      <c r="M479" s="637" t="s">
        <v>50</v>
      </c>
      <c r="N479" s="637" t="s">
        <v>39</v>
      </c>
      <c r="O479" s="637" t="s">
        <v>39</v>
      </c>
      <c r="P479" s="637" t="s">
        <v>1020</v>
      </c>
      <c r="Q479" s="638">
        <v>333273</v>
      </c>
      <c r="R479" s="638">
        <v>177164</v>
      </c>
      <c r="S479" s="638">
        <v>339938</v>
      </c>
      <c r="T479" s="638">
        <v>180708</v>
      </c>
      <c r="U479" s="638">
        <v>28070</v>
      </c>
      <c r="V479" s="636">
        <v>2022</v>
      </c>
      <c r="W479" s="640"/>
      <c r="X479" s="641" t="str">
        <f t="shared" si="21"/>
        <v/>
      </c>
      <c r="Y479" s="642">
        <f t="shared" si="22"/>
        <v>5.6066513610154507</v>
      </c>
      <c r="Z479" s="642" t="str">
        <f t="shared" si="23"/>
        <v/>
      </c>
    </row>
    <row r="480" spans="1:26" s="127" customFormat="1" ht="25">
      <c r="A480" s="636">
        <v>10109</v>
      </c>
      <c r="B480" s="637" t="s">
        <v>33</v>
      </c>
      <c r="C480" s="636" t="s">
        <v>2725</v>
      </c>
      <c r="D480" s="637" t="s">
        <v>2266</v>
      </c>
      <c r="E480" s="637" t="s">
        <v>3025</v>
      </c>
      <c r="F480" s="636">
        <v>57280</v>
      </c>
      <c r="G480" s="637" t="s">
        <v>96</v>
      </c>
      <c r="H480" s="637" t="s">
        <v>1163</v>
      </c>
      <c r="I480" s="637" t="s">
        <v>58</v>
      </c>
      <c r="J480" s="636">
        <v>22</v>
      </c>
      <c r="K480" s="636">
        <v>2</v>
      </c>
      <c r="L480" s="637" t="s">
        <v>52</v>
      </c>
      <c r="M480" s="637" t="s">
        <v>35</v>
      </c>
      <c r="N480" s="637" t="s">
        <v>36</v>
      </c>
      <c r="O480" s="637" t="s">
        <v>37</v>
      </c>
      <c r="P480" s="637" t="s">
        <v>1156</v>
      </c>
      <c r="Q480" s="638">
        <v>0</v>
      </c>
      <c r="R480" s="638">
        <v>0</v>
      </c>
      <c r="S480" s="638">
        <v>18111</v>
      </c>
      <c r="T480" s="638">
        <v>18111</v>
      </c>
      <c r="U480" s="638">
        <v>5308</v>
      </c>
      <c r="V480" s="636">
        <v>2022</v>
      </c>
      <c r="W480" s="640"/>
      <c r="X480" s="641">
        <f t="shared" si="21"/>
        <v>3.4120195930670687</v>
      </c>
      <c r="Y480" s="642" t="str">
        <f t="shared" si="22"/>
        <v/>
      </c>
      <c r="Z480" s="642" t="str">
        <f t="shared" si="23"/>
        <v/>
      </c>
    </row>
    <row r="481" spans="1:26" s="127" customFormat="1" ht="25">
      <c r="A481" s="636">
        <v>10116</v>
      </c>
      <c r="B481" s="637" t="s">
        <v>33</v>
      </c>
      <c r="C481" s="636" t="s">
        <v>2725</v>
      </c>
      <c r="D481" s="637" t="s">
        <v>761</v>
      </c>
      <c r="E481" s="637" t="s">
        <v>762</v>
      </c>
      <c r="F481" s="636">
        <v>9357</v>
      </c>
      <c r="G481" s="637" t="s">
        <v>57</v>
      </c>
      <c r="H481" s="637" t="s">
        <v>1162</v>
      </c>
      <c r="I481" s="637" t="s">
        <v>58</v>
      </c>
      <c r="J481" s="636">
        <v>22</v>
      </c>
      <c r="K481" s="636">
        <v>2</v>
      </c>
      <c r="L481" s="637" t="s">
        <v>52</v>
      </c>
      <c r="M481" s="637" t="s">
        <v>35</v>
      </c>
      <c r="N481" s="637" t="s">
        <v>36</v>
      </c>
      <c r="O481" s="637" t="s">
        <v>37</v>
      </c>
      <c r="P481" s="637" t="s">
        <v>1156</v>
      </c>
      <c r="Q481" s="638">
        <v>0</v>
      </c>
      <c r="R481" s="638">
        <v>0</v>
      </c>
      <c r="S481" s="638">
        <v>48235</v>
      </c>
      <c r="T481" s="638">
        <v>48235</v>
      </c>
      <c r="U481" s="638">
        <v>14137</v>
      </c>
      <c r="V481" s="636">
        <v>2022</v>
      </c>
      <c r="W481" s="640"/>
      <c r="X481" s="641">
        <f t="shared" si="21"/>
        <v>3.4119685930536887</v>
      </c>
      <c r="Y481" s="642" t="str">
        <f t="shared" si="22"/>
        <v/>
      </c>
      <c r="Z481" s="642" t="str">
        <f t="shared" si="23"/>
        <v/>
      </c>
    </row>
    <row r="482" spans="1:26" s="127" customFormat="1" ht="25">
      <c r="A482" s="636">
        <v>10124</v>
      </c>
      <c r="B482" s="637" t="s">
        <v>33</v>
      </c>
      <c r="C482" s="636" t="s">
        <v>2725</v>
      </c>
      <c r="D482" s="637" t="s">
        <v>763</v>
      </c>
      <c r="E482" s="637" t="s">
        <v>1569</v>
      </c>
      <c r="F482" s="636">
        <v>59136</v>
      </c>
      <c r="G482" s="637" t="s">
        <v>57</v>
      </c>
      <c r="H482" s="637" t="s">
        <v>1162</v>
      </c>
      <c r="I482" s="637" t="s">
        <v>58</v>
      </c>
      <c r="J482" s="636">
        <v>22</v>
      </c>
      <c r="K482" s="636">
        <v>2</v>
      </c>
      <c r="L482" s="637" t="s">
        <v>52</v>
      </c>
      <c r="M482" s="637" t="s">
        <v>35</v>
      </c>
      <c r="N482" s="637" t="s">
        <v>36</v>
      </c>
      <c r="O482" s="637" t="s">
        <v>37</v>
      </c>
      <c r="P482" s="637" t="s">
        <v>1156</v>
      </c>
      <c r="Q482" s="638">
        <v>0</v>
      </c>
      <c r="R482" s="638">
        <v>0</v>
      </c>
      <c r="S482" s="638">
        <v>9778</v>
      </c>
      <c r="T482" s="638">
        <v>9778</v>
      </c>
      <c r="U482" s="638">
        <v>2866</v>
      </c>
      <c r="V482" s="636">
        <v>2022</v>
      </c>
      <c r="W482" s="640"/>
      <c r="X482" s="641">
        <f t="shared" si="21"/>
        <v>3.4117236566643405</v>
      </c>
      <c r="Y482" s="642" t="str">
        <f t="shared" si="22"/>
        <v/>
      </c>
      <c r="Z482" s="642" t="str">
        <f t="shared" si="23"/>
        <v/>
      </c>
    </row>
    <row r="483" spans="1:26" s="127" customFormat="1" ht="25">
      <c r="A483" s="636">
        <v>10137</v>
      </c>
      <c r="B483" s="637" t="s">
        <v>33</v>
      </c>
      <c r="C483" s="636" t="s">
        <v>2725</v>
      </c>
      <c r="D483" s="637" t="s">
        <v>764</v>
      </c>
      <c r="E483" s="637" t="s">
        <v>131</v>
      </c>
      <c r="F483" s="636">
        <v>7601</v>
      </c>
      <c r="G483" s="637" t="s">
        <v>89</v>
      </c>
      <c r="H483" s="637" t="s">
        <v>1163</v>
      </c>
      <c r="I483" s="637" t="s">
        <v>58</v>
      </c>
      <c r="J483" s="636">
        <v>22</v>
      </c>
      <c r="K483" s="636">
        <v>1</v>
      </c>
      <c r="L483" s="637" t="s">
        <v>34</v>
      </c>
      <c r="M483" s="637" t="s">
        <v>35</v>
      </c>
      <c r="N483" s="637" t="s">
        <v>36</v>
      </c>
      <c r="O483" s="637" t="s">
        <v>37</v>
      </c>
      <c r="P483" s="637" t="s">
        <v>1156</v>
      </c>
      <c r="Q483" s="638">
        <v>0</v>
      </c>
      <c r="R483" s="638">
        <v>0</v>
      </c>
      <c r="S483" s="638">
        <v>555</v>
      </c>
      <c r="T483" s="638">
        <v>555</v>
      </c>
      <c r="U483" s="638">
        <v>163</v>
      </c>
      <c r="V483" s="636">
        <v>2022</v>
      </c>
      <c r="W483" s="640"/>
      <c r="X483" s="641">
        <f t="shared" si="21"/>
        <v>3.4049079754601226</v>
      </c>
      <c r="Y483" s="642" t="str">
        <f t="shared" si="22"/>
        <v/>
      </c>
      <c r="Z483" s="642" t="str">
        <f t="shared" si="23"/>
        <v/>
      </c>
    </row>
    <row r="484" spans="1:26" s="127" customFormat="1" ht="25">
      <c r="A484" s="636">
        <v>10176</v>
      </c>
      <c r="B484" s="637" t="s">
        <v>33</v>
      </c>
      <c r="C484" s="636" t="s">
        <v>2725</v>
      </c>
      <c r="D484" s="637" t="s">
        <v>765</v>
      </c>
      <c r="E484" s="637" t="s">
        <v>766</v>
      </c>
      <c r="F484" s="636">
        <v>11724</v>
      </c>
      <c r="G484" s="637" t="s">
        <v>81</v>
      </c>
      <c r="H484" s="637" t="s">
        <v>1163</v>
      </c>
      <c r="I484" s="637" t="s">
        <v>58</v>
      </c>
      <c r="J484" s="636">
        <v>22</v>
      </c>
      <c r="K484" s="636">
        <v>2</v>
      </c>
      <c r="L484" s="637" t="s">
        <v>52</v>
      </c>
      <c r="M484" s="637" t="s">
        <v>50</v>
      </c>
      <c r="N484" s="637" t="s">
        <v>76</v>
      </c>
      <c r="O484" s="637" t="s">
        <v>67</v>
      </c>
      <c r="P484" s="637" t="s">
        <v>47</v>
      </c>
      <c r="Q484" s="638">
        <v>1370</v>
      </c>
      <c r="R484" s="638">
        <v>1370</v>
      </c>
      <c r="S484" s="638">
        <v>7673</v>
      </c>
      <c r="T484" s="638">
        <v>7673</v>
      </c>
      <c r="U484" s="638">
        <v>385</v>
      </c>
      <c r="V484" s="636">
        <v>2022</v>
      </c>
      <c r="W484" s="640" t="s">
        <v>3934</v>
      </c>
      <c r="X484" s="641">
        <f t="shared" si="21"/>
        <v>19.929870129870128</v>
      </c>
      <c r="Y484" s="642" t="str">
        <f t="shared" si="22"/>
        <v/>
      </c>
      <c r="Z484" s="642" t="str">
        <f t="shared" si="23"/>
        <v/>
      </c>
    </row>
    <row r="485" spans="1:26" s="127" customFormat="1" ht="25">
      <c r="A485" s="636">
        <v>10183</v>
      </c>
      <c r="B485" s="637" t="s">
        <v>33</v>
      </c>
      <c r="C485" s="636" t="s">
        <v>2725</v>
      </c>
      <c r="D485" s="637" t="s">
        <v>767</v>
      </c>
      <c r="E485" s="637" t="s">
        <v>2267</v>
      </c>
      <c r="F485" s="636">
        <v>61979</v>
      </c>
      <c r="G485" s="637" t="s">
        <v>96</v>
      </c>
      <c r="H485" s="637" t="s">
        <v>1163</v>
      </c>
      <c r="I485" s="637" t="s">
        <v>58</v>
      </c>
      <c r="J485" s="636">
        <v>22</v>
      </c>
      <c r="K485" s="636">
        <v>2</v>
      </c>
      <c r="L485" s="637" t="s">
        <v>52</v>
      </c>
      <c r="M485" s="637" t="s">
        <v>35</v>
      </c>
      <c r="N485" s="637" t="s">
        <v>36</v>
      </c>
      <c r="O485" s="637" t="s">
        <v>37</v>
      </c>
      <c r="P485" s="637" t="s">
        <v>1156</v>
      </c>
      <c r="Q485" s="638">
        <v>0</v>
      </c>
      <c r="R485" s="638">
        <v>0</v>
      </c>
      <c r="S485" s="638">
        <v>37931</v>
      </c>
      <c r="T485" s="638">
        <v>37931</v>
      </c>
      <c r="U485" s="638">
        <v>11117</v>
      </c>
      <c r="V485" s="636">
        <v>2022</v>
      </c>
      <c r="W485" s="640"/>
      <c r="X485" s="641">
        <f t="shared" si="21"/>
        <v>3.4119816497256452</v>
      </c>
      <c r="Y485" s="642" t="str">
        <f t="shared" si="22"/>
        <v/>
      </c>
      <c r="Z485" s="642" t="str">
        <f t="shared" si="23"/>
        <v/>
      </c>
    </row>
    <row r="486" spans="1:26" s="127" customFormat="1" ht="25">
      <c r="A486" s="636">
        <v>10186</v>
      </c>
      <c r="B486" s="637" t="s">
        <v>33</v>
      </c>
      <c r="C486" s="636" t="s">
        <v>2725</v>
      </c>
      <c r="D486" s="637" t="s">
        <v>405</v>
      </c>
      <c r="E486" s="637" t="s">
        <v>3025</v>
      </c>
      <c r="F486" s="636">
        <v>57280</v>
      </c>
      <c r="G486" s="637" t="s">
        <v>90</v>
      </c>
      <c r="H486" s="637" t="s">
        <v>1163</v>
      </c>
      <c r="I486" s="637" t="s">
        <v>58</v>
      </c>
      <c r="J486" s="636">
        <v>22</v>
      </c>
      <c r="K486" s="636">
        <v>2</v>
      </c>
      <c r="L486" s="637" t="s">
        <v>52</v>
      </c>
      <c r="M486" s="637" t="s">
        <v>35</v>
      </c>
      <c r="N486" s="637" t="s">
        <v>36</v>
      </c>
      <c r="O486" s="637" t="s">
        <v>37</v>
      </c>
      <c r="P486" s="637" t="s">
        <v>1156</v>
      </c>
      <c r="Q486" s="638">
        <v>0</v>
      </c>
      <c r="R486" s="638">
        <v>0</v>
      </c>
      <c r="S486" s="638">
        <v>428533</v>
      </c>
      <c r="T486" s="638">
        <v>428533</v>
      </c>
      <c r="U486" s="638">
        <v>125596</v>
      </c>
      <c r="V486" s="636">
        <v>2022</v>
      </c>
      <c r="W486" s="640"/>
      <c r="X486" s="641">
        <f t="shared" si="21"/>
        <v>3.411995604955572</v>
      </c>
      <c r="Y486" s="642" t="str">
        <f t="shared" si="22"/>
        <v/>
      </c>
      <c r="Z486" s="642" t="str">
        <f t="shared" si="23"/>
        <v/>
      </c>
    </row>
    <row r="487" spans="1:26" s="127" customFormat="1" ht="25">
      <c r="A487" s="636">
        <v>10186</v>
      </c>
      <c r="B487" s="637" t="s">
        <v>33</v>
      </c>
      <c r="C487" s="636" t="s">
        <v>2725</v>
      </c>
      <c r="D487" s="637" t="s">
        <v>405</v>
      </c>
      <c r="E487" s="637" t="s">
        <v>3025</v>
      </c>
      <c r="F487" s="636">
        <v>57280</v>
      </c>
      <c r="G487" s="637" t="s">
        <v>90</v>
      </c>
      <c r="H487" s="637" t="s">
        <v>1163</v>
      </c>
      <c r="I487" s="637" t="s">
        <v>58</v>
      </c>
      <c r="J487" s="636">
        <v>22</v>
      </c>
      <c r="K487" s="636">
        <v>2</v>
      </c>
      <c r="L487" s="637" t="s">
        <v>52</v>
      </c>
      <c r="M487" s="637" t="s">
        <v>42</v>
      </c>
      <c r="N487" s="637" t="s">
        <v>43</v>
      </c>
      <c r="O487" s="637" t="s">
        <v>44</v>
      </c>
      <c r="P487" s="637" t="s">
        <v>45</v>
      </c>
      <c r="Q487" s="638">
        <v>0</v>
      </c>
      <c r="R487" s="638">
        <v>0</v>
      </c>
      <c r="S487" s="638">
        <v>0</v>
      </c>
      <c r="T487" s="638">
        <v>0</v>
      </c>
      <c r="U487" s="638">
        <v>0</v>
      </c>
      <c r="V487" s="636">
        <v>2022</v>
      </c>
      <c r="W487" s="640"/>
      <c r="X487" s="641" t="str">
        <f t="shared" si="21"/>
        <v/>
      </c>
      <c r="Y487" s="642" t="str">
        <f t="shared" si="22"/>
        <v/>
      </c>
      <c r="Z487" s="642" t="str">
        <f t="shared" si="23"/>
        <v/>
      </c>
    </row>
    <row r="488" spans="1:26" s="127" customFormat="1" ht="25">
      <c r="A488" s="636">
        <v>10186</v>
      </c>
      <c r="B488" s="637" t="s">
        <v>33</v>
      </c>
      <c r="C488" s="636" t="s">
        <v>2725</v>
      </c>
      <c r="D488" s="637" t="s">
        <v>405</v>
      </c>
      <c r="E488" s="637" t="s">
        <v>3025</v>
      </c>
      <c r="F488" s="636">
        <v>57280</v>
      </c>
      <c r="G488" s="637" t="s">
        <v>90</v>
      </c>
      <c r="H488" s="637" t="s">
        <v>1163</v>
      </c>
      <c r="I488" s="637" t="s">
        <v>58</v>
      </c>
      <c r="J488" s="636">
        <v>22</v>
      </c>
      <c r="K488" s="636">
        <v>2</v>
      </c>
      <c r="L488" s="637" t="s">
        <v>52</v>
      </c>
      <c r="M488" s="637" t="s">
        <v>42</v>
      </c>
      <c r="N488" s="637" t="s">
        <v>39</v>
      </c>
      <c r="O488" s="637" t="s">
        <v>39</v>
      </c>
      <c r="P488" s="637" t="s">
        <v>1020</v>
      </c>
      <c r="Q488" s="638">
        <v>0</v>
      </c>
      <c r="R488" s="638">
        <v>0</v>
      </c>
      <c r="S488" s="638">
        <v>0</v>
      </c>
      <c r="T488" s="638">
        <v>0</v>
      </c>
      <c r="U488" s="638">
        <v>0</v>
      </c>
      <c r="V488" s="636">
        <v>2022</v>
      </c>
      <c r="W488" s="640"/>
      <c r="X488" s="641" t="str">
        <f t="shared" si="21"/>
        <v/>
      </c>
      <c r="Y488" s="642" t="str">
        <f t="shared" si="22"/>
        <v/>
      </c>
      <c r="Z488" s="642" t="str">
        <f t="shared" si="23"/>
        <v/>
      </c>
    </row>
    <row r="489" spans="1:26" s="127" customFormat="1" ht="25">
      <c r="A489" s="636">
        <v>10186</v>
      </c>
      <c r="B489" s="637" t="s">
        <v>33</v>
      </c>
      <c r="C489" s="636" t="s">
        <v>2725</v>
      </c>
      <c r="D489" s="637" t="s">
        <v>405</v>
      </c>
      <c r="E489" s="637" t="s">
        <v>3025</v>
      </c>
      <c r="F489" s="636">
        <v>57280</v>
      </c>
      <c r="G489" s="637" t="s">
        <v>90</v>
      </c>
      <c r="H489" s="637" t="s">
        <v>1163</v>
      </c>
      <c r="I489" s="637" t="s">
        <v>58</v>
      </c>
      <c r="J489" s="636">
        <v>22</v>
      </c>
      <c r="K489" s="636">
        <v>2</v>
      </c>
      <c r="L489" s="637" t="s">
        <v>52</v>
      </c>
      <c r="M489" s="637" t="s">
        <v>42</v>
      </c>
      <c r="N489" s="637" t="s">
        <v>61</v>
      </c>
      <c r="O489" s="637" t="s">
        <v>61</v>
      </c>
      <c r="P489" s="637" t="s">
        <v>47</v>
      </c>
      <c r="Q489" s="638">
        <v>0</v>
      </c>
      <c r="R489" s="638">
        <v>0</v>
      </c>
      <c r="S489" s="638">
        <v>0</v>
      </c>
      <c r="T489" s="638">
        <v>0</v>
      </c>
      <c r="U489" s="638">
        <v>0</v>
      </c>
      <c r="V489" s="636">
        <v>2022</v>
      </c>
      <c r="W489" s="640"/>
      <c r="X489" s="641" t="str">
        <f t="shared" si="21"/>
        <v/>
      </c>
      <c r="Y489" s="642" t="str">
        <f t="shared" si="22"/>
        <v/>
      </c>
      <c r="Z489" s="642" t="str">
        <f t="shared" si="23"/>
        <v/>
      </c>
    </row>
    <row r="490" spans="1:26" s="127" customFormat="1" ht="25">
      <c r="A490" s="636">
        <v>10190</v>
      </c>
      <c r="B490" s="637" t="s">
        <v>33</v>
      </c>
      <c r="C490" s="636" t="s">
        <v>2725</v>
      </c>
      <c r="D490" s="637" t="s">
        <v>768</v>
      </c>
      <c r="E490" s="637" t="s">
        <v>1864</v>
      </c>
      <c r="F490" s="636">
        <v>60741</v>
      </c>
      <c r="G490" s="637" t="s">
        <v>57</v>
      </c>
      <c r="H490" s="637" t="s">
        <v>1162</v>
      </c>
      <c r="I490" s="637" t="s">
        <v>58</v>
      </c>
      <c r="J490" s="636">
        <v>22</v>
      </c>
      <c r="K490" s="636">
        <v>2</v>
      </c>
      <c r="L490" s="637" t="s">
        <v>52</v>
      </c>
      <c r="M490" s="637" t="s">
        <v>38</v>
      </c>
      <c r="N490" s="637" t="s">
        <v>46</v>
      </c>
      <c r="O490" s="637" t="s">
        <v>46</v>
      </c>
      <c r="P490" s="637" t="s">
        <v>47</v>
      </c>
      <c r="Q490" s="638">
        <v>0</v>
      </c>
      <c r="R490" s="638">
        <v>0</v>
      </c>
      <c r="S490" s="638">
        <v>0</v>
      </c>
      <c r="T490" s="638">
        <v>0</v>
      </c>
      <c r="U490" s="638">
        <v>35.195</v>
      </c>
      <c r="V490" s="636">
        <v>2022</v>
      </c>
      <c r="W490" s="640" t="s">
        <v>3934</v>
      </c>
      <c r="X490" s="641" t="str">
        <f t="shared" si="21"/>
        <v/>
      </c>
      <c r="Y490" s="642" t="str">
        <f t="shared" si="22"/>
        <v/>
      </c>
      <c r="Z490" s="642" t="str">
        <f t="shared" si="23"/>
        <v/>
      </c>
    </row>
    <row r="491" spans="1:26" s="127" customFormat="1" ht="25">
      <c r="A491" s="636">
        <v>10190</v>
      </c>
      <c r="B491" s="637" t="s">
        <v>33</v>
      </c>
      <c r="C491" s="636" t="s">
        <v>2725</v>
      </c>
      <c r="D491" s="637" t="s">
        <v>768</v>
      </c>
      <c r="E491" s="637" t="s">
        <v>1864</v>
      </c>
      <c r="F491" s="636">
        <v>60741</v>
      </c>
      <c r="G491" s="637" t="s">
        <v>57</v>
      </c>
      <c r="H491" s="637" t="s">
        <v>1162</v>
      </c>
      <c r="I491" s="637" t="s">
        <v>58</v>
      </c>
      <c r="J491" s="636">
        <v>22</v>
      </c>
      <c r="K491" s="636">
        <v>2</v>
      </c>
      <c r="L491" s="637" t="s">
        <v>52</v>
      </c>
      <c r="M491" s="637" t="s">
        <v>38</v>
      </c>
      <c r="N491" s="637" t="s">
        <v>39</v>
      </c>
      <c r="O491" s="637" t="s">
        <v>39</v>
      </c>
      <c r="P491" s="637" t="s">
        <v>1020</v>
      </c>
      <c r="Q491" s="638">
        <v>110482</v>
      </c>
      <c r="R491" s="638">
        <v>110482</v>
      </c>
      <c r="S491" s="638">
        <v>113797</v>
      </c>
      <c r="T491" s="638">
        <v>113797</v>
      </c>
      <c r="U491" s="638">
        <v>54973.805</v>
      </c>
      <c r="V491" s="636">
        <v>2022</v>
      </c>
      <c r="W491" s="640" t="s">
        <v>3934</v>
      </c>
      <c r="X491" s="641">
        <f t="shared" si="21"/>
        <v>2.0700222587830694</v>
      </c>
      <c r="Y491" s="642" t="str">
        <f t="shared" si="22"/>
        <v/>
      </c>
      <c r="Z491" s="642" t="str">
        <f t="shared" si="23"/>
        <v/>
      </c>
    </row>
    <row r="492" spans="1:26" s="127" customFormat="1" ht="25">
      <c r="A492" s="636">
        <v>10190</v>
      </c>
      <c r="B492" s="637" t="s">
        <v>33</v>
      </c>
      <c r="C492" s="636" t="s">
        <v>2725</v>
      </c>
      <c r="D492" s="637" t="s">
        <v>768</v>
      </c>
      <c r="E492" s="637" t="s">
        <v>1864</v>
      </c>
      <c r="F492" s="636">
        <v>60741</v>
      </c>
      <c r="G492" s="637" t="s">
        <v>57</v>
      </c>
      <c r="H492" s="637" t="s">
        <v>1162</v>
      </c>
      <c r="I492" s="637" t="s">
        <v>58</v>
      </c>
      <c r="J492" s="636">
        <v>22</v>
      </c>
      <c r="K492" s="636">
        <v>2</v>
      </c>
      <c r="L492" s="637" t="s">
        <v>52</v>
      </c>
      <c r="M492" s="637" t="s">
        <v>41</v>
      </c>
      <c r="N492" s="637" t="s">
        <v>46</v>
      </c>
      <c r="O492" s="637" t="s">
        <v>46</v>
      </c>
      <c r="P492" s="637" t="s">
        <v>47</v>
      </c>
      <c r="Q492" s="638">
        <v>179</v>
      </c>
      <c r="R492" s="638">
        <v>179</v>
      </c>
      <c r="S492" s="638">
        <v>1054</v>
      </c>
      <c r="T492" s="638">
        <v>1054</v>
      </c>
      <c r="U492" s="638">
        <v>82.855999999999995</v>
      </c>
      <c r="V492" s="636">
        <v>2022</v>
      </c>
      <c r="W492" s="640" t="s">
        <v>3934</v>
      </c>
      <c r="X492" s="641">
        <f t="shared" si="21"/>
        <v>12.720865115380903</v>
      </c>
      <c r="Y492" s="642" t="str">
        <f t="shared" si="22"/>
        <v/>
      </c>
      <c r="Z492" s="642" t="str">
        <f t="shared" si="23"/>
        <v/>
      </c>
    </row>
    <row r="493" spans="1:26" s="127" customFormat="1" ht="25">
      <c r="A493" s="636">
        <v>10190</v>
      </c>
      <c r="B493" s="637" t="s">
        <v>33</v>
      </c>
      <c r="C493" s="636" t="s">
        <v>2725</v>
      </c>
      <c r="D493" s="637" t="s">
        <v>768</v>
      </c>
      <c r="E493" s="637" t="s">
        <v>1864</v>
      </c>
      <c r="F493" s="636">
        <v>60741</v>
      </c>
      <c r="G493" s="637" t="s">
        <v>57</v>
      </c>
      <c r="H493" s="637" t="s">
        <v>1162</v>
      </c>
      <c r="I493" s="637" t="s">
        <v>58</v>
      </c>
      <c r="J493" s="636">
        <v>22</v>
      </c>
      <c r="K493" s="636">
        <v>2</v>
      </c>
      <c r="L493" s="637" t="s">
        <v>52</v>
      </c>
      <c r="M493" s="637" t="s">
        <v>41</v>
      </c>
      <c r="N493" s="637" t="s">
        <v>39</v>
      </c>
      <c r="O493" s="637" t="s">
        <v>39</v>
      </c>
      <c r="P493" s="637" t="s">
        <v>1020</v>
      </c>
      <c r="Q493" s="638">
        <v>1498428</v>
      </c>
      <c r="R493" s="638">
        <v>1498428</v>
      </c>
      <c r="S493" s="638">
        <v>1543382</v>
      </c>
      <c r="T493" s="638">
        <v>1543382</v>
      </c>
      <c r="U493" s="638">
        <v>119218.14</v>
      </c>
      <c r="V493" s="636">
        <v>2022</v>
      </c>
      <c r="W493" s="640" t="s">
        <v>3934</v>
      </c>
      <c r="X493" s="641">
        <f t="shared" si="21"/>
        <v>12.945865453025856</v>
      </c>
      <c r="Y493" s="642" t="str">
        <f t="shared" si="22"/>
        <v/>
      </c>
      <c r="Z493" s="642" t="str">
        <f t="shared" si="23"/>
        <v/>
      </c>
    </row>
    <row r="494" spans="1:26" s="127" customFormat="1" ht="25">
      <c r="A494" s="636">
        <v>10196</v>
      </c>
      <c r="B494" s="637" t="s">
        <v>33</v>
      </c>
      <c r="C494" s="636" t="s">
        <v>2725</v>
      </c>
      <c r="D494" s="637" t="s">
        <v>769</v>
      </c>
      <c r="E494" s="637" t="s">
        <v>1792</v>
      </c>
      <c r="F494" s="636">
        <v>60023</v>
      </c>
      <c r="G494" s="637" t="s">
        <v>57</v>
      </c>
      <c r="H494" s="637" t="s">
        <v>1162</v>
      </c>
      <c r="I494" s="637" t="s">
        <v>58</v>
      </c>
      <c r="J494" s="636">
        <v>22</v>
      </c>
      <c r="K494" s="636">
        <v>2</v>
      </c>
      <c r="L494" s="637" t="s">
        <v>52</v>
      </c>
      <c r="M494" s="637" t="s">
        <v>35</v>
      </c>
      <c r="N494" s="637" t="s">
        <v>36</v>
      </c>
      <c r="O494" s="637" t="s">
        <v>37</v>
      </c>
      <c r="P494" s="637" t="s">
        <v>1156</v>
      </c>
      <c r="Q494" s="638">
        <v>0</v>
      </c>
      <c r="R494" s="638">
        <v>0</v>
      </c>
      <c r="S494" s="638">
        <v>158336</v>
      </c>
      <c r="T494" s="638">
        <v>158336</v>
      </c>
      <c r="U494" s="638">
        <v>46406</v>
      </c>
      <c r="V494" s="636">
        <v>2022</v>
      </c>
      <c r="W494" s="640"/>
      <c r="X494" s="641">
        <f t="shared" si="21"/>
        <v>3.4119725897513251</v>
      </c>
      <c r="Y494" s="642" t="str">
        <f t="shared" si="22"/>
        <v/>
      </c>
      <c r="Z494" s="642" t="str">
        <f t="shared" si="23"/>
        <v/>
      </c>
    </row>
    <row r="495" spans="1:26" s="127" customFormat="1" ht="25">
      <c r="A495" s="636">
        <v>10197</v>
      </c>
      <c r="B495" s="637" t="s">
        <v>33</v>
      </c>
      <c r="C495" s="636" t="s">
        <v>2725</v>
      </c>
      <c r="D495" s="637" t="s">
        <v>770</v>
      </c>
      <c r="E495" s="637" t="s">
        <v>1792</v>
      </c>
      <c r="F495" s="636">
        <v>60023</v>
      </c>
      <c r="G495" s="637" t="s">
        <v>57</v>
      </c>
      <c r="H495" s="637" t="s">
        <v>1162</v>
      </c>
      <c r="I495" s="637" t="s">
        <v>58</v>
      </c>
      <c r="J495" s="636">
        <v>22</v>
      </c>
      <c r="K495" s="636">
        <v>2</v>
      </c>
      <c r="L495" s="637" t="s">
        <v>52</v>
      </c>
      <c r="M495" s="637" t="s">
        <v>35</v>
      </c>
      <c r="N495" s="637" t="s">
        <v>36</v>
      </c>
      <c r="O495" s="637" t="s">
        <v>37</v>
      </c>
      <c r="P495" s="637" t="s">
        <v>1156</v>
      </c>
      <c r="Q495" s="638">
        <v>0</v>
      </c>
      <c r="R495" s="638">
        <v>0</v>
      </c>
      <c r="S495" s="638">
        <v>2412</v>
      </c>
      <c r="T495" s="638">
        <v>2412</v>
      </c>
      <c r="U495" s="638">
        <v>707</v>
      </c>
      <c r="V495" s="636">
        <v>2022</v>
      </c>
      <c r="W495" s="640"/>
      <c r="X495" s="641">
        <f t="shared" si="21"/>
        <v>3.4115983026874117</v>
      </c>
      <c r="Y495" s="642" t="str">
        <f t="shared" si="22"/>
        <v/>
      </c>
      <c r="Z495" s="642" t="str">
        <f t="shared" si="23"/>
        <v/>
      </c>
    </row>
    <row r="496" spans="1:26" s="127" customFormat="1" ht="25">
      <c r="A496" s="636">
        <v>10214</v>
      </c>
      <c r="B496" s="637" t="s">
        <v>33</v>
      </c>
      <c r="C496" s="636" t="s">
        <v>2725</v>
      </c>
      <c r="D496" s="637" t="s">
        <v>771</v>
      </c>
      <c r="E496" s="637" t="s">
        <v>3027</v>
      </c>
      <c r="F496" s="636">
        <v>64078</v>
      </c>
      <c r="G496" s="637" t="s">
        <v>57</v>
      </c>
      <c r="H496" s="637" t="s">
        <v>1162</v>
      </c>
      <c r="I496" s="637" t="s">
        <v>58</v>
      </c>
      <c r="J496" s="636">
        <v>22</v>
      </c>
      <c r="K496" s="636">
        <v>2</v>
      </c>
      <c r="L496" s="637" t="s">
        <v>52</v>
      </c>
      <c r="M496" s="637" t="s">
        <v>35</v>
      </c>
      <c r="N496" s="637" t="s">
        <v>36</v>
      </c>
      <c r="O496" s="637" t="s">
        <v>37</v>
      </c>
      <c r="P496" s="637" t="s">
        <v>1156</v>
      </c>
      <c r="Q496" s="638">
        <v>0</v>
      </c>
      <c r="R496" s="638">
        <v>0</v>
      </c>
      <c r="S496" s="638">
        <v>88824</v>
      </c>
      <c r="T496" s="638">
        <v>88824</v>
      </c>
      <c r="U496" s="638">
        <v>26033</v>
      </c>
      <c r="V496" s="636">
        <v>2022</v>
      </c>
      <c r="W496" s="640"/>
      <c r="X496" s="641">
        <f t="shared" si="21"/>
        <v>3.4119771059808706</v>
      </c>
      <c r="Y496" s="642" t="str">
        <f t="shared" si="22"/>
        <v/>
      </c>
      <c r="Z496" s="642" t="str">
        <f t="shared" si="23"/>
        <v/>
      </c>
    </row>
    <row r="497" spans="1:26" s="127" customFormat="1" ht="25">
      <c r="A497" s="636">
        <v>10218</v>
      </c>
      <c r="B497" s="637" t="s">
        <v>33</v>
      </c>
      <c r="C497" s="636" t="s">
        <v>2725</v>
      </c>
      <c r="D497" s="637" t="s">
        <v>772</v>
      </c>
      <c r="E497" s="637" t="s">
        <v>773</v>
      </c>
      <c r="F497" s="636">
        <v>55754</v>
      </c>
      <c r="G497" s="637" t="s">
        <v>57</v>
      </c>
      <c r="H497" s="637" t="s">
        <v>1162</v>
      </c>
      <c r="I497" s="637" t="s">
        <v>58</v>
      </c>
      <c r="J497" s="636">
        <v>22</v>
      </c>
      <c r="K497" s="636">
        <v>2</v>
      </c>
      <c r="L497" s="637" t="s">
        <v>52</v>
      </c>
      <c r="M497" s="637" t="s">
        <v>35</v>
      </c>
      <c r="N497" s="637" t="s">
        <v>36</v>
      </c>
      <c r="O497" s="637" t="s">
        <v>37</v>
      </c>
      <c r="P497" s="637" t="s">
        <v>1156</v>
      </c>
      <c r="Q497" s="638">
        <v>0</v>
      </c>
      <c r="R497" s="638">
        <v>0</v>
      </c>
      <c r="S497" s="638">
        <v>31145</v>
      </c>
      <c r="T497" s="638">
        <v>31145</v>
      </c>
      <c r="U497" s="638">
        <v>9128</v>
      </c>
      <c r="V497" s="636">
        <v>2022</v>
      </c>
      <c r="W497" s="640"/>
      <c r="X497" s="641">
        <f t="shared" si="21"/>
        <v>3.4120289219982474</v>
      </c>
      <c r="Y497" s="642" t="str">
        <f t="shared" si="22"/>
        <v/>
      </c>
      <c r="Z497" s="642" t="str">
        <f t="shared" si="23"/>
        <v/>
      </c>
    </row>
    <row r="498" spans="1:26" s="127" customFormat="1" ht="25">
      <c r="A498" s="636">
        <v>10219</v>
      </c>
      <c r="B498" s="637" t="s">
        <v>33</v>
      </c>
      <c r="C498" s="636" t="s">
        <v>2725</v>
      </c>
      <c r="D498" s="637" t="s">
        <v>774</v>
      </c>
      <c r="E498" s="637" t="s">
        <v>773</v>
      </c>
      <c r="F498" s="636">
        <v>55754</v>
      </c>
      <c r="G498" s="637" t="s">
        <v>57</v>
      </c>
      <c r="H498" s="637" t="s">
        <v>1162</v>
      </c>
      <c r="I498" s="637" t="s">
        <v>58</v>
      </c>
      <c r="J498" s="636">
        <v>22</v>
      </c>
      <c r="K498" s="636">
        <v>2</v>
      </c>
      <c r="L498" s="637" t="s">
        <v>52</v>
      </c>
      <c r="M498" s="637" t="s">
        <v>35</v>
      </c>
      <c r="N498" s="637" t="s">
        <v>36</v>
      </c>
      <c r="O498" s="637" t="s">
        <v>37</v>
      </c>
      <c r="P498" s="637" t="s">
        <v>1156</v>
      </c>
      <c r="Q498" s="638">
        <v>0</v>
      </c>
      <c r="R498" s="638">
        <v>0</v>
      </c>
      <c r="S498" s="638">
        <v>37334</v>
      </c>
      <c r="T498" s="638">
        <v>37334</v>
      </c>
      <c r="U498" s="638">
        <v>10942</v>
      </c>
      <c r="V498" s="636">
        <v>2022</v>
      </c>
      <c r="W498" s="640"/>
      <c r="X498" s="641">
        <f t="shared" si="21"/>
        <v>3.4119904953390603</v>
      </c>
      <c r="Y498" s="642" t="str">
        <f t="shared" si="22"/>
        <v/>
      </c>
      <c r="Z498" s="642" t="str">
        <f t="shared" si="23"/>
        <v/>
      </c>
    </row>
    <row r="499" spans="1:26" s="127" customFormat="1" ht="25">
      <c r="A499" s="636">
        <v>10220</v>
      </c>
      <c r="B499" s="637" t="s">
        <v>33</v>
      </c>
      <c r="C499" s="636" t="s">
        <v>2725</v>
      </c>
      <c r="D499" s="637" t="s">
        <v>775</v>
      </c>
      <c r="E499" s="637" t="s">
        <v>773</v>
      </c>
      <c r="F499" s="636">
        <v>55754</v>
      </c>
      <c r="G499" s="637" t="s">
        <v>57</v>
      </c>
      <c r="H499" s="637" t="s">
        <v>1162</v>
      </c>
      <c r="I499" s="637" t="s">
        <v>58</v>
      </c>
      <c r="J499" s="636">
        <v>22</v>
      </c>
      <c r="K499" s="636">
        <v>2</v>
      </c>
      <c r="L499" s="637" t="s">
        <v>52</v>
      </c>
      <c r="M499" s="637" t="s">
        <v>35</v>
      </c>
      <c r="N499" s="637" t="s">
        <v>36</v>
      </c>
      <c r="O499" s="637" t="s">
        <v>37</v>
      </c>
      <c r="P499" s="637" t="s">
        <v>1156</v>
      </c>
      <c r="Q499" s="638">
        <v>0</v>
      </c>
      <c r="R499" s="638">
        <v>0</v>
      </c>
      <c r="S499" s="638">
        <v>51102</v>
      </c>
      <c r="T499" s="638">
        <v>51102</v>
      </c>
      <c r="U499" s="638">
        <v>14977</v>
      </c>
      <c r="V499" s="636">
        <v>2022</v>
      </c>
      <c r="W499" s="640"/>
      <c r="X499" s="641">
        <f t="shared" si="21"/>
        <v>3.4120317820658341</v>
      </c>
      <c r="Y499" s="642" t="str">
        <f t="shared" si="22"/>
        <v/>
      </c>
      <c r="Z499" s="642" t="str">
        <f t="shared" si="23"/>
        <v/>
      </c>
    </row>
    <row r="500" spans="1:26" s="127" customFormat="1" ht="25">
      <c r="A500" s="636">
        <v>10221</v>
      </c>
      <c r="B500" s="637" t="s">
        <v>33</v>
      </c>
      <c r="C500" s="636" t="s">
        <v>2725</v>
      </c>
      <c r="D500" s="637" t="s">
        <v>776</v>
      </c>
      <c r="E500" s="637" t="s">
        <v>773</v>
      </c>
      <c r="F500" s="636">
        <v>55754</v>
      </c>
      <c r="G500" s="637" t="s">
        <v>57</v>
      </c>
      <c r="H500" s="637" t="s">
        <v>1162</v>
      </c>
      <c r="I500" s="637" t="s">
        <v>58</v>
      </c>
      <c r="J500" s="636">
        <v>22</v>
      </c>
      <c r="K500" s="636">
        <v>2</v>
      </c>
      <c r="L500" s="637" t="s">
        <v>52</v>
      </c>
      <c r="M500" s="637" t="s">
        <v>35</v>
      </c>
      <c r="N500" s="637" t="s">
        <v>36</v>
      </c>
      <c r="O500" s="637" t="s">
        <v>37</v>
      </c>
      <c r="P500" s="637" t="s">
        <v>1156</v>
      </c>
      <c r="Q500" s="638">
        <v>0</v>
      </c>
      <c r="R500" s="638">
        <v>0</v>
      </c>
      <c r="S500" s="638">
        <v>156091</v>
      </c>
      <c r="T500" s="638">
        <v>156091</v>
      </c>
      <c r="U500" s="638">
        <v>45748</v>
      </c>
      <c r="V500" s="636">
        <v>2022</v>
      </c>
      <c r="W500" s="640"/>
      <c r="X500" s="641">
        <f t="shared" si="21"/>
        <v>3.4119742939582056</v>
      </c>
      <c r="Y500" s="642" t="str">
        <f t="shared" si="22"/>
        <v/>
      </c>
      <c r="Z500" s="642" t="str">
        <f t="shared" si="23"/>
        <v/>
      </c>
    </row>
    <row r="501" spans="1:26" s="127" customFormat="1" ht="25">
      <c r="A501" s="636">
        <v>10237</v>
      </c>
      <c r="B501" s="637" t="s">
        <v>33</v>
      </c>
      <c r="C501" s="636" t="s">
        <v>2725</v>
      </c>
      <c r="D501" s="637" t="s">
        <v>777</v>
      </c>
      <c r="E501" s="637" t="s">
        <v>1792</v>
      </c>
      <c r="F501" s="636">
        <v>60023</v>
      </c>
      <c r="G501" s="637" t="s">
        <v>57</v>
      </c>
      <c r="H501" s="637" t="s">
        <v>1162</v>
      </c>
      <c r="I501" s="637" t="s">
        <v>58</v>
      </c>
      <c r="J501" s="636">
        <v>22</v>
      </c>
      <c r="K501" s="636">
        <v>2</v>
      </c>
      <c r="L501" s="637" t="s">
        <v>52</v>
      </c>
      <c r="M501" s="637" t="s">
        <v>35</v>
      </c>
      <c r="N501" s="637" t="s">
        <v>36</v>
      </c>
      <c r="O501" s="637" t="s">
        <v>37</v>
      </c>
      <c r="P501" s="637" t="s">
        <v>1156</v>
      </c>
      <c r="Q501" s="638">
        <v>0</v>
      </c>
      <c r="R501" s="638">
        <v>0</v>
      </c>
      <c r="S501" s="638">
        <v>21221</v>
      </c>
      <c r="T501" s="638">
        <v>21221</v>
      </c>
      <c r="U501" s="638">
        <v>6219</v>
      </c>
      <c r="V501" s="636">
        <v>2022</v>
      </c>
      <c r="W501" s="640"/>
      <c r="X501" s="641">
        <f t="shared" si="21"/>
        <v>3.4122849332690142</v>
      </c>
      <c r="Y501" s="642" t="str">
        <f t="shared" si="22"/>
        <v/>
      </c>
      <c r="Z501" s="642" t="str">
        <f t="shared" si="23"/>
        <v/>
      </c>
    </row>
    <row r="502" spans="1:26" s="127" customFormat="1" ht="25">
      <c r="A502" s="636">
        <v>10238</v>
      </c>
      <c r="B502" s="637" t="s">
        <v>33</v>
      </c>
      <c r="C502" s="636" t="s">
        <v>2725</v>
      </c>
      <c r="D502" s="637" t="s">
        <v>778</v>
      </c>
      <c r="E502" s="637" t="s">
        <v>1792</v>
      </c>
      <c r="F502" s="636">
        <v>60023</v>
      </c>
      <c r="G502" s="637" t="s">
        <v>57</v>
      </c>
      <c r="H502" s="637" t="s">
        <v>1162</v>
      </c>
      <c r="I502" s="637" t="s">
        <v>58</v>
      </c>
      <c r="J502" s="636">
        <v>22</v>
      </c>
      <c r="K502" s="636">
        <v>2</v>
      </c>
      <c r="L502" s="637" t="s">
        <v>52</v>
      </c>
      <c r="M502" s="637" t="s">
        <v>35</v>
      </c>
      <c r="N502" s="637" t="s">
        <v>36</v>
      </c>
      <c r="O502" s="637" t="s">
        <v>37</v>
      </c>
      <c r="P502" s="637" t="s">
        <v>1156</v>
      </c>
      <c r="Q502" s="638">
        <v>0</v>
      </c>
      <c r="R502" s="638">
        <v>0</v>
      </c>
      <c r="S502" s="638">
        <v>34978</v>
      </c>
      <c r="T502" s="638">
        <v>34978</v>
      </c>
      <c r="U502" s="638">
        <v>10252</v>
      </c>
      <c r="V502" s="636">
        <v>2022</v>
      </c>
      <c r="W502" s="640"/>
      <c r="X502" s="641">
        <f t="shared" si="21"/>
        <v>3.4118220834959034</v>
      </c>
      <c r="Y502" s="642" t="str">
        <f t="shared" si="22"/>
        <v/>
      </c>
      <c r="Z502" s="642" t="str">
        <f t="shared" si="23"/>
        <v/>
      </c>
    </row>
    <row r="503" spans="1:26" s="127" customFormat="1" ht="25">
      <c r="A503" s="636">
        <v>10255</v>
      </c>
      <c r="B503" s="637" t="s">
        <v>33</v>
      </c>
      <c r="C503" s="636" t="s">
        <v>2725</v>
      </c>
      <c r="D503" s="637" t="s">
        <v>1793</v>
      </c>
      <c r="E503" s="637" t="s">
        <v>1541</v>
      </c>
      <c r="F503" s="636">
        <v>59178</v>
      </c>
      <c r="G503" s="637" t="s">
        <v>90</v>
      </c>
      <c r="H503" s="637" t="s">
        <v>1163</v>
      </c>
      <c r="I503" s="637" t="s">
        <v>58</v>
      </c>
      <c r="J503" s="636">
        <v>22</v>
      </c>
      <c r="K503" s="636">
        <v>2</v>
      </c>
      <c r="L503" s="637" t="s">
        <v>52</v>
      </c>
      <c r="M503" s="637" t="s">
        <v>35</v>
      </c>
      <c r="N503" s="637" t="s">
        <v>36</v>
      </c>
      <c r="O503" s="637" t="s">
        <v>37</v>
      </c>
      <c r="P503" s="637" t="s">
        <v>1156</v>
      </c>
      <c r="Q503" s="638">
        <v>0</v>
      </c>
      <c r="R503" s="638">
        <v>0</v>
      </c>
      <c r="S503" s="638">
        <v>296811</v>
      </c>
      <c r="T503" s="638">
        <v>296811</v>
      </c>
      <c r="U503" s="638">
        <v>86990</v>
      </c>
      <c r="V503" s="636">
        <v>2022</v>
      </c>
      <c r="W503" s="640"/>
      <c r="X503" s="641">
        <f t="shared" si="21"/>
        <v>3.4120128750431085</v>
      </c>
      <c r="Y503" s="642" t="str">
        <f t="shared" si="22"/>
        <v/>
      </c>
      <c r="Z503" s="642" t="str">
        <f t="shared" si="23"/>
        <v/>
      </c>
    </row>
    <row r="504" spans="1:26" s="127" customFormat="1" ht="25">
      <c r="A504" s="636">
        <v>10276</v>
      </c>
      <c r="B504" s="637" t="s">
        <v>33</v>
      </c>
      <c r="C504" s="636" t="s">
        <v>2725</v>
      </c>
      <c r="D504" s="637" t="s">
        <v>1655</v>
      </c>
      <c r="E504" s="637" t="s">
        <v>3025</v>
      </c>
      <c r="F504" s="636">
        <v>57280</v>
      </c>
      <c r="G504" s="637" t="s">
        <v>96</v>
      </c>
      <c r="H504" s="637" t="s">
        <v>1163</v>
      </c>
      <c r="I504" s="637" t="s">
        <v>58</v>
      </c>
      <c r="J504" s="636">
        <v>22</v>
      </c>
      <c r="K504" s="636">
        <v>2</v>
      </c>
      <c r="L504" s="637" t="s">
        <v>52</v>
      </c>
      <c r="M504" s="637" t="s">
        <v>35</v>
      </c>
      <c r="N504" s="637" t="s">
        <v>36</v>
      </c>
      <c r="O504" s="637" t="s">
        <v>37</v>
      </c>
      <c r="P504" s="637" t="s">
        <v>1156</v>
      </c>
      <c r="Q504" s="638">
        <v>0</v>
      </c>
      <c r="R504" s="638">
        <v>0</v>
      </c>
      <c r="S504" s="638">
        <v>27595</v>
      </c>
      <c r="T504" s="638">
        <v>27595</v>
      </c>
      <c r="U504" s="638">
        <v>8088</v>
      </c>
      <c r="V504" s="636">
        <v>2022</v>
      </c>
      <c r="W504" s="640"/>
      <c r="X504" s="641">
        <f t="shared" si="21"/>
        <v>3.4118447082096934</v>
      </c>
      <c r="Y504" s="642" t="str">
        <f t="shared" si="22"/>
        <v/>
      </c>
      <c r="Z504" s="642" t="str">
        <f t="shared" si="23"/>
        <v/>
      </c>
    </row>
    <row r="505" spans="1:26" s="127" customFormat="1" ht="37.5" hidden="1">
      <c r="A505" s="636">
        <v>10286</v>
      </c>
      <c r="B505" s="637" t="s">
        <v>33</v>
      </c>
      <c r="C505" s="636" t="s">
        <v>2725</v>
      </c>
      <c r="D505" s="637" t="s">
        <v>779</v>
      </c>
      <c r="E505" s="637" t="s">
        <v>779</v>
      </c>
      <c r="F505" s="636">
        <v>4386</v>
      </c>
      <c r="G505" s="637" t="s">
        <v>57</v>
      </c>
      <c r="H505" s="637" t="s">
        <v>1162</v>
      </c>
      <c r="I505" s="637" t="s">
        <v>58</v>
      </c>
      <c r="J505" s="636">
        <v>611</v>
      </c>
      <c r="K505" s="636">
        <v>4</v>
      </c>
      <c r="L505" s="637" t="s">
        <v>406</v>
      </c>
      <c r="M505" s="637" t="s">
        <v>35</v>
      </c>
      <c r="N505" s="637" t="s">
        <v>36</v>
      </c>
      <c r="O505" s="637" t="s">
        <v>37</v>
      </c>
      <c r="P505" s="637" t="s">
        <v>1156</v>
      </c>
      <c r="Q505" s="638">
        <v>0</v>
      </c>
      <c r="R505" s="638">
        <v>0</v>
      </c>
      <c r="S505" s="638">
        <v>16451</v>
      </c>
      <c r="T505" s="638">
        <v>16451</v>
      </c>
      <c r="U505" s="638">
        <v>4821</v>
      </c>
      <c r="V505" s="636">
        <v>2022</v>
      </c>
      <c r="W505" s="640"/>
      <c r="X505" s="641" t="str">
        <f t="shared" si="21"/>
        <v/>
      </c>
      <c r="Y505" s="642" t="str">
        <f t="shared" si="22"/>
        <v/>
      </c>
      <c r="Z505" s="642" t="str">
        <f t="shared" si="23"/>
        <v/>
      </c>
    </row>
    <row r="506" spans="1:26" s="127" customFormat="1" ht="25">
      <c r="A506" s="636">
        <v>10290</v>
      </c>
      <c r="B506" s="637" t="s">
        <v>33</v>
      </c>
      <c r="C506" s="636" t="s">
        <v>2725</v>
      </c>
      <c r="D506" s="637" t="s">
        <v>780</v>
      </c>
      <c r="E506" s="637" t="s">
        <v>781</v>
      </c>
      <c r="F506" s="636">
        <v>2226</v>
      </c>
      <c r="G506" s="637" t="s">
        <v>96</v>
      </c>
      <c r="H506" s="637" t="s">
        <v>1163</v>
      </c>
      <c r="I506" s="637" t="s">
        <v>58</v>
      </c>
      <c r="J506" s="636">
        <v>22</v>
      </c>
      <c r="K506" s="636">
        <v>2</v>
      </c>
      <c r="L506" s="637" t="s">
        <v>52</v>
      </c>
      <c r="M506" s="637" t="s">
        <v>42</v>
      </c>
      <c r="N506" s="637" t="s">
        <v>46</v>
      </c>
      <c r="O506" s="637" t="s">
        <v>46</v>
      </c>
      <c r="P506" s="637" t="s">
        <v>47</v>
      </c>
      <c r="Q506" s="638">
        <v>185</v>
      </c>
      <c r="R506" s="638">
        <v>185</v>
      </c>
      <c r="S506" s="638">
        <v>1065</v>
      </c>
      <c r="T506" s="638">
        <v>1065</v>
      </c>
      <c r="U506" s="638">
        <v>67.483999999999995</v>
      </c>
      <c r="V506" s="636">
        <v>2022</v>
      </c>
      <c r="W506" s="640"/>
      <c r="X506" s="641">
        <f t="shared" si="21"/>
        <v>15.781518582182445</v>
      </c>
      <c r="Y506" s="642" t="str">
        <f t="shared" si="22"/>
        <v/>
      </c>
      <c r="Z506" s="642" t="str">
        <f t="shared" si="23"/>
        <v/>
      </c>
    </row>
    <row r="507" spans="1:26" s="127" customFormat="1" ht="25">
      <c r="A507" s="636">
        <v>10290</v>
      </c>
      <c r="B507" s="637" t="s">
        <v>33</v>
      </c>
      <c r="C507" s="636" t="s">
        <v>2725</v>
      </c>
      <c r="D507" s="637" t="s">
        <v>780</v>
      </c>
      <c r="E507" s="637" t="s">
        <v>781</v>
      </c>
      <c r="F507" s="636">
        <v>2226</v>
      </c>
      <c r="G507" s="637" t="s">
        <v>96</v>
      </c>
      <c r="H507" s="637" t="s">
        <v>1163</v>
      </c>
      <c r="I507" s="637" t="s">
        <v>58</v>
      </c>
      <c r="J507" s="636">
        <v>22</v>
      </c>
      <c r="K507" s="636">
        <v>2</v>
      </c>
      <c r="L507" s="637" t="s">
        <v>52</v>
      </c>
      <c r="M507" s="637" t="s">
        <v>42</v>
      </c>
      <c r="N507" s="637" t="s">
        <v>69</v>
      </c>
      <c r="O507" s="637" t="s">
        <v>70</v>
      </c>
      <c r="P507" s="637" t="s">
        <v>45</v>
      </c>
      <c r="Q507" s="638">
        <v>214153</v>
      </c>
      <c r="R507" s="638">
        <v>214153</v>
      </c>
      <c r="S507" s="638">
        <v>1820303</v>
      </c>
      <c r="T507" s="638">
        <v>1820303</v>
      </c>
      <c r="U507" s="638">
        <v>115387.52</v>
      </c>
      <c r="V507" s="636">
        <v>2022</v>
      </c>
      <c r="W507" s="640"/>
      <c r="X507" s="641">
        <f t="shared" si="21"/>
        <v>15.775562209847303</v>
      </c>
      <c r="Y507" s="642" t="str">
        <f t="shared" si="22"/>
        <v/>
      </c>
      <c r="Z507" s="642" t="str">
        <f t="shared" si="23"/>
        <v/>
      </c>
    </row>
    <row r="508" spans="1:26" s="127" customFormat="1" ht="37.5" hidden="1">
      <c r="A508" s="636">
        <v>10305</v>
      </c>
      <c r="B508" s="637" t="s">
        <v>54</v>
      </c>
      <c r="C508" s="636" t="s">
        <v>2725</v>
      </c>
      <c r="D508" s="637" t="s">
        <v>1033</v>
      </c>
      <c r="E508" s="637" t="s">
        <v>1086</v>
      </c>
      <c r="F508" s="636">
        <v>12834</v>
      </c>
      <c r="G508" s="637" t="s">
        <v>57</v>
      </c>
      <c r="H508" s="637" t="s">
        <v>1162</v>
      </c>
      <c r="I508" s="637" t="s">
        <v>58</v>
      </c>
      <c r="J508" s="636">
        <v>562213</v>
      </c>
      <c r="K508" s="636">
        <v>5</v>
      </c>
      <c r="L508" s="637" t="s">
        <v>407</v>
      </c>
      <c r="M508" s="637" t="s">
        <v>42</v>
      </c>
      <c r="N508" s="637" t="s">
        <v>46</v>
      </c>
      <c r="O508" s="637" t="s">
        <v>46</v>
      </c>
      <c r="P508" s="637" t="s">
        <v>47</v>
      </c>
      <c r="Q508" s="638">
        <v>0</v>
      </c>
      <c r="R508" s="638">
        <v>0</v>
      </c>
      <c r="S508" s="638">
        <v>0</v>
      </c>
      <c r="T508" s="638">
        <v>0</v>
      </c>
      <c r="U508" s="638">
        <v>0</v>
      </c>
      <c r="V508" s="636">
        <v>2022</v>
      </c>
      <c r="W508" s="640"/>
      <c r="X508" s="641" t="str">
        <f t="shared" si="21"/>
        <v/>
      </c>
      <c r="Y508" s="642" t="str">
        <f t="shared" si="22"/>
        <v/>
      </c>
      <c r="Z508" s="642" t="str">
        <f t="shared" si="23"/>
        <v/>
      </c>
    </row>
    <row r="509" spans="1:26" s="127" customFormat="1" ht="37.5" hidden="1">
      <c r="A509" s="636">
        <v>10305</v>
      </c>
      <c r="B509" s="637" t="s">
        <v>54</v>
      </c>
      <c r="C509" s="636" t="s">
        <v>2725</v>
      </c>
      <c r="D509" s="637" t="s">
        <v>1033</v>
      </c>
      <c r="E509" s="637" t="s">
        <v>1086</v>
      </c>
      <c r="F509" s="636">
        <v>12834</v>
      </c>
      <c r="G509" s="637" t="s">
        <v>57</v>
      </c>
      <c r="H509" s="637" t="s">
        <v>1162</v>
      </c>
      <c r="I509" s="637" t="s">
        <v>58</v>
      </c>
      <c r="J509" s="636">
        <v>562213</v>
      </c>
      <c r="K509" s="636">
        <v>5</v>
      </c>
      <c r="L509" s="637" t="s">
        <v>407</v>
      </c>
      <c r="M509" s="637" t="s">
        <v>42</v>
      </c>
      <c r="N509" s="637" t="s">
        <v>16</v>
      </c>
      <c r="O509" s="637" t="s">
        <v>64</v>
      </c>
      <c r="P509" s="637" t="s">
        <v>45</v>
      </c>
      <c r="Q509" s="638">
        <v>68823</v>
      </c>
      <c r="R509" s="638">
        <v>59506</v>
      </c>
      <c r="S509" s="638">
        <v>456917</v>
      </c>
      <c r="T509" s="638">
        <v>395070</v>
      </c>
      <c r="U509" s="638">
        <v>11120.803</v>
      </c>
      <c r="V509" s="636">
        <v>2022</v>
      </c>
      <c r="W509" s="640"/>
      <c r="X509" s="641" t="str">
        <f t="shared" si="21"/>
        <v/>
      </c>
      <c r="Y509" s="642" t="str">
        <f t="shared" si="22"/>
        <v/>
      </c>
      <c r="Z509" s="642" t="str">
        <f t="shared" si="23"/>
        <v/>
      </c>
    </row>
    <row r="510" spans="1:26" s="127" customFormat="1" ht="37.5" hidden="1">
      <c r="A510" s="636">
        <v>10305</v>
      </c>
      <c r="B510" s="637" t="s">
        <v>54</v>
      </c>
      <c r="C510" s="636" t="s">
        <v>2725</v>
      </c>
      <c r="D510" s="637" t="s">
        <v>1033</v>
      </c>
      <c r="E510" s="637" t="s">
        <v>1086</v>
      </c>
      <c r="F510" s="636">
        <v>12834</v>
      </c>
      <c r="G510" s="637" t="s">
        <v>57</v>
      </c>
      <c r="H510" s="637" t="s">
        <v>1162</v>
      </c>
      <c r="I510" s="637" t="s">
        <v>58</v>
      </c>
      <c r="J510" s="636">
        <v>562213</v>
      </c>
      <c r="K510" s="636">
        <v>5</v>
      </c>
      <c r="L510" s="637" t="s">
        <v>407</v>
      </c>
      <c r="M510" s="637" t="s">
        <v>42</v>
      </c>
      <c r="N510" s="637" t="s">
        <v>17</v>
      </c>
      <c r="O510" s="637" t="s">
        <v>82</v>
      </c>
      <c r="P510" s="637" t="s">
        <v>45</v>
      </c>
      <c r="Q510" s="638">
        <v>44001</v>
      </c>
      <c r="R510" s="638">
        <v>38044</v>
      </c>
      <c r="S510" s="638">
        <v>558460</v>
      </c>
      <c r="T510" s="638">
        <v>482869</v>
      </c>
      <c r="U510" s="638">
        <v>13592.286</v>
      </c>
      <c r="V510" s="636">
        <v>2022</v>
      </c>
      <c r="W510" s="640"/>
      <c r="X510" s="641" t="str">
        <f t="shared" si="21"/>
        <v/>
      </c>
      <c r="Y510" s="642" t="str">
        <f t="shared" si="22"/>
        <v/>
      </c>
      <c r="Z510" s="642" t="str">
        <f t="shared" si="23"/>
        <v/>
      </c>
    </row>
    <row r="511" spans="1:26" s="127" customFormat="1" ht="37.5" hidden="1">
      <c r="A511" s="636">
        <v>10305</v>
      </c>
      <c r="B511" s="637" t="s">
        <v>54</v>
      </c>
      <c r="C511" s="636" t="s">
        <v>2725</v>
      </c>
      <c r="D511" s="637" t="s">
        <v>1033</v>
      </c>
      <c r="E511" s="637" t="s">
        <v>1086</v>
      </c>
      <c r="F511" s="636">
        <v>12834</v>
      </c>
      <c r="G511" s="637" t="s">
        <v>57</v>
      </c>
      <c r="H511" s="637" t="s">
        <v>1162</v>
      </c>
      <c r="I511" s="637" t="s">
        <v>58</v>
      </c>
      <c r="J511" s="636">
        <v>562213</v>
      </c>
      <c r="K511" s="636">
        <v>5</v>
      </c>
      <c r="L511" s="637" t="s">
        <v>407</v>
      </c>
      <c r="M511" s="637" t="s">
        <v>42</v>
      </c>
      <c r="N511" s="637" t="s">
        <v>39</v>
      </c>
      <c r="O511" s="637" t="s">
        <v>39</v>
      </c>
      <c r="P511" s="637" t="s">
        <v>1020</v>
      </c>
      <c r="Q511" s="638">
        <v>137431</v>
      </c>
      <c r="R511" s="638">
        <v>118830</v>
      </c>
      <c r="S511" s="638">
        <v>137431</v>
      </c>
      <c r="T511" s="638">
        <v>118830</v>
      </c>
      <c r="U511" s="638">
        <v>3344.9110000000001</v>
      </c>
      <c r="V511" s="636">
        <v>2022</v>
      </c>
      <c r="W511" s="640"/>
      <c r="X511" s="641" t="str">
        <f t="shared" si="21"/>
        <v/>
      </c>
      <c r="Y511" s="642" t="str">
        <f t="shared" si="22"/>
        <v/>
      </c>
      <c r="Z511" s="642" t="str">
        <f t="shared" si="23"/>
        <v/>
      </c>
    </row>
    <row r="512" spans="1:26" s="127" customFormat="1" ht="25">
      <c r="A512" s="636">
        <v>10307</v>
      </c>
      <c r="B512" s="637" t="s">
        <v>33</v>
      </c>
      <c r="C512" s="636" t="s">
        <v>2725</v>
      </c>
      <c r="D512" s="637" t="s">
        <v>153</v>
      </c>
      <c r="E512" s="637" t="s">
        <v>154</v>
      </c>
      <c r="F512" s="636">
        <v>21970</v>
      </c>
      <c r="G512" s="637" t="s">
        <v>81</v>
      </c>
      <c r="H512" s="637" t="s">
        <v>1163</v>
      </c>
      <c r="I512" s="637" t="s">
        <v>58</v>
      </c>
      <c r="J512" s="636">
        <v>22</v>
      </c>
      <c r="K512" s="636">
        <v>2</v>
      </c>
      <c r="L512" s="637" t="s">
        <v>52</v>
      </c>
      <c r="M512" s="637" t="s">
        <v>38</v>
      </c>
      <c r="N512" s="637" t="s">
        <v>46</v>
      </c>
      <c r="O512" s="637" t="s">
        <v>46</v>
      </c>
      <c r="P512" s="637" t="s">
        <v>47</v>
      </c>
      <c r="Q512" s="638">
        <v>0</v>
      </c>
      <c r="R512" s="638">
        <v>0</v>
      </c>
      <c r="S512" s="638">
        <v>0</v>
      </c>
      <c r="T512" s="638">
        <v>0</v>
      </c>
      <c r="U512" s="638">
        <v>995.95399999999995</v>
      </c>
      <c r="V512" s="636">
        <v>2022</v>
      </c>
      <c r="W512" s="640" t="s">
        <v>3934</v>
      </c>
      <c r="X512" s="641" t="str">
        <f t="shared" si="21"/>
        <v/>
      </c>
      <c r="Y512" s="642" t="str">
        <f t="shared" si="22"/>
        <v/>
      </c>
      <c r="Z512" s="642" t="str">
        <f t="shared" si="23"/>
        <v/>
      </c>
    </row>
    <row r="513" spans="1:26" s="127" customFormat="1" ht="25">
      <c r="A513" s="636">
        <v>10307</v>
      </c>
      <c r="B513" s="637" t="s">
        <v>33</v>
      </c>
      <c r="C513" s="636" t="s">
        <v>2725</v>
      </c>
      <c r="D513" s="637" t="s">
        <v>153</v>
      </c>
      <c r="E513" s="637" t="s">
        <v>154</v>
      </c>
      <c r="F513" s="636">
        <v>21970</v>
      </c>
      <c r="G513" s="637" t="s">
        <v>81</v>
      </c>
      <c r="H513" s="637" t="s">
        <v>1163</v>
      </c>
      <c r="I513" s="637" t="s">
        <v>58</v>
      </c>
      <c r="J513" s="636">
        <v>22</v>
      </c>
      <c r="K513" s="636">
        <v>2</v>
      </c>
      <c r="L513" s="637" t="s">
        <v>52</v>
      </c>
      <c r="M513" s="637" t="s">
        <v>38</v>
      </c>
      <c r="N513" s="637" t="s">
        <v>39</v>
      </c>
      <c r="O513" s="637" t="s">
        <v>39</v>
      </c>
      <c r="P513" s="637" t="s">
        <v>1020</v>
      </c>
      <c r="Q513" s="638">
        <v>0</v>
      </c>
      <c r="R513" s="638">
        <v>0</v>
      </c>
      <c r="S513" s="638">
        <v>0</v>
      </c>
      <c r="T513" s="638">
        <v>0</v>
      </c>
      <c r="U513" s="638">
        <v>55032.046000000002</v>
      </c>
      <c r="V513" s="636">
        <v>2022</v>
      </c>
      <c r="W513" s="640" t="s">
        <v>3934</v>
      </c>
      <c r="X513" s="641" t="str">
        <f t="shared" si="21"/>
        <v/>
      </c>
      <c r="Y513" s="642" t="str">
        <f t="shared" si="22"/>
        <v/>
      </c>
      <c r="Z513" s="642" t="str">
        <f t="shared" si="23"/>
        <v/>
      </c>
    </row>
    <row r="514" spans="1:26" s="127" customFormat="1" ht="25">
      <c r="A514" s="636">
        <v>10307</v>
      </c>
      <c r="B514" s="637" t="s">
        <v>33</v>
      </c>
      <c r="C514" s="636" t="s">
        <v>2725</v>
      </c>
      <c r="D514" s="637" t="s">
        <v>153</v>
      </c>
      <c r="E514" s="637" t="s">
        <v>154</v>
      </c>
      <c r="F514" s="636">
        <v>21970</v>
      </c>
      <c r="G514" s="637" t="s">
        <v>81</v>
      </c>
      <c r="H514" s="637" t="s">
        <v>1163</v>
      </c>
      <c r="I514" s="637" t="s">
        <v>58</v>
      </c>
      <c r="J514" s="636">
        <v>22</v>
      </c>
      <c r="K514" s="636">
        <v>2</v>
      </c>
      <c r="L514" s="637" t="s">
        <v>52</v>
      </c>
      <c r="M514" s="637" t="s">
        <v>41</v>
      </c>
      <c r="N514" s="637" t="s">
        <v>46</v>
      </c>
      <c r="O514" s="637" t="s">
        <v>46</v>
      </c>
      <c r="P514" s="637" t="s">
        <v>47</v>
      </c>
      <c r="Q514" s="638">
        <v>7702</v>
      </c>
      <c r="R514" s="638">
        <v>7702</v>
      </c>
      <c r="S514" s="638">
        <v>44671</v>
      </c>
      <c r="T514" s="638">
        <v>44671</v>
      </c>
      <c r="U514" s="638">
        <v>3846.6840000000002</v>
      </c>
      <c r="V514" s="636">
        <v>2022</v>
      </c>
      <c r="W514" s="640" t="s">
        <v>3934</v>
      </c>
      <c r="X514" s="641">
        <f t="shared" si="21"/>
        <v>11.612859283476364</v>
      </c>
      <c r="Y514" s="642" t="str">
        <f t="shared" si="22"/>
        <v/>
      </c>
      <c r="Z514" s="642" t="str">
        <f t="shared" si="23"/>
        <v/>
      </c>
    </row>
    <row r="515" spans="1:26" s="127" customFormat="1" ht="25">
      <c r="A515" s="636">
        <v>10307</v>
      </c>
      <c r="B515" s="637" t="s">
        <v>33</v>
      </c>
      <c r="C515" s="636" t="s">
        <v>2725</v>
      </c>
      <c r="D515" s="637" t="s">
        <v>153</v>
      </c>
      <c r="E515" s="637" t="s">
        <v>154</v>
      </c>
      <c r="F515" s="636">
        <v>21970</v>
      </c>
      <c r="G515" s="637" t="s">
        <v>81</v>
      </c>
      <c r="H515" s="637" t="s">
        <v>1163</v>
      </c>
      <c r="I515" s="637" t="s">
        <v>58</v>
      </c>
      <c r="J515" s="636">
        <v>22</v>
      </c>
      <c r="K515" s="636">
        <v>2</v>
      </c>
      <c r="L515" s="637" t="s">
        <v>52</v>
      </c>
      <c r="M515" s="637" t="s">
        <v>41</v>
      </c>
      <c r="N515" s="637" t="s">
        <v>39</v>
      </c>
      <c r="O515" s="637" t="s">
        <v>39</v>
      </c>
      <c r="P515" s="637" t="s">
        <v>1020</v>
      </c>
      <c r="Q515" s="638">
        <v>1800253</v>
      </c>
      <c r="R515" s="638">
        <v>1800253</v>
      </c>
      <c r="S515" s="638">
        <v>1818255</v>
      </c>
      <c r="T515" s="638">
        <v>1818255</v>
      </c>
      <c r="U515" s="638">
        <v>151213.32</v>
      </c>
      <c r="V515" s="636">
        <v>2022</v>
      </c>
      <c r="W515" s="640" t="s">
        <v>3934</v>
      </c>
      <c r="X515" s="641">
        <f t="shared" si="21"/>
        <v>12.0244367361288</v>
      </c>
      <c r="Y515" s="642" t="str">
        <f t="shared" si="22"/>
        <v/>
      </c>
      <c r="Z515" s="642" t="str">
        <f t="shared" si="23"/>
        <v/>
      </c>
    </row>
    <row r="516" spans="1:26" s="127" customFormat="1" ht="25">
      <c r="A516" s="636">
        <v>10354</v>
      </c>
      <c r="B516" s="637" t="s">
        <v>33</v>
      </c>
      <c r="C516" s="636" t="s">
        <v>2725</v>
      </c>
      <c r="D516" s="637" t="s">
        <v>1087</v>
      </c>
      <c r="E516" s="637" t="s">
        <v>1087</v>
      </c>
      <c r="F516" s="636">
        <v>57432</v>
      </c>
      <c r="G516" s="637" t="s">
        <v>90</v>
      </c>
      <c r="H516" s="637" t="s">
        <v>1163</v>
      </c>
      <c r="I516" s="637" t="s">
        <v>58</v>
      </c>
      <c r="J516" s="636">
        <v>22</v>
      </c>
      <c r="K516" s="636">
        <v>2</v>
      </c>
      <c r="L516" s="637" t="s">
        <v>52</v>
      </c>
      <c r="M516" s="637" t="s">
        <v>42</v>
      </c>
      <c r="N516" s="637" t="s">
        <v>69</v>
      </c>
      <c r="O516" s="637" t="s">
        <v>70</v>
      </c>
      <c r="P516" s="637" t="s">
        <v>45</v>
      </c>
      <c r="Q516" s="638">
        <v>435985</v>
      </c>
      <c r="R516" s="638">
        <v>435985</v>
      </c>
      <c r="S516" s="638">
        <v>3575077</v>
      </c>
      <c r="T516" s="638">
        <v>3575077</v>
      </c>
      <c r="U516" s="638">
        <v>270966</v>
      </c>
      <c r="V516" s="636">
        <v>2022</v>
      </c>
      <c r="W516" s="640"/>
      <c r="X516" s="641">
        <f t="shared" si="21"/>
        <v>13.193821365042108</v>
      </c>
      <c r="Y516" s="642" t="str">
        <f t="shared" si="22"/>
        <v/>
      </c>
      <c r="Z516" s="642" t="str">
        <f t="shared" si="23"/>
        <v/>
      </c>
    </row>
    <row r="517" spans="1:26" s="127" customFormat="1" ht="37.5" hidden="1">
      <c r="A517" s="636">
        <v>10408</v>
      </c>
      <c r="B517" s="637" t="s">
        <v>54</v>
      </c>
      <c r="C517" s="636" t="s">
        <v>2725</v>
      </c>
      <c r="D517" s="637" t="s">
        <v>782</v>
      </c>
      <c r="E517" s="637" t="s">
        <v>782</v>
      </c>
      <c r="F517" s="636">
        <v>3692</v>
      </c>
      <c r="G517" s="637" t="s">
        <v>81</v>
      </c>
      <c r="H517" s="637" t="s">
        <v>1163</v>
      </c>
      <c r="I517" s="637" t="s">
        <v>58</v>
      </c>
      <c r="J517" s="636">
        <v>611</v>
      </c>
      <c r="K517" s="636">
        <v>5</v>
      </c>
      <c r="L517" s="637" t="s">
        <v>407</v>
      </c>
      <c r="M517" s="637" t="s">
        <v>51</v>
      </c>
      <c r="N517" s="637" t="s">
        <v>46</v>
      </c>
      <c r="O517" s="637" t="s">
        <v>46</v>
      </c>
      <c r="P517" s="637" t="s">
        <v>47</v>
      </c>
      <c r="Q517" s="638">
        <v>0</v>
      </c>
      <c r="R517" s="638">
        <v>0</v>
      </c>
      <c r="S517" s="638">
        <v>0</v>
      </c>
      <c r="T517" s="638">
        <v>0</v>
      </c>
      <c r="U517" s="638">
        <v>0</v>
      </c>
      <c r="V517" s="636">
        <v>2022</v>
      </c>
      <c r="W517" s="640"/>
      <c r="X517" s="641" t="str">
        <f t="shared" si="21"/>
        <v/>
      </c>
      <c r="Y517" s="642" t="str">
        <f t="shared" si="22"/>
        <v/>
      </c>
      <c r="Z517" s="642" t="str">
        <f t="shared" si="23"/>
        <v/>
      </c>
    </row>
    <row r="518" spans="1:26" s="127" customFormat="1" ht="37.5" hidden="1">
      <c r="A518" s="636">
        <v>10408</v>
      </c>
      <c r="B518" s="637" t="s">
        <v>54</v>
      </c>
      <c r="C518" s="636" t="s">
        <v>2725</v>
      </c>
      <c r="D518" s="637" t="s">
        <v>782</v>
      </c>
      <c r="E518" s="637" t="s">
        <v>782</v>
      </c>
      <c r="F518" s="636">
        <v>3692</v>
      </c>
      <c r="G518" s="637" t="s">
        <v>81</v>
      </c>
      <c r="H518" s="637" t="s">
        <v>1163</v>
      </c>
      <c r="I518" s="637" t="s">
        <v>58</v>
      </c>
      <c r="J518" s="636">
        <v>611</v>
      </c>
      <c r="K518" s="636">
        <v>5</v>
      </c>
      <c r="L518" s="637" t="s">
        <v>407</v>
      </c>
      <c r="M518" s="637" t="s">
        <v>51</v>
      </c>
      <c r="N518" s="637" t="s">
        <v>39</v>
      </c>
      <c r="O518" s="637" t="s">
        <v>39</v>
      </c>
      <c r="P518" s="637" t="s">
        <v>1020</v>
      </c>
      <c r="Q518" s="638">
        <v>86937</v>
      </c>
      <c r="R518" s="638">
        <v>48638</v>
      </c>
      <c r="S518" s="638">
        <v>86937</v>
      </c>
      <c r="T518" s="638">
        <v>48638</v>
      </c>
      <c r="U518" s="638">
        <v>8102.64</v>
      </c>
      <c r="V518" s="636">
        <v>2022</v>
      </c>
      <c r="W518" s="640"/>
      <c r="X518" s="641" t="str">
        <f t="shared" si="21"/>
        <v/>
      </c>
      <c r="Y518" s="642" t="str">
        <f t="shared" si="22"/>
        <v/>
      </c>
      <c r="Z518" s="642" t="str">
        <f t="shared" si="23"/>
        <v/>
      </c>
    </row>
    <row r="519" spans="1:26" s="127" customFormat="1" ht="37.5" hidden="1">
      <c r="A519" s="636">
        <v>10408</v>
      </c>
      <c r="B519" s="637" t="s">
        <v>54</v>
      </c>
      <c r="C519" s="636" t="s">
        <v>2725</v>
      </c>
      <c r="D519" s="637" t="s">
        <v>782</v>
      </c>
      <c r="E519" s="637" t="s">
        <v>782</v>
      </c>
      <c r="F519" s="636">
        <v>3692</v>
      </c>
      <c r="G519" s="637" t="s">
        <v>81</v>
      </c>
      <c r="H519" s="637" t="s">
        <v>1163</v>
      </c>
      <c r="I519" s="637" t="s">
        <v>58</v>
      </c>
      <c r="J519" s="636">
        <v>611</v>
      </c>
      <c r="K519" s="636">
        <v>5</v>
      </c>
      <c r="L519" s="637" t="s">
        <v>407</v>
      </c>
      <c r="M519" s="637" t="s">
        <v>51</v>
      </c>
      <c r="N519" s="637" t="s">
        <v>61</v>
      </c>
      <c r="O519" s="637" t="s">
        <v>61</v>
      </c>
      <c r="P519" s="637" t="s">
        <v>47</v>
      </c>
      <c r="Q519" s="638">
        <v>0</v>
      </c>
      <c r="R519" s="638">
        <v>0</v>
      </c>
      <c r="S519" s="638">
        <v>0</v>
      </c>
      <c r="T519" s="638">
        <v>0</v>
      </c>
      <c r="U519" s="638">
        <v>0</v>
      </c>
      <c r="V519" s="636">
        <v>2022</v>
      </c>
      <c r="W519" s="640"/>
      <c r="X519" s="641" t="str">
        <f t="shared" si="21"/>
        <v/>
      </c>
      <c r="Y519" s="642" t="str">
        <f t="shared" si="22"/>
        <v/>
      </c>
      <c r="Z519" s="642" t="str">
        <f t="shared" si="23"/>
        <v/>
      </c>
    </row>
    <row r="520" spans="1:26" s="127" customFormat="1" ht="37.5" hidden="1">
      <c r="A520" s="636">
        <v>10417</v>
      </c>
      <c r="B520" s="637" t="s">
        <v>54</v>
      </c>
      <c r="C520" s="636" t="s">
        <v>2725</v>
      </c>
      <c r="D520" s="637" t="s">
        <v>783</v>
      </c>
      <c r="E520" s="637" t="s">
        <v>784</v>
      </c>
      <c r="F520" s="636">
        <v>39878</v>
      </c>
      <c r="G520" s="637" t="s">
        <v>81</v>
      </c>
      <c r="H520" s="637" t="s">
        <v>1163</v>
      </c>
      <c r="I520" s="637" t="s">
        <v>58</v>
      </c>
      <c r="J520" s="636">
        <v>325211</v>
      </c>
      <c r="K520" s="636">
        <v>7</v>
      </c>
      <c r="L520" s="637" t="s">
        <v>403</v>
      </c>
      <c r="M520" s="637" t="s">
        <v>42</v>
      </c>
      <c r="N520" s="637" t="s">
        <v>43</v>
      </c>
      <c r="O520" s="637" t="s">
        <v>44</v>
      </c>
      <c r="P520" s="637" t="s">
        <v>45</v>
      </c>
      <c r="Q520" s="638">
        <v>0</v>
      </c>
      <c r="R520" s="638">
        <v>0</v>
      </c>
      <c r="S520" s="638">
        <v>0</v>
      </c>
      <c r="T520" s="638">
        <v>0</v>
      </c>
      <c r="U520" s="638">
        <v>0</v>
      </c>
      <c r="V520" s="636">
        <v>2022</v>
      </c>
      <c r="W520" s="640"/>
      <c r="X520" s="641" t="str">
        <f t="shared" ref="X520:X583" si="24">IF(OR(K520&gt;3,T520=0,NOT(U520&gt;0)),"",T520/U520)</f>
        <v/>
      </c>
      <c r="Y520" s="642" t="str">
        <f t="shared" ref="Y520:Y583" si="25">IF(AND($M520=$Y$2,$N520=$Y$3,NOT($Q520=$R520),NOT($U520=0)),IF($K520=5,$S520/($U520+(8/5)*$U520),IF($K520=7,$S520/($U520+(29/25)*$U520),"")),"")</f>
        <v/>
      </c>
      <c r="Z520" s="642" t="str">
        <f t="shared" si="23"/>
        <v/>
      </c>
    </row>
    <row r="521" spans="1:26" s="127" customFormat="1" ht="37.5" hidden="1">
      <c r="A521" s="636">
        <v>10417</v>
      </c>
      <c r="B521" s="637" t="s">
        <v>54</v>
      </c>
      <c r="C521" s="636" t="s">
        <v>2725</v>
      </c>
      <c r="D521" s="637" t="s">
        <v>783</v>
      </c>
      <c r="E521" s="637" t="s">
        <v>784</v>
      </c>
      <c r="F521" s="636">
        <v>39878</v>
      </c>
      <c r="G521" s="637" t="s">
        <v>81</v>
      </c>
      <c r="H521" s="637" t="s">
        <v>1163</v>
      </c>
      <c r="I521" s="637" t="s">
        <v>58</v>
      </c>
      <c r="J521" s="636">
        <v>325211</v>
      </c>
      <c r="K521" s="636">
        <v>7</v>
      </c>
      <c r="L521" s="637" t="s">
        <v>403</v>
      </c>
      <c r="M521" s="637" t="s">
        <v>42</v>
      </c>
      <c r="N521" s="637" t="s">
        <v>39</v>
      </c>
      <c r="O521" s="637" t="s">
        <v>39</v>
      </c>
      <c r="P521" s="637" t="s">
        <v>1020</v>
      </c>
      <c r="Q521" s="638">
        <v>1411237</v>
      </c>
      <c r="R521" s="638">
        <v>89719</v>
      </c>
      <c r="S521" s="638">
        <v>1457809</v>
      </c>
      <c r="T521" s="638">
        <v>92680</v>
      </c>
      <c r="U521" s="638">
        <v>15123</v>
      </c>
      <c r="V521" s="636">
        <v>2022</v>
      </c>
      <c r="W521" s="640"/>
      <c r="X521" s="641" t="str">
        <f t="shared" si="24"/>
        <v/>
      </c>
      <c r="Y521" s="642" t="str">
        <f t="shared" si="25"/>
        <v/>
      </c>
      <c r="Z521" s="642" t="str">
        <f t="shared" si="23"/>
        <v/>
      </c>
    </row>
    <row r="522" spans="1:26" s="127" customFormat="1" ht="25">
      <c r="A522" s="636">
        <v>10464</v>
      </c>
      <c r="B522" s="637" t="s">
        <v>33</v>
      </c>
      <c r="C522" s="636" t="s">
        <v>2725</v>
      </c>
      <c r="D522" s="637" t="s">
        <v>1794</v>
      </c>
      <c r="E522" s="637" t="s">
        <v>1174</v>
      </c>
      <c r="F522" s="636">
        <v>1746</v>
      </c>
      <c r="G522" s="637" t="s">
        <v>57</v>
      </c>
      <c r="H522" s="637" t="s">
        <v>1162</v>
      </c>
      <c r="I522" s="637" t="s">
        <v>58</v>
      </c>
      <c r="J522" s="636">
        <v>22</v>
      </c>
      <c r="K522" s="636">
        <v>2</v>
      </c>
      <c r="L522" s="637" t="s">
        <v>52</v>
      </c>
      <c r="M522" s="637" t="s">
        <v>42</v>
      </c>
      <c r="N522" s="637" t="s">
        <v>43</v>
      </c>
      <c r="O522" s="637" t="s">
        <v>44</v>
      </c>
      <c r="P522" s="637" t="s">
        <v>45</v>
      </c>
      <c r="Q522" s="638">
        <v>0</v>
      </c>
      <c r="R522" s="638">
        <v>0</v>
      </c>
      <c r="S522" s="638">
        <v>0</v>
      </c>
      <c r="T522" s="638">
        <v>0</v>
      </c>
      <c r="U522" s="638">
        <v>0</v>
      </c>
      <c r="V522" s="636">
        <v>2022</v>
      </c>
      <c r="W522" s="640"/>
      <c r="X522" s="641" t="str">
        <f t="shared" si="24"/>
        <v/>
      </c>
      <c r="Y522" s="642" t="str">
        <f t="shared" si="25"/>
        <v/>
      </c>
      <c r="Z522" s="642" t="str">
        <f t="shared" si="23"/>
        <v/>
      </c>
    </row>
    <row r="523" spans="1:26" s="127" customFormat="1" ht="25">
      <c r="A523" s="636">
        <v>10464</v>
      </c>
      <c r="B523" s="637" t="s">
        <v>33</v>
      </c>
      <c r="C523" s="636" t="s">
        <v>2725</v>
      </c>
      <c r="D523" s="637" t="s">
        <v>1794</v>
      </c>
      <c r="E523" s="637" t="s">
        <v>1174</v>
      </c>
      <c r="F523" s="636">
        <v>1746</v>
      </c>
      <c r="G523" s="637" t="s">
        <v>57</v>
      </c>
      <c r="H523" s="637" t="s">
        <v>1162</v>
      </c>
      <c r="I523" s="637" t="s">
        <v>58</v>
      </c>
      <c r="J523" s="636">
        <v>22</v>
      </c>
      <c r="K523" s="636">
        <v>2</v>
      </c>
      <c r="L523" s="637" t="s">
        <v>52</v>
      </c>
      <c r="M523" s="637" t="s">
        <v>42</v>
      </c>
      <c r="N523" s="637" t="s">
        <v>46</v>
      </c>
      <c r="O523" s="637" t="s">
        <v>46</v>
      </c>
      <c r="P523" s="637" t="s">
        <v>47</v>
      </c>
      <c r="Q523" s="638">
        <v>1196</v>
      </c>
      <c r="R523" s="638">
        <v>1196</v>
      </c>
      <c r="S523" s="638">
        <v>6933</v>
      </c>
      <c r="T523" s="638">
        <v>6933</v>
      </c>
      <c r="U523" s="638">
        <v>355.48700000000002</v>
      </c>
      <c r="V523" s="636">
        <v>2022</v>
      </c>
      <c r="W523" s="640"/>
      <c r="X523" s="641">
        <f t="shared" si="24"/>
        <v>19.5028228880381</v>
      </c>
      <c r="Y523" s="642" t="str">
        <f t="shared" si="25"/>
        <v/>
      </c>
      <c r="Z523" s="642" t="str">
        <f t="shared" si="23"/>
        <v/>
      </c>
    </row>
    <row r="524" spans="1:26" s="127" customFormat="1" ht="25">
      <c r="A524" s="636">
        <v>10464</v>
      </c>
      <c r="B524" s="637" t="s">
        <v>33</v>
      </c>
      <c r="C524" s="636" t="s">
        <v>2725</v>
      </c>
      <c r="D524" s="637" t="s">
        <v>1794</v>
      </c>
      <c r="E524" s="637" t="s">
        <v>1174</v>
      </c>
      <c r="F524" s="636">
        <v>1746</v>
      </c>
      <c r="G524" s="637" t="s">
        <v>57</v>
      </c>
      <c r="H524" s="637" t="s">
        <v>1162</v>
      </c>
      <c r="I524" s="637" t="s">
        <v>58</v>
      </c>
      <c r="J524" s="636">
        <v>22</v>
      </c>
      <c r="K524" s="636">
        <v>2</v>
      </c>
      <c r="L524" s="637" t="s">
        <v>52</v>
      </c>
      <c r="M524" s="637" t="s">
        <v>42</v>
      </c>
      <c r="N524" s="637" t="s">
        <v>66</v>
      </c>
      <c r="O524" s="637" t="s">
        <v>67</v>
      </c>
      <c r="P524" s="637" t="s">
        <v>47</v>
      </c>
      <c r="Q524" s="638">
        <v>0</v>
      </c>
      <c r="R524" s="638">
        <v>0</v>
      </c>
      <c r="S524" s="638">
        <v>0</v>
      </c>
      <c r="T524" s="638">
        <v>0</v>
      </c>
      <c r="U524" s="638">
        <v>0</v>
      </c>
      <c r="V524" s="636">
        <v>2022</v>
      </c>
      <c r="W524" s="640"/>
      <c r="X524" s="641" t="str">
        <f t="shared" si="24"/>
        <v/>
      </c>
      <c r="Y524" s="642" t="str">
        <f t="shared" si="25"/>
        <v/>
      </c>
      <c r="Z524" s="642" t="str">
        <f t="shared" si="23"/>
        <v/>
      </c>
    </row>
    <row r="525" spans="1:26" s="127" customFormat="1" ht="25">
      <c r="A525" s="636">
        <v>10464</v>
      </c>
      <c r="B525" s="637" t="s">
        <v>33</v>
      </c>
      <c r="C525" s="636" t="s">
        <v>2725</v>
      </c>
      <c r="D525" s="637" t="s">
        <v>1794</v>
      </c>
      <c r="E525" s="637" t="s">
        <v>1174</v>
      </c>
      <c r="F525" s="636">
        <v>1746</v>
      </c>
      <c r="G525" s="637" t="s">
        <v>57</v>
      </c>
      <c r="H525" s="637" t="s">
        <v>1162</v>
      </c>
      <c r="I525" s="637" t="s">
        <v>58</v>
      </c>
      <c r="J525" s="636">
        <v>22</v>
      </c>
      <c r="K525" s="636">
        <v>2</v>
      </c>
      <c r="L525" s="637" t="s">
        <v>52</v>
      </c>
      <c r="M525" s="637" t="s">
        <v>42</v>
      </c>
      <c r="N525" s="637" t="s">
        <v>65</v>
      </c>
      <c r="O525" s="637" t="s">
        <v>65</v>
      </c>
      <c r="P525" s="637" t="s">
        <v>45</v>
      </c>
      <c r="Q525" s="638">
        <v>0</v>
      </c>
      <c r="R525" s="638">
        <v>0</v>
      </c>
      <c r="S525" s="638">
        <v>0</v>
      </c>
      <c r="T525" s="638">
        <v>0</v>
      </c>
      <c r="U525" s="638">
        <v>0</v>
      </c>
      <c r="V525" s="636">
        <v>2022</v>
      </c>
      <c r="W525" s="640"/>
      <c r="X525" s="641" t="str">
        <f t="shared" si="24"/>
        <v/>
      </c>
      <c r="Y525" s="642" t="str">
        <f t="shared" si="25"/>
        <v/>
      </c>
      <c r="Z525" s="642" t="str">
        <f t="shared" si="23"/>
        <v/>
      </c>
    </row>
    <row r="526" spans="1:26" s="127" customFormat="1" ht="25">
      <c r="A526" s="636">
        <v>10464</v>
      </c>
      <c r="B526" s="637" t="s">
        <v>33</v>
      </c>
      <c r="C526" s="636" t="s">
        <v>2725</v>
      </c>
      <c r="D526" s="637" t="s">
        <v>1794</v>
      </c>
      <c r="E526" s="637" t="s">
        <v>1174</v>
      </c>
      <c r="F526" s="636">
        <v>1746</v>
      </c>
      <c r="G526" s="637" t="s">
        <v>57</v>
      </c>
      <c r="H526" s="637" t="s">
        <v>1162</v>
      </c>
      <c r="I526" s="637" t="s">
        <v>58</v>
      </c>
      <c r="J526" s="636">
        <v>22</v>
      </c>
      <c r="K526" s="636">
        <v>2</v>
      </c>
      <c r="L526" s="637" t="s">
        <v>52</v>
      </c>
      <c r="M526" s="637" t="s">
        <v>42</v>
      </c>
      <c r="N526" s="637" t="s">
        <v>396</v>
      </c>
      <c r="O526" s="637" t="s">
        <v>82</v>
      </c>
      <c r="P526" s="637" t="s">
        <v>45</v>
      </c>
      <c r="Q526" s="638">
        <v>3165</v>
      </c>
      <c r="R526" s="638">
        <v>3165</v>
      </c>
      <c r="S526" s="638">
        <v>84032</v>
      </c>
      <c r="T526" s="638">
        <v>84032</v>
      </c>
      <c r="U526" s="638">
        <v>4306.893</v>
      </c>
      <c r="V526" s="636">
        <v>2022</v>
      </c>
      <c r="W526" s="640"/>
      <c r="X526" s="641">
        <f t="shared" si="24"/>
        <v>19.511048916237296</v>
      </c>
      <c r="Y526" s="642" t="str">
        <f t="shared" si="25"/>
        <v/>
      </c>
      <c r="Z526" s="642" t="str">
        <f t="shared" si="23"/>
        <v/>
      </c>
    </row>
    <row r="527" spans="1:26" s="127" customFormat="1" ht="25">
      <c r="A527" s="636">
        <v>10464</v>
      </c>
      <c r="B527" s="637" t="s">
        <v>33</v>
      </c>
      <c r="C527" s="636" t="s">
        <v>2725</v>
      </c>
      <c r="D527" s="637" t="s">
        <v>1794</v>
      </c>
      <c r="E527" s="637" t="s">
        <v>1174</v>
      </c>
      <c r="F527" s="636">
        <v>1746</v>
      </c>
      <c r="G527" s="637" t="s">
        <v>57</v>
      </c>
      <c r="H527" s="637" t="s">
        <v>1162</v>
      </c>
      <c r="I527" s="637" t="s">
        <v>58</v>
      </c>
      <c r="J527" s="636">
        <v>22</v>
      </c>
      <c r="K527" s="636">
        <v>2</v>
      </c>
      <c r="L527" s="637" t="s">
        <v>52</v>
      </c>
      <c r="M527" s="637" t="s">
        <v>42</v>
      </c>
      <c r="N527" s="637" t="s">
        <v>69</v>
      </c>
      <c r="O527" s="637" t="s">
        <v>70</v>
      </c>
      <c r="P527" s="637" t="s">
        <v>45</v>
      </c>
      <c r="Q527" s="638">
        <v>471448</v>
      </c>
      <c r="R527" s="638">
        <v>471448</v>
      </c>
      <c r="S527" s="638">
        <v>4950207</v>
      </c>
      <c r="T527" s="638">
        <v>4950207</v>
      </c>
      <c r="U527" s="638">
        <v>254813.62</v>
      </c>
      <c r="V527" s="636">
        <v>2022</v>
      </c>
      <c r="W527" s="640"/>
      <c r="X527" s="641">
        <f t="shared" si="24"/>
        <v>19.426775538921351</v>
      </c>
      <c r="Y527" s="642" t="str">
        <f t="shared" si="25"/>
        <v/>
      </c>
      <c r="Z527" s="642" t="str">
        <f t="shared" si="23"/>
        <v/>
      </c>
    </row>
    <row r="528" spans="1:26" s="127" customFormat="1" ht="25">
      <c r="A528" s="636">
        <v>10467</v>
      </c>
      <c r="B528" s="637" t="s">
        <v>33</v>
      </c>
      <c r="C528" s="636" t="s">
        <v>2725</v>
      </c>
      <c r="D528" s="637" t="s">
        <v>785</v>
      </c>
      <c r="E528" s="637" t="s">
        <v>773</v>
      </c>
      <c r="F528" s="636">
        <v>55754</v>
      </c>
      <c r="G528" s="637" t="s">
        <v>57</v>
      </c>
      <c r="H528" s="637" t="s">
        <v>1162</v>
      </c>
      <c r="I528" s="637" t="s">
        <v>58</v>
      </c>
      <c r="J528" s="636">
        <v>22</v>
      </c>
      <c r="K528" s="636">
        <v>2</v>
      </c>
      <c r="L528" s="637" t="s">
        <v>52</v>
      </c>
      <c r="M528" s="637" t="s">
        <v>35</v>
      </c>
      <c r="N528" s="637" t="s">
        <v>36</v>
      </c>
      <c r="O528" s="637" t="s">
        <v>37</v>
      </c>
      <c r="P528" s="637" t="s">
        <v>1156</v>
      </c>
      <c r="Q528" s="638">
        <v>0</v>
      </c>
      <c r="R528" s="638">
        <v>0</v>
      </c>
      <c r="S528" s="638">
        <v>41817</v>
      </c>
      <c r="T528" s="638">
        <v>41817</v>
      </c>
      <c r="U528" s="638">
        <v>12256</v>
      </c>
      <c r="V528" s="636">
        <v>2022</v>
      </c>
      <c r="W528" s="640"/>
      <c r="X528" s="641">
        <f t="shared" si="24"/>
        <v>3.4119614882506526</v>
      </c>
      <c r="Y528" s="642" t="str">
        <f t="shared" si="25"/>
        <v/>
      </c>
      <c r="Z528" s="642" t="str">
        <f t="shared" ref="Z528:Z591" si="26">IF(AND($M528=$Y$2,$N528=$Y$4,NOT($Q528=$R528),NOT($U528=0)),IF($K528=5,$S528/($U528+(8/5)*$U528),IF($K528=7,$S528/($U528+(29/25)*$U528),"")),"")</f>
        <v/>
      </c>
    </row>
    <row r="529" spans="1:26" s="127" customFormat="1" ht="25">
      <c r="A529" s="636">
        <v>10490</v>
      </c>
      <c r="B529" s="637" t="s">
        <v>33</v>
      </c>
      <c r="C529" s="636" t="s">
        <v>2725</v>
      </c>
      <c r="D529" s="637" t="s">
        <v>1570</v>
      </c>
      <c r="E529" s="637" t="s">
        <v>3025</v>
      </c>
      <c r="F529" s="636">
        <v>57280</v>
      </c>
      <c r="G529" s="637" t="s">
        <v>57</v>
      </c>
      <c r="H529" s="637" t="s">
        <v>1162</v>
      </c>
      <c r="I529" s="637" t="s">
        <v>58</v>
      </c>
      <c r="J529" s="636">
        <v>22</v>
      </c>
      <c r="K529" s="636">
        <v>2</v>
      </c>
      <c r="L529" s="637" t="s">
        <v>52</v>
      </c>
      <c r="M529" s="637" t="s">
        <v>35</v>
      </c>
      <c r="N529" s="637" t="s">
        <v>36</v>
      </c>
      <c r="O529" s="637" t="s">
        <v>37</v>
      </c>
      <c r="P529" s="637" t="s">
        <v>1156</v>
      </c>
      <c r="Q529" s="638">
        <v>0</v>
      </c>
      <c r="R529" s="638">
        <v>0</v>
      </c>
      <c r="S529" s="638">
        <v>28049</v>
      </c>
      <c r="T529" s="638">
        <v>28049</v>
      </c>
      <c r="U529" s="638">
        <v>8221</v>
      </c>
      <c r="V529" s="636">
        <v>2022</v>
      </c>
      <c r="W529" s="640"/>
      <c r="X529" s="641">
        <f t="shared" si="24"/>
        <v>3.4118720350322347</v>
      </c>
      <c r="Y529" s="642" t="str">
        <f t="shared" si="25"/>
        <v/>
      </c>
      <c r="Z529" s="642" t="str">
        <f t="shared" si="26"/>
        <v/>
      </c>
    </row>
    <row r="530" spans="1:26" s="127" customFormat="1" ht="37.5" hidden="1">
      <c r="A530" s="636">
        <v>10491</v>
      </c>
      <c r="B530" s="637" t="s">
        <v>54</v>
      </c>
      <c r="C530" s="636" t="s">
        <v>2725</v>
      </c>
      <c r="D530" s="637" t="s">
        <v>786</v>
      </c>
      <c r="E530" s="637" t="s">
        <v>2733</v>
      </c>
      <c r="F530" s="636">
        <v>61813</v>
      </c>
      <c r="G530" s="637" t="s">
        <v>90</v>
      </c>
      <c r="H530" s="637" t="s">
        <v>1163</v>
      </c>
      <c r="I530" s="637" t="s">
        <v>58</v>
      </c>
      <c r="J530" s="636">
        <v>322122</v>
      </c>
      <c r="K530" s="636">
        <v>7</v>
      </c>
      <c r="L530" s="637" t="s">
        <v>403</v>
      </c>
      <c r="M530" s="637" t="s">
        <v>42</v>
      </c>
      <c r="N530" s="637" t="s">
        <v>39</v>
      </c>
      <c r="O530" s="637" t="s">
        <v>39</v>
      </c>
      <c r="P530" s="637" t="s">
        <v>1020</v>
      </c>
      <c r="Q530" s="638">
        <v>600850</v>
      </c>
      <c r="R530" s="638">
        <v>0</v>
      </c>
      <c r="S530" s="638">
        <v>600850</v>
      </c>
      <c r="T530" s="638">
        <v>0</v>
      </c>
      <c r="U530" s="638">
        <v>0</v>
      </c>
      <c r="V530" s="636">
        <v>2022</v>
      </c>
      <c r="W530" s="640"/>
      <c r="X530" s="641" t="str">
        <f t="shared" si="24"/>
        <v/>
      </c>
      <c r="Y530" s="642" t="str">
        <f t="shared" si="25"/>
        <v/>
      </c>
      <c r="Z530" s="642" t="str">
        <f t="shared" si="26"/>
        <v/>
      </c>
    </row>
    <row r="531" spans="1:26" s="127" customFormat="1" ht="37.5" hidden="1">
      <c r="A531" s="636">
        <v>10491</v>
      </c>
      <c r="B531" s="637" t="s">
        <v>54</v>
      </c>
      <c r="C531" s="636" t="s">
        <v>2725</v>
      </c>
      <c r="D531" s="637" t="s">
        <v>786</v>
      </c>
      <c r="E531" s="637" t="s">
        <v>2733</v>
      </c>
      <c r="F531" s="636">
        <v>61813</v>
      </c>
      <c r="G531" s="637" t="s">
        <v>90</v>
      </c>
      <c r="H531" s="637" t="s">
        <v>1163</v>
      </c>
      <c r="I531" s="637" t="s">
        <v>58</v>
      </c>
      <c r="J531" s="636">
        <v>322122</v>
      </c>
      <c r="K531" s="636">
        <v>7</v>
      </c>
      <c r="L531" s="637" t="s">
        <v>403</v>
      </c>
      <c r="M531" s="637" t="s">
        <v>42</v>
      </c>
      <c r="N531" s="637" t="s">
        <v>61</v>
      </c>
      <c r="O531" s="637" t="s">
        <v>61</v>
      </c>
      <c r="P531" s="637" t="s">
        <v>47</v>
      </c>
      <c r="Q531" s="638">
        <v>0</v>
      </c>
      <c r="R531" s="638">
        <v>0</v>
      </c>
      <c r="S531" s="638">
        <v>0</v>
      </c>
      <c r="T531" s="638">
        <v>0</v>
      </c>
      <c r="U531" s="638">
        <v>0</v>
      </c>
      <c r="V531" s="636">
        <v>2022</v>
      </c>
      <c r="W531" s="640"/>
      <c r="X531" s="641" t="str">
        <f t="shared" si="24"/>
        <v/>
      </c>
      <c r="Y531" s="642" t="str">
        <f t="shared" si="25"/>
        <v/>
      </c>
      <c r="Z531" s="642" t="str">
        <f t="shared" si="26"/>
        <v/>
      </c>
    </row>
    <row r="532" spans="1:26" s="127" customFormat="1" ht="37.5" hidden="1">
      <c r="A532" s="636">
        <v>10491</v>
      </c>
      <c r="B532" s="637" t="s">
        <v>54</v>
      </c>
      <c r="C532" s="636" t="s">
        <v>2725</v>
      </c>
      <c r="D532" s="637" t="s">
        <v>786</v>
      </c>
      <c r="E532" s="637" t="s">
        <v>2733</v>
      </c>
      <c r="F532" s="636">
        <v>61813</v>
      </c>
      <c r="G532" s="637" t="s">
        <v>90</v>
      </c>
      <c r="H532" s="637" t="s">
        <v>1163</v>
      </c>
      <c r="I532" s="637" t="s">
        <v>58</v>
      </c>
      <c r="J532" s="636">
        <v>322122</v>
      </c>
      <c r="K532" s="636">
        <v>7</v>
      </c>
      <c r="L532" s="637" t="s">
        <v>403</v>
      </c>
      <c r="M532" s="637" t="s">
        <v>42</v>
      </c>
      <c r="N532" s="637" t="s">
        <v>152</v>
      </c>
      <c r="O532" s="637" t="s">
        <v>49</v>
      </c>
      <c r="P532" s="637" t="s">
        <v>45</v>
      </c>
      <c r="Q532" s="638">
        <v>0</v>
      </c>
      <c r="R532" s="638">
        <v>0</v>
      </c>
      <c r="S532" s="638">
        <v>0</v>
      </c>
      <c r="T532" s="638">
        <v>0</v>
      </c>
      <c r="U532" s="638">
        <v>0</v>
      </c>
      <c r="V532" s="636">
        <v>2022</v>
      </c>
      <c r="W532" s="640"/>
      <c r="X532" s="641" t="str">
        <f t="shared" si="24"/>
        <v/>
      </c>
      <c r="Y532" s="642" t="str">
        <f t="shared" si="25"/>
        <v/>
      </c>
      <c r="Z532" s="642" t="str">
        <f t="shared" si="26"/>
        <v/>
      </c>
    </row>
    <row r="533" spans="1:26" s="127" customFormat="1" ht="25">
      <c r="A533" s="636">
        <v>10493</v>
      </c>
      <c r="B533" s="637" t="s">
        <v>33</v>
      </c>
      <c r="C533" s="636" t="s">
        <v>2725</v>
      </c>
      <c r="D533" s="637" t="s">
        <v>1175</v>
      </c>
      <c r="E533" s="637" t="s">
        <v>146</v>
      </c>
      <c r="F533" s="636">
        <v>50083</v>
      </c>
      <c r="G533" s="637" t="s">
        <v>90</v>
      </c>
      <c r="H533" s="637" t="s">
        <v>1163</v>
      </c>
      <c r="I533" s="637" t="s">
        <v>58</v>
      </c>
      <c r="J533" s="636">
        <v>22</v>
      </c>
      <c r="K533" s="636">
        <v>2</v>
      </c>
      <c r="L533" s="637" t="s">
        <v>52</v>
      </c>
      <c r="M533" s="637" t="s">
        <v>35</v>
      </c>
      <c r="N533" s="637" t="s">
        <v>36</v>
      </c>
      <c r="O533" s="637" t="s">
        <v>37</v>
      </c>
      <c r="P533" s="637" t="s">
        <v>1156</v>
      </c>
      <c r="Q533" s="638">
        <v>0</v>
      </c>
      <c r="R533" s="638">
        <v>0</v>
      </c>
      <c r="S533" s="638">
        <v>840266</v>
      </c>
      <c r="T533" s="638">
        <v>840266</v>
      </c>
      <c r="U533" s="638">
        <v>246268</v>
      </c>
      <c r="V533" s="636">
        <v>2022</v>
      </c>
      <c r="W533" s="640"/>
      <c r="X533" s="641">
        <f t="shared" si="24"/>
        <v>3.4119983107833742</v>
      </c>
      <c r="Y533" s="642" t="str">
        <f t="shared" si="25"/>
        <v/>
      </c>
      <c r="Z533" s="642" t="str">
        <f t="shared" si="26"/>
        <v/>
      </c>
    </row>
    <row r="534" spans="1:26" s="127" customFormat="1" ht="25">
      <c r="A534" s="636">
        <v>10494</v>
      </c>
      <c r="B534" s="637" t="s">
        <v>33</v>
      </c>
      <c r="C534" s="636" t="s">
        <v>2725</v>
      </c>
      <c r="D534" s="637" t="s">
        <v>787</v>
      </c>
      <c r="E534" s="637" t="s">
        <v>3027</v>
      </c>
      <c r="F534" s="636">
        <v>64078</v>
      </c>
      <c r="G534" s="637" t="s">
        <v>89</v>
      </c>
      <c r="H534" s="637" t="s">
        <v>1163</v>
      </c>
      <c r="I534" s="637" t="s">
        <v>58</v>
      </c>
      <c r="J534" s="636">
        <v>22</v>
      </c>
      <c r="K534" s="636">
        <v>2</v>
      </c>
      <c r="L534" s="637" t="s">
        <v>52</v>
      </c>
      <c r="M534" s="637" t="s">
        <v>35</v>
      </c>
      <c r="N534" s="637" t="s">
        <v>36</v>
      </c>
      <c r="O534" s="637" t="s">
        <v>37</v>
      </c>
      <c r="P534" s="637" t="s">
        <v>1156</v>
      </c>
      <c r="Q534" s="638">
        <v>0</v>
      </c>
      <c r="R534" s="638">
        <v>0</v>
      </c>
      <c r="S534" s="638">
        <v>243601</v>
      </c>
      <c r="T534" s="638">
        <v>243601</v>
      </c>
      <c r="U534" s="638">
        <v>71395</v>
      </c>
      <c r="V534" s="636">
        <v>2022</v>
      </c>
      <c r="W534" s="640"/>
      <c r="X534" s="641">
        <f t="shared" si="24"/>
        <v>3.4120176482946984</v>
      </c>
      <c r="Y534" s="642" t="str">
        <f t="shared" si="25"/>
        <v/>
      </c>
      <c r="Z534" s="642" t="str">
        <f t="shared" si="26"/>
        <v/>
      </c>
    </row>
    <row r="535" spans="1:26" s="127" customFormat="1" ht="25">
      <c r="A535" s="636">
        <v>10495</v>
      </c>
      <c r="B535" s="637" t="s">
        <v>54</v>
      </c>
      <c r="C535" s="636" t="s">
        <v>2725</v>
      </c>
      <c r="D535" s="637" t="s">
        <v>91</v>
      </c>
      <c r="E535" s="637" t="s">
        <v>2733</v>
      </c>
      <c r="F535" s="636">
        <v>61813</v>
      </c>
      <c r="G535" s="637" t="s">
        <v>90</v>
      </c>
      <c r="H535" s="637" t="s">
        <v>1163</v>
      </c>
      <c r="I535" s="637" t="s">
        <v>58</v>
      </c>
      <c r="J535" s="636">
        <v>22</v>
      </c>
      <c r="K535" s="636">
        <v>3</v>
      </c>
      <c r="L535" s="637" t="s">
        <v>55</v>
      </c>
      <c r="M535" s="637" t="s">
        <v>42</v>
      </c>
      <c r="N535" s="637" t="s">
        <v>43</v>
      </c>
      <c r="O535" s="637" t="s">
        <v>44</v>
      </c>
      <c r="P535" s="637" t="s">
        <v>45</v>
      </c>
      <c r="Q535" s="638">
        <v>65391</v>
      </c>
      <c r="R535" s="638">
        <v>12274</v>
      </c>
      <c r="S535" s="638">
        <v>1269276</v>
      </c>
      <c r="T535" s="638">
        <v>238241</v>
      </c>
      <c r="U535" s="638">
        <v>42442.264999999999</v>
      </c>
      <c r="V535" s="636">
        <v>2022</v>
      </c>
      <c r="W535" s="640"/>
      <c r="X535" s="641">
        <f t="shared" si="24"/>
        <v>5.6132960858710064</v>
      </c>
      <c r="Y535" s="642" t="str">
        <f t="shared" si="25"/>
        <v/>
      </c>
      <c r="Z535" s="642" t="str">
        <f t="shared" si="26"/>
        <v/>
      </c>
    </row>
    <row r="536" spans="1:26" s="127" customFormat="1" ht="25">
      <c r="A536" s="636">
        <v>10495</v>
      </c>
      <c r="B536" s="637" t="s">
        <v>54</v>
      </c>
      <c r="C536" s="636" t="s">
        <v>2725</v>
      </c>
      <c r="D536" s="637" t="s">
        <v>91</v>
      </c>
      <c r="E536" s="637" t="s">
        <v>2733</v>
      </c>
      <c r="F536" s="636">
        <v>61813</v>
      </c>
      <c r="G536" s="637" t="s">
        <v>90</v>
      </c>
      <c r="H536" s="637" t="s">
        <v>1163</v>
      </c>
      <c r="I536" s="637" t="s">
        <v>58</v>
      </c>
      <c r="J536" s="636">
        <v>22</v>
      </c>
      <c r="K536" s="636">
        <v>3</v>
      </c>
      <c r="L536" s="637" t="s">
        <v>55</v>
      </c>
      <c r="M536" s="637" t="s">
        <v>42</v>
      </c>
      <c r="N536" s="637" t="s">
        <v>151</v>
      </c>
      <c r="O536" s="637" t="s">
        <v>70</v>
      </c>
      <c r="P536" s="637" t="s">
        <v>45</v>
      </c>
      <c r="Q536" s="638">
        <v>532826</v>
      </c>
      <c r="R536" s="638">
        <v>101622</v>
      </c>
      <c r="S536" s="638">
        <v>6127502</v>
      </c>
      <c r="T536" s="638">
        <v>1168631</v>
      </c>
      <c r="U536" s="638">
        <v>209426.59</v>
      </c>
      <c r="V536" s="636">
        <v>2022</v>
      </c>
      <c r="W536" s="640"/>
      <c r="X536" s="641">
        <f t="shared" si="24"/>
        <v>5.5801462459948379</v>
      </c>
      <c r="Y536" s="642" t="str">
        <f t="shared" si="25"/>
        <v/>
      </c>
      <c r="Z536" s="642" t="str">
        <f t="shared" si="26"/>
        <v/>
      </c>
    </row>
    <row r="537" spans="1:26" s="127" customFormat="1" ht="25">
      <c r="A537" s="636">
        <v>10495</v>
      </c>
      <c r="B537" s="637" t="s">
        <v>54</v>
      </c>
      <c r="C537" s="636" t="s">
        <v>2725</v>
      </c>
      <c r="D537" s="637" t="s">
        <v>91</v>
      </c>
      <c r="E537" s="637" t="s">
        <v>2733</v>
      </c>
      <c r="F537" s="636">
        <v>61813</v>
      </c>
      <c r="G537" s="637" t="s">
        <v>90</v>
      </c>
      <c r="H537" s="637" t="s">
        <v>1163</v>
      </c>
      <c r="I537" s="637" t="s">
        <v>58</v>
      </c>
      <c r="J537" s="636">
        <v>22</v>
      </c>
      <c r="K537" s="636">
        <v>3</v>
      </c>
      <c r="L537" s="637" t="s">
        <v>55</v>
      </c>
      <c r="M537" s="637" t="s">
        <v>42</v>
      </c>
      <c r="N537" s="637" t="s">
        <v>46</v>
      </c>
      <c r="O537" s="637" t="s">
        <v>46</v>
      </c>
      <c r="P537" s="637" t="s">
        <v>47</v>
      </c>
      <c r="Q537" s="638">
        <v>0</v>
      </c>
      <c r="R537" s="638">
        <v>0</v>
      </c>
      <c r="S537" s="638">
        <v>0</v>
      </c>
      <c r="T537" s="638">
        <v>0</v>
      </c>
      <c r="U537" s="638">
        <v>0</v>
      </c>
      <c r="V537" s="636">
        <v>2022</v>
      </c>
      <c r="W537" s="640"/>
      <c r="X537" s="641" t="str">
        <f t="shared" si="24"/>
        <v/>
      </c>
      <c r="Y537" s="642" t="str">
        <f t="shared" si="25"/>
        <v/>
      </c>
      <c r="Z537" s="642" t="str">
        <f t="shared" si="26"/>
        <v/>
      </c>
    </row>
    <row r="538" spans="1:26" s="127" customFormat="1" ht="25">
      <c r="A538" s="636">
        <v>10495</v>
      </c>
      <c r="B538" s="637" t="s">
        <v>54</v>
      </c>
      <c r="C538" s="636" t="s">
        <v>2725</v>
      </c>
      <c r="D538" s="637" t="s">
        <v>91</v>
      </c>
      <c r="E538" s="637" t="s">
        <v>2733</v>
      </c>
      <c r="F538" s="636">
        <v>61813</v>
      </c>
      <c r="G538" s="637" t="s">
        <v>90</v>
      </c>
      <c r="H538" s="637" t="s">
        <v>1163</v>
      </c>
      <c r="I538" s="637" t="s">
        <v>58</v>
      </c>
      <c r="J538" s="636">
        <v>22</v>
      </c>
      <c r="K538" s="636">
        <v>3</v>
      </c>
      <c r="L538" s="637" t="s">
        <v>55</v>
      </c>
      <c r="M538" s="637" t="s">
        <v>42</v>
      </c>
      <c r="N538" s="637" t="s">
        <v>61</v>
      </c>
      <c r="O538" s="637" t="s">
        <v>61</v>
      </c>
      <c r="P538" s="637" t="s">
        <v>47</v>
      </c>
      <c r="Q538" s="638">
        <v>66549</v>
      </c>
      <c r="R538" s="638">
        <v>12279</v>
      </c>
      <c r="S538" s="638">
        <v>408023</v>
      </c>
      <c r="T538" s="638">
        <v>75289</v>
      </c>
      <c r="U538" s="638">
        <v>13462.797</v>
      </c>
      <c r="V538" s="636">
        <v>2022</v>
      </c>
      <c r="W538" s="640"/>
      <c r="X538" s="641">
        <f t="shared" si="24"/>
        <v>5.5923743037943749</v>
      </c>
      <c r="Y538" s="642" t="str">
        <f t="shared" si="25"/>
        <v/>
      </c>
      <c r="Z538" s="642" t="str">
        <f t="shared" si="26"/>
        <v/>
      </c>
    </row>
    <row r="539" spans="1:26" s="127" customFormat="1" ht="25">
      <c r="A539" s="636">
        <v>10495</v>
      </c>
      <c r="B539" s="637" t="s">
        <v>54</v>
      </c>
      <c r="C539" s="636" t="s">
        <v>2725</v>
      </c>
      <c r="D539" s="637" t="s">
        <v>91</v>
      </c>
      <c r="E539" s="637" t="s">
        <v>2733</v>
      </c>
      <c r="F539" s="636">
        <v>61813</v>
      </c>
      <c r="G539" s="637" t="s">
        <v>90</v>
      </c>
      <c r="H539" s="637" t="s">
        <v>1163</v>
      </c>
      <c r="I539" s="637" t="s">
        <v>58</v>
      </c>
      <c r="J539" s="636">
        <v>22</v>
      </c>
      <c r="K539" s="636">
        <v>3</v>
      </c>
      <c r="L539" s="637" t="s">
        <v>55</v>
      </c>
      <c r="M539" s="637" t="s">
        <v>42</v>
      </c>
      <c r="N539" s="637" t="s">
        <v>152</v>
      </c>
      <c r="O539" s="637" t="s">
        <v>49</v>
      </c>
      <c r="P539" s="637" t="s">
        <v>45</v>
      </c>
      <c r="Q539" s="638">
        <v>25107</v>
      </c>
      <c r="R539" s="638">
        <v>4823</v>
      </c>
      <c r="S539" s="638">
        <v>105449</v>
      </c>
      <c r="T539" s="638">
        <v>20257</v>
      </c>
      <c r="U539" s="638">
        <v>3599.154</v>
      </c>
      <c r="V539" s="636">
        <v>2022</v>
      </c>
      <c r="W539" s="640"/>
      <c r="X539" s="641">
        <f t="shared" si="24"/>
        <v>5.628267087209939</v>
      </c>
      <c r="Y539" s="642" t="str">
        <f t="shared" si="25"/>
        <v/>
      </c>
      <c r="Z539" s="642" t="str">
        <f t="shared" si="26"/>
        <v/>
      </c>
    </row>
    <row r="540" spans="1:26" s="127" customFormat="1" ht="25">
      <c r="A540" s="636">
        <v>10495</v>
      </c>
      <c r="B540" s="637" t="s">
        <v>54</v>
      </c>
      <c r="C540" s="636" t="s">
        <v>2725</v>
      </c>
      <c r="D540" s="637" t="s">
        <v>91</v>
      </c>
      <c r="E540" s="637" t="s">
        <v>2733</v>
      </c>
      <c r="F540" s="636">
        <v>61813</v>
      </c>
      <c r="G540" s="637" t="s">
        <v>90</v>
      </c>
      <c r="H540" s="637" t="s">
        <v>1163</v>
      </c>
      <c r="I540" s="637" t="s">
        <v>58</v>
      </c>
      <c r="J540" s="636">
        <v>22</v>
      </c>
      <c r="K540" s="636">
        <v>3</v>
      </c>
      <c r="L540" s="637" t="s">
        <v>55</v>
      </c>
      <c r="M540" s="637" t="s">
        <v>42</v>
      </c>
      <c r="N540" s="637" t="s">
        <v>396</v>
      </c>
      <c r="O540" s="637" t="s">
        <v>82</v>
      </c>
      <c r="P540" s="637" t="s">
        <v>45</v>
      </c>
      <c r="Q540" s="638">
        <v>77099</v>
      </c>
      <c r="R540" s="638">
        <v>14694</v>
      </c>
      <c r="S540" s="638">
        <v>2312970</v>
      </c>
      <c r="T540" s="638">
        <v>440869</v>
      </c>
      <c r="U540" s="638">
        <v>78779.656000000003</v>
      </c>
      <c r="V540" s="636">
        <v>2022</v>
      </c>
      <c r="W540" s="640"/>
      <c r="X540" s="641">
        <f t="shared" si="24"/>
        <v>5.5962290569027111</v>
      </c>
      <c r="Y540" s="642" t="str">
        <f t="shared" si="25"/>
        <v/>
      </c>
      <c r="Z540" s="642" t="str">
        <f t="shared" si="26"/>
        <v/>
      </c>
    </row>
    <row r="541" spans="1:26" s="127" customFormat="1" ht="25">
      <c r="A541" s="636">
        <v>10495</v>
      </c>
      <c r="B541" s="637" t="s">
        <v>54</v>
      </c>
      <c r="C541" s="636" t="s">
        <v>2725</v>
      </c>
      <c r="D541" s="637" t="s">
        <v>91</v>
      </c>
      <c r="E541" s="637" t="s">
        <v>2733</v>
      </c>
      <c r="F541" s="636">
        <v>61813</v>
      </c>
      <c r="G541" s="637" t="s">
        <v>90</v>
      </c>
      <c r="H541" s="637" t="s">
        <v>1163</v>
      </c>
      <c r="I541" s="637" t="s">
        <v>58</v>
      </c>
      <c r="J541" s="636">
        <v>22</v>
      </c>
      <c r="K541" s="636">
        <v>3</v>
      </c>
      <c r="L541" s="637" t="s">
        <v>55</v>
      </c>
      <c r="M541" s="637" t="s">
        <v>42</v>
      </c>
      <c r="N541" s="637" t="s">
        <v>69</v>
      </c>
      <c r="O541" s="637" t="s">
        <v>70</v>
      </c>
      <c r="P541" s="637" t="s">
        <v>45</v>
      </c>
      <c r="Q541" s="638">
        <v>281344</v>
      </c>
      <c r="R541" s="638">
        <v>53200</v>
      </c>
      <c r="S541" s="638">
        <v>2391428</v>
      </c>
      <c r="T541" s="638">
        <v>452191</v>
      </c>
      <c r="U541" s="638">
        <v>80700.542000000001</v>
      </c>
      <c r="V541" s="636">
        <v>2022</v>
      </c>
      <c r="W541" s="640"/>
      <c r="X541" s="641">
        <f t="shared" si="24"/>
        <v>5.6033204832750689</v>
      </c>
      <c r="Y541" s="642" t="str">
        <f t="shared" si="25"/>
        <v/>
      </c>
      <c r="Z541" s="642" t="str">
        <f t="shared" si="26"/>
        <v/>
      </c>
    </row>
    <row r="542" spans="1:26" s="127" customFormat="1" ht="37.5" hidden="1">
      <c r="A542" s="636">
        <v>10503</v>
      </c>
      <c r="B542" s="637" t="s">
        <v>33</v>
      </c>
      <c r="C542" s="636" t="s">
        <v>2725</v>
      </c>
      <c r="D542" s="637" t="s">
        <v>788</v>
      </c>
      <c r="E542" s="637" t="s">
        <v>92</v>
      </c>
      <c r="F542" s="636">
        <v>20541</v>
      </c>
      <c r="G542" s="637" t="s">
        <v>57</v>
      </c>
      <c r="H542" s="637" t="s">
        <v>1162</v>
      </c>
      <c r="I542" s="637" t="s">
        <v>58</v>
      </c>
      <c r="J542" s="636">
        <v>562212</v>
      </c>
      <c r="K542" s="636">
        <v>4</v>
      </c>
      <c r="L542" s="637" t="s">
        <v>406</v>
      </c>
      <c r="M542" s="637" t="s">
        <v>42</v>
      </c>
      <c r="N542" s="637" t="s">
        <v>16</v>
      </c>
      <c r="O542" s="637" t="s">
        <v>64</v>
      </c>
      <c r="P542" s="637" t="s">
        <v>45</v>
      </c>
      <c r="Q542" s="638">
        <v>89405</v>
      </c>
      <c r="R542" s="638">
        <v>89405</v>
      </c>
      <c r="S542" s="638">
        <v>685925</v>
      </c>
      <c r="T542" s="638">
        <v>685925</v>
      </c>
      <c r="U542" s="638">
        <v>29689.025000000001</v>
      </c>
      <c r="V542" s="636">
        <v>2022</v>
      </c>
      <c r="W542" s="640"/>
      <c r="X542" s="641" t="str">
        <f t="shared" si="24"/>
        <v/>
      </c>
      <c r="Y542" s="642" t="str">
        <f t="shared" si="25"/>
        <v/>
      </c>
      <c r="Z542" s="642" t="str">
        <f t="shared" si="26"/>
        <v/>
      </c>
    </row>
    <row r="543" spans="1:26" s="127" customFormat="1" ht="37.5" hidden="1">
      <c r="A543" s="636">
        <v>10503</v>
      </c>
      <c r="B543" s="637" t="s">
        <v>33</v>
      </c>
      <c r="C543" s="636" t="s">
        <v>2725</v>
      </c>
      <c r="D543" s="637" t="s">
        <v>788</v>
      </c>
      <c r="E543" s="637" t="s">
        <v>92</v>
      </c>
      <c r="F543" s="636">
        <v>20541</v>
      </c>
      <c r="G543" s="637" t="s">
        <v>57</v>
      </c>
      <c r="H543" s="637" t="s">
        <v>1162</v>
      </c>
      <c r="I543" s="637" t="s">
        <v>58</v>
      </c>
      <c r="J543" s="636">
        <v>562212</v>
      </c>
      <c r="K543" s="636">
        <v>4</v>
      </c>
      <c r="L543" s="637" t="s">
        <v>406</v>
      </c>
      <c r="M543" s="637" t="s">
        <v>42</v>
      </c>
      <c r="N543" s="637" t="s">
        <v>17</v>
      </c>
      <c r="O543" s="637" t="s">
        <v>82</v>
      </c>
      <c r="P543" s="637" t="s">
        <v>45</v>
      </c>
      <c r="Q543" s="638">
        <v>57160</v>
      </c>
      <c r="R543" s="638">
        <v>57160</v>
      </c>
      <c r="S543" s="638">
        <v>838350</v>
      </c>
      <c r="T543" s="638">
        <v>838350</v>
      </c>
      <c r="U543" s="638">
        <v>36286.466999999997</v>
      </c>
      <c r="V543" s="636">
        <v>2022</v>
      </c>
      <c r="W543" s="640"/>
      <c r="X543" s="641" t="str">
        <f t="shared" si="24"/>
        <v/>
      </c>
      <c r="Y543" s="642" t="str">
        <f t="shared" si="25"/>
        <v/>
      </c>
      <c r="Z543" s="642" t="str">
        <f t="shared" si="26"/>
        <v/>
      </c>
    </row>
    <row r="544" spans="1:26" s="127" customFormat="1" ht="37.5" hidden="1">
      <c r="A544" s="636">
        <v>10503</v>
      </c>
      <c r="B544" s="637" t="s">
        <v>33</v>
      </c>
      <c r="C544" s="636" t="s">
        <v>2725</v>
      </c>
      <c r="D544" s="637" t="s">
        <v>788</v>
      </c>
      <c r="E544" s="637" t="s">
        <v>92</v>
      </c>
      <c r="F544" s="636">
        <v>20541</v>
      </c>
      <c r="G544" s="637" t="s">
        <v>57</v>
      </c>
      <c r="H544" s="637" t="s">
        <v>1162</v>
      </c>
      <c r="I544" s="637" t="s">
        <v>58</v>
      </c>
      <c r="J544" s="636">
        <v>562212</v>
      </c>
      <c r="K544" s="636">
        <v>4</v>
      </c>
      <c r="L544" s="637" t="s">
        <v>406</v>
      </c>
      <c r="M544" s="637" t="s">
        <v>42</v>
      </c>
      <c r="N544" s="637" t="s">
        <v>39</v>
      </c>
      <c r="O544" s="637" t="s">
        <v>39</v>
      </c>
      <c r="P544" s="637" t="s">
        <v>1020</v>
      </c>
      <c r="Q544" s="638">
        <v>1236</v>
      </c>
      <c r="R544" s="638">
        <v>1236</v>
      </c>
      <c r="S544" s="638">
        <v>1236</v>
      </c>
      <c r="T544" s="638">
        <v>1236</v>
      </c>
      <c r="U544" s="638">
        <v>56.508000000000003</v>
      </c>
      <c r="V544" s="636">
        <v>2022</v>
      </c>
      <c r="W544" s="640"/>
      <c r="X544" s="641" t="str">
        <f t="shared" si="24"/>
        <v/>
      </c>
      <c r="Y544" s="642" t="str">
        <f t="shared" si="25"/>
        <v/>
      </c>
      <c r="Z544" s="642" t="str">
        <f t="shared" si="26"/>
        <v/>
      </c>
    </row>
    <row r="545" spans="1:26" s="127" customFormat="1" ht="37.5" hidden="1">
      <c r="A545" s="636">
        <v>10511</v>
      </c>
      <c r="B545" s="637" t="s">
        <v>54</v>
      </c>
      <c r="C545" s="636" t="s">
        <v>2725</v>
      </c>
      <c r="D545" s="637" t="s">
        <v>409</v>
      </c>
      <c r="E545" s="637" t="s">
        <v>410</v>
      </c>
      <c r="F545" s="636">
        <v>56174</v>
      </c>
      <c r="G545" s="637" t="s">
        <v>57</v>
      </c>
      <c r="H545" s="637" t="s">
        <v>1162</v>
      </c>
      <c r="I545" s="637" t="s">
        <v>58</v>
      </c>
      <c r="J545" s="636">
        <v>322122</v>
      </c>
      <c r="K545" s="636">
        <v>7</v>
      </c>
      <c r="L545" s="637" t="s">
        <v>403</v>
      </c>
      <c r="M545" s="637" t="s">
        <v>42</v>
      </c>
      <c r="N545" s="637" t="s">
        <v>39</v>
      </c>
      <c r="O545" s="637" t="s">
        <v>39</v>
      </c>
      <c r="P545" s="637" t="s">
        <v>1020</v>
      </c>
      <c r="Q545" s="638">
        <v>1755351</v>
      </c>
      <c r="R545" s="638">
        <v>182785</v>
      </c>
      <c r="S545" s="638">
        <v>1808013</v>
      </c>
      <c r="T545" s="638">
        <v>188268</v>
      </c>
      <c r="U545" s="638">
        <v>36561.398000000001</v>
      </c>
      <c r="V545" s="636">
        <v>2022</v>
      </c>
      <c r="W545" s="640"/>
      <c r="X545" s="641" t="str">
        <f t="shared" si="24"/>
        <v/>
      </c>
      <c r="Y545" s="642" t="str">
        <f t="shared" si="25"/>
        <v/>
      </c>
      <c r="Z545" s="642" t="str">
        <f t="shared" si="26"/>
        <v/>
      </c>
    </row>
    <row r="546" spans="1:26" s="127" customFormat="1" ht="37.5" hidden="1">
      <c r="A546" s="636">
        <v>10511</v>
      </c>
      <c r="B546" s="637" t="s">
        <v>54</v>
      </c>
      <c r="C546" s="636" t="s">
        <v>2725</v>
      </c>
      <c r="D546" s="637" t="s">
        <v>409</v>
      </c>
      <c r="E546" s="637" t="s">
        <v>410</v>
      </c>
      <c r="F546" s="636">
        <v>56174</v>
      </c>
      <c r="G546" s="637" t="s">
        <v>57</v>
      </c>
      <c r="H546" s="637" t="s">
        <v>1162</v>
      </c>
      <c r="I546" s="637" t="s">
        <v>58</v>
      </c>
      <c r="J546" s="636">
        <v>322122</v>
      </c>
      <c r="K546" s="636">
        <v>7</v>
      </c>
      <c r="L546" s="637" t="s">
        <v>403</v>
      </c>
      <c r="M546" s="637" t="s">
        <v>42</v>
      </c>
      <c r="N546" s="637" t="s">
        <v>61</v>
      </c>
      <c r="O546" s="637" t="s">
        <v>61</v>
      </c>
      <c r="P546" s="637" t="s">
        <v>47</v>
      </c>
      <c r="Q546" s="638">
        <v>0</v>
      </c>
      <c r="R546" s="638">
        <v>0</v>
      </c>
      <c r="S546" s="638">
        <v>0</v>
      </c>
      <c r="T546" s="638">
        <v>0</v>
      </c>
      <c r="U546" s="638">
        <v>0</v>
      </c>
      <c r="V546" s="636">
        <v>2022</v>
      </c>
      <c r="W546" s="640"/>
      <c r="X546" s="641" t="str">
        <f t="shared" si="24"/>
        <v/>
      </c>
      <c r="Y546" s="642" t="str">
        <f t="shared" si="25"/>
        <v/>
      </c>
      <c r="Z546" s="642" t="str">
        <f t="shared" si="26"/>
        <v/>
      </c>
    </row>
    <row r="547" spans="1:26" s="127" customFormat="1" ht="37.5" hidden="1">
      <c r="A547" s="636">
        <v>10511</v>
      </c>
      <c r="B547" s="637" t="s">
        <v>54</v>
      </c>
      <c r="C547" s="636" t="s">
        <v>2725</v>
      </c>
      <c r="D547" s="637" t="s">
        <v>409</v>
      </c>
      <c r="E547" s="637" t="s">
        <v>410</v>
      </c>
      <c r="F547" s="636">
        <v>56174</v>
      </c>
      <c r="G547" s="637" t="s">
        <v>57</v>
      </c>
      <c r="H547" s="637" t="s">
        <v>1162</v>
      </c>
      <c r="I547" s="637" t="s">
        <v>58</v>
      </c>
      <c r="J547" s="636">
        <v>322122</v>
      </c>
      <c r="K547" s="636">
        <v>7</v>
      </c>
      <c r="L547" s="637" t="s">
        <v>403</v>
      </c>
      <c r="M547" s="637" t="s">
        <v>42</v>
      </c>
      <c r="N547" s="637" t="s">
        <v>411</v>
      </c>
      <c r="O547" s="637" t="s">
        <v>70</v>
      </c>
      <c r="P547" s="637" t="s">
        <v>47</v>
      </c>
      <c r="Q547" s="638">
        <v>1387646</v>
      </c>
      <c r="R547" s="638">
        <v>147788</v>
      </c>
      <c r="S547" s="638">
        <v>2914056</v>
      </c>
      <c r="T547" s="638">
        <v>310352</v>
      </c>
      <c r="U547" s="638">
        <v>60270.101000000002</v>
      </c>
      <c r="V547" s="636">
        <v>2022</v>
      </c>
      <c r="W547" s="640"/>
      <c r="X547" s="641" t="str">
        <f t="shared" si="24"/>
        <v/>
      </c>
      <c r="Y547" s="642" t="str">
        <f t="shared" si="25"/>
        <v/>
      </c>
      <c r="Z547" s="642" t="str">
        <f t="shared" si="26"/>
        <v/>
      </c>
    </row>
    <row r="548" spans="1:26" s="127" customFormat="1" ht="37.5" hidden="1">
      <c r="A548" s="636">
        <v>10511</v>
      </c>
      <c r="B548" s="637" t="s">
        <v>54</v>
      </c>
      <c r="C548" s="636" t="s">
        <v>2725</v>
      </c>
      <c r="D548" s="637" t="s">
        <v>409</v>
      </c>
      <c r="E548" s="637" t="s">
        <v>410</v>
      </c>
      <c r="F548" s="636">
        <v>56174</v>
      </c>
      <c r="G548" s="637" t="s">
        <v>57</v>
      </c>
      <c r="H548" s="637" t="s">
        <v>1162</v>
      </c>
      <c r="I548" s="637" t="s">
        <v>58</v>
      </c>
      <c r="J548" s="636">
        <v>322122</v>
      </c>
      <c r="K548" s="636">
        <v>7</v>
      </c>
      <c r="L548" s="637" t="s">
        <v>403</v>
      </c>
      <c r="M548" s="637" t="s">
        <v>42</v>
      </c>
      <c r="N548" s="637" t="s">
        <v>69</v>
      </c>
      <c r="O548" s="637" t="s">
        <v>70</v>
      </c>
      <c r="P548" s="637" t="s">
        <v>45</v>
      </c>
      <c r="Q548" s="638">
        <v>162955</v>
      </c>
      <c r="R548" s="638">
        <v>17569</v>
      </c>
      <c r="S548" s="638">
        <v>1238458</v>
      </c>
      <c r="T548" s="638">
        <v>133534</v>
      </c>
      <c r="U548" s="638">
        <v>25932.294000000002</v>
      </c>
      <c r="V548" s="636">
        <v>2022</v>
      </c>
      <c r="W548" s="640"/>
      <c r="X548" s="641" t="str">
        <f t="shared" si="24"/>
        <v/>
      </c>
      <c r="Y548" s="642" t="str">
        <f t="shared" si="25"/>
        <v/>
      </c>
      <c r="Z548" s="642" t="str">
        <f t="shared" si="26"/>
        <v/>
      </c>
    </row>
    <row r="549" spans="1:26" s="127" customFormat="1" ht="25">
      <c r="A549" s="636">
        <v>10519</v>
      </c>
      <c r="B549" s="637" t="s">
        <v>33</v>
      </c>
      <c r="C549" s="636" t="s">
        <v>2725</v>
      </c>
      <c r="D549" s="637" t="s">
        <v>1795</v>
      </c>
      <c r="E549" s="637" t="s">
        <v>1796</v>
      </c>
      <c r="F549" s="636">
        <v>16498</v>
      </c>
      <c r="G549" s="637" t="s">
        <v>96</v>
      </c>
      <c r="H549" s="637" t="s">
        <v>1163</v>
      </c>
      <c r="I549" s="637" t="s">
        <v>58</v>
      </c>
      <c r="J549" s="636">
        <v>22</v>
      </c>
      <c r="K549" s="636">
        <v>2</v>
      </c>
      <c r="L549" s="637" t="s">
        <v>52</v>
      </c>
      <c r="M549" s="637" t="s">
        <v>35</v>
      </c>
      <c r="N549" s="637" t="s">
        <v>36</v>
      </c>
      <c r="O549" s="637" t="s">
        <v>37</v>
      </c>
      <c r="P549" s="637" t="s">
        <v>1156</v>
      </c>
      <c r="Q549" s="638">
        <v>0</v>
      </c>
      <c r="R549" s="638">
        <v>0</v>
      </c>
      <c r="S549" s="638">
        <v>22386</v>
      </c>
      <c r="T549" s="638">
        <v>22386</v>
      </c>
      <c r="U549" s="638">
        <v>6561</v>
      </c>
      <c r="V549" s="636">
        <v>2022</v>
      </c>
      <c r="W549" s="640"/>
      <c r="X549" s="641">
        <f t="shared" si="24"/>
        <v>3.4119798811156836</v>
      </c>
      <c r="Y549" s="642" t="str">
        <f t="shared" si="25"/>
        <v/>
      </c>
      <c r="Z549" s="642" t="str">
        <f t="shared" si="26"/>
        <v/>
      </c>
    </row>
    <row r="550" spans="1:26" s="127" customFormat="1" ht="37.5" hidden="1">
      <c r="A550" s="636">
        <v>10521</v>
      </c>
      <c r="B550" s="637" t="s">
        <v>54</v>
      </c>
      <c r="C550" s="636" t="s">
        <v>2725</v>
      </c>
      <c r="D550" s="637" t="s">
        <v>789</v>
      </c>
      <c r="E550" s="637" t="s">
        <v>1865</v>
      </c>
      <c r="F550" s="636">
        <v>60641</v>
      </c>
      <c r="G550" s="637" t="s">
        <v>57</v>
      </c>
      <c r="H550" s="637" t="s">
        <v>1162</v>
      </c>
      <c r="I550" s="637" t="s">
        <v>58</v>
      </c>
      <c r="J550" s="636">
        <v>325</v>
      </c>
      <c r="K550" s="636">
        <v>7</v>
      </c>
      <c r="L550" s="637" t="s">
        <v>403</v>
      </c>
      <c r="M550" s="637" t="s">
        <v>38</v>
      </c>
      <c r="N550" s="637" t="s">
        <v>46</v>
      </c>
      <c r="O550" s="637" t="s">
        <v>46</v>
      </c>
      <c r="P550" s="637" t="s">
        <v>47</v>
      </c>
      <c r="Q550" s="638">
        <v>8183</v>
      </c>
      <c r="R550" s="638">
        <v>177</v>
      </c>
      <c r="S550" s="638">
        <v>47462</v>
      </c>
      <c r="T550" s="638">
        <v>1025</v>
      </c>
      <c r="U550" s="638">
        <v>178.12</v>
      </c>
      <c r="V550" s="636">
        <v>2022</v>
      </c>
      <c r="W550" s="640"/>
      <c r="X550" s="641" t="str">
        <f t="shared" si="24"/>
        <v/>
      </c>
      <c r="Y550" s="642" t="str">
        <f t="shared" si="25"/>
        <v/>
      </c>
      <c r="Z550" s="642" t="str">
        <f t="shared" si="26"/>
        <v/>
      </c>
    </row>
    <row r="551" spans="1:26" s="127" customFormat="1" ht="37.5" hidden="1">
      <c r="A551" s="636">
        <v>10521</v>
      </c>
      <c r="B551" s="637" t="s">
        <v>54</v>
      </c>
      <c r="C551" s="636" t="s">
        <v>2725</v>
      </c>
      <c r="D551" s="637" t="s">
        <v>789</v>
      </c>
      <c r="E551" s="637" t="s">
        <v>1865</v>
      </c>
      <c r="F551" s="636">
        <v>60641</v>
      </c>
      <c r="G551" s="637" t="s">
        <v>57</v>
      </c>
      <c r="H551" s="637" t="s">
        <v>1162</v>
      </c>
      <c r="I551" s="637" t="s">
        <v>58</v>
      </c>
      <c r="J551" s="636">
        <v>325</v>
      </c>
      <c r="K551" s="636">
        <v>7</v>
      </c>
      <c r="L551" s="637" t="s">
        <v>403</v>
      </c>
      <c r="M551" s="637" t="s">
        <v>38</v>
      </c>
      <c r="N551" s="637" t="s">
        <v>39</v>
      </c>
      <c r="O551" s="637" t="s">
        <v>39</v>
      </c>
      <c r="P551" s="637" t="s">
        <v>1020</v>
      </c>
      <c r="Q551" s="638">
        <v>276433</v>
      </c>
      <c r="R551" s="638">
        <v>43904</v>
      </c>
      <c r="S551" s="638">
        <v>276433</v>
      </c>
      <c r="T551" s="638">
        <v>43904</v>
      </c>
      <c r="U551" s="638">
        <v>7488.76</v>
      </c>
      <c r="V551" s="636">
        <v>2022</v>
      </c>
      <c r="W551" s="640"/>
      <c r="X551" s="641" t="str">
        <f t="shared" si="24"/>
        <v/>
      </c>
      <c r="Y551" s="642" t="str">
        <f t="shared" si="25"/>
        <v/>
      </c>
      <c r="Z551" s="642" t="str">
        <f t="shared" si="26"/>
        <v/>
      </c>
    </row>
    <row r="552" spans="1:26" s="127" customFormat="1" ht="37.5" hidden="1">
      <c r="A552" s="636">
        <v>10521</v>
      </c>
      <c r="B552" s="637" t="s">
        <v>54</v>
      </c>
      <c r="C552" s="636" t="s">
        <v>2725</v>
      </c>
      <c r="D552" s="637" t="s">
        <v>789</v>
      </c>
      <c r="E552" s="637" t="s">
        <v>1865</v>
      </c>
      <c r="F552" s="636">
        <v>60641</v>
      </c>
      <c r="G552" s="637" t="s">
        <v>57</v>
      </c>
      <c r="H552" s="637" t="s">
        <v>1162</v>
      </c>
      <c r="I552" s="637" t="s">
        <v>58</v>
      </c>
      <c r="J552" s="636">
        <v>325</v>
      </c>
      <c r="K552" s="636">
        <v>7</v>
      </c>
      <c r="L552" s="637" t="s">
        <v>403</v>
      </c>
      <c r="M552" s="637" t="s">
        <v>41</v>
      </c>
      <c r="N552" s="637" t="s">
        <v>46</v>
      </c>
      <c r="O552" s="637" t="s">
        <v>46</v>
      </c>
      <c r="P552" s="637" t="s">
        <v>47</v>
      </c>
      <c r="Q552" s="638">
        <v>133</v>
      </c>
      <c r="R552" s="638">
        <v>78</v>
      </c>
      <c r="S552" s="638">
        <v>772</v>
      </c>
      <c r="T552" s="638">
        <v>454</v>
      </c>
      <c r="U552" s="638">
        <v>74.111000000000004</v>
      </c>
      <c r="V552" s="636">
        <v>2022</v>
      </c>
      <c r="W552" s="640"/>
      <c r="X552" s="641" t="str">
        <f t="shared" si="24"/>
        <v/>
      </c>
      <c r="Y552" s="642" t="str">
        <f t="shared" si="25"/>
        <v/>
      </c>
      <c r="Z552" s="642" t="str">
        <f t="shared" si="26"/>
        <v/>
      </c>
    </row>
    <row r="553" spans="1:26" s="127" customFormat="1" ht="37.5" hidden="1">
      <c r="A553" s="636">
        <v>10521</v>
      </c>
      <c r="B553" s="637" t="s">
        <v>54</v>
      </c>
      <c r="C553" s="636" t="s">
        <v>2725</v>
      </c>
      <c r="D553" s="637" t="s">
        <v>789</v>
      </c>
      <c r="E553" s="637" t="s">
        <v>1865</v>
      </c>
      <c r="F553" s="636">
        <v>60641</v>
      </c>
      <c r="G553" s="637" t="s">
        <v>57</v>
      </c>
      <c r="H553" s="637" t="s">
        <v>1162</v>
      </c>
      <c r="I553" s="637" t="s">
        <v>58</v>
      </c>
      <c r="J553" s="636">
        <v>325</v>
      </c>
      <c r="K553" s="636">
        <v>7</v>
      </c>
      <c r="L553" s="637" t="s">
        <v>403</v>
      </c>
      <c r="M553" s="637" t="s">
        <v>41</v>
      </c>
      <c r="N553" s="637" t="s">
        <v>39</v>
      </c>
      <c r="O553" s="637" t="s">
        <v>39</v>
      </c>
      <c r="P553" s="637" t="s">
        <v>1020</v>
      </c>
      <c r="Q553" s="638">
        <v>1491447</v>
      </c>
      <c r="R553" s="638">
        <v>787918</v>
      </c>
      <c r="S553" s="638">
        <v>1491447</v>
      </c>
      <c r="T553" s="638">
        <v>787918</v>
      </c>
      <c r="U553" s="638">
        <v>134398.93</v>
      </c>
      <c r="V553" s="636">
        <v>2022</v>
      </c>
      <c r="W553" s="640"/>
      <c r="X553" s="641" t="str">
        <f t="shared" si="24"/>
        <v/>
      </c>
      <c r="Y553" s="642" t="str">
        <f t="shared" si="25"/>
        <v/>
      </c>
      <c r="Z553" s="642" t="str">
        <f t="shared" si="26"/>
        <v/>
      </c>
    </row>
    <row r="554" spans="1:26" s="127" customFormat="1" ht="25">
      <c r="A554" s="636">
        <v>10523</v>
      </c>
      <c r="B554" s="637" t="s">
        <v>33</v>
      </c>
      <c r="C554" s="636" t="s">
        <v>2725</v>
      </c>
      <c r="D554" s="637" t="s">
        <v>790</v>
      </c>
      <c r="E554" s="637" t="s">
        <v>791</v>
      </c>
      <c r="F554" s="636">
        <v>55753</v>
      </c>
      <c r="G554" s="637" t="s">
        <v>90</v>
      </c>
      <c r="H554" s="637" t="s">
        <v>1163</v>
      </c>
      <c r="I554" s="637" t="s">
        <v>58</v>
      </c>
      <c r="J554" s="636">
        <v>22</v>
      </c>
      <c r="K554" s="636">
        <v>2</v>
      </c>
      <c r="L554" s="637" t="s">
        <v>52</v>
      </c>
      <c r="M554" s="637" t="s">
        <v>35</v>
      </c>
      <c r="N554" s="637" t="s">
        <v>36</v>
      </c>
      <c r="O554" s="637" t="s">
        <v>37</v>
      </c>
      <c r="P554" s="637" t="s">
        <v>1156</v>
      </c>
      <c r="Q554" s="638">
        <v>0</v>
      </c>
      <c r="R554" s="638">
        <v>0</v>
      </c>
      <c r="S554" s="638">
        <v>50671</v>
      </c>
      <c r="T554" s="638">
        <v>50671</v>
      </c>
      <c r="U554" s="638">
        <v>14851</v>
      </c>
      <c r="V554" s="636">
        <v>2022</v>
      </c>
      <c r="W554" s="640"/>
      <c r="X554" s="641">
        <f t="shared" si="24"/>
        <v>3.411958790653828</v>
      </c>
      <c r="Y554" s="642" t="str">
        <f t="shared" si="25"/>
        <v/>
      </c>
      <c r="Z554" s="642" t="str">
        <f t="shared" si="26"/>
        <v/>
      </c>
    </row>
    <row r="555" spans="1:26" s="127" customFormat="1" ht="25">
      <c r="A555" s="636">
        <v>10526</v>
      </c>
      <c r="B555" s="637" t="s">
        <v>33</v>
      </c>
      <c r="C555" s="636" t="s">
        <v>2725</v>
      </c>
      <c r="D555" s="637" t="s">
        <v>792</v>
      </c>
      <c r="E555" s="637" t="s">
        <v>793</v>
      </c>
      <c r="F555" s="636">
        <v>5226</v>
      </c>
      <c r="G555" s="637" t="s">
        <v>96</v>
      </c>
      <c r="H555" s="637" t="s">
        <v>1163</v>
      </c>
      <c r="I555" s="637" t="s">
        <v>58</v>
      </c>
      <c r="J555" s="636">
        <v>22</v>
      </c>
      <c r="K555" s="636">
        <v>2</v>
      </c>
      <c r="L555" s="637" t="s">
        <v>52</v>
      </c>
      <c r="M555" s="637" t="s">
        <v>35</v>
      </c>
      <c r="N555" s="637" t="s">
        <v>36</v>
      </c>
      <c r="O555" s="637" t="s">
        <v>37</v>
      </c>
      <c r="P555" s="637" t="s">
        <v>1156</v>
      </c>
      <c r="Q555" s="638">
        <v>0</v>
      </c>
      <c r="R555" s="638">
        <v>0</v>
      </c>
      <c r="S555" s="638">
        <v>40265</v>
      </c>
      <c r="T555" s="638">
        <v>40265</v>
      </c>
      <c r="U555" s="638">
        <v>11801</v>
      </c>
      <c r="V555" s="636">
        <v>2022</v>
      </c>
      <c r="W555" s="640"/>
      <c r="X555" s="641">
        <f t="shared" si="24"/>
        <v>3.4119989831370221</v>
      </c>
      <c r="Y555" s="642" t="str">
        <f t="shared" si="25"/>
        <v/>
      </c>
      <c r="Z555" s="642" t="str">
        <f t="shared" si="26"/>
        <v/>
      </c>
    </row>
    <row r="556" spans="1:26" s="127" customFormat="1" ht="25">
      <c r="A556" s="636">
        <v>10530</v>
      </c>
      <c r="B556" s="637" t="s">
        <v>33</v>
      </c>
      <c r="C556" s="636" t="s">
        <v>2725</v>
      </c>
      <c r="D556" s="637" t="s">
        <v>794</v>
      </c>
      <c r="E556" s="637" t="s">
        <v>118</v>
      </c>
      <c r="F556" s="636">
        <v>5914</v>
      </c>
      <c r="G556" s="637" t="s">
        <v>57</v>
      </c>
      <c r="H556" s="637" t="s">
        <v>1162</v>
      </c>
      <c r="I556" s="637" t="s">
        <v>58</v>
      </c>
      <c r="J556" s="636">
        <v>22</v>
      </c>
      <c r="K556" s="636">
        <v>2</v>
      </c>
      <c r="L556" s="637" t="s">
        <v>52</v>
      </c>
      <c r="M556" s="637" t="s">
        <v>35</v>
      </c>
      <c r="N556" s="637" t="s">
        <v>36</v>
      </c>
      <c r="O556" s="637" t="s">
        <v>37</v>
      </c>
      <c r="P556" s="637" t="s">
        <v>1156</v>
      </c>
      <c r="Q556" s="638">
        <v>0</v>
      </c>
      <c r="R556" s="638">
        <v>0</v>
      </c>
      <c r="S556" s="638">
        <v>78289</v>
      </c>
      <c r="T556" s="638">
        <v>78289</v>
      </c>
      <c r="U556" s="638">
        <v>22945</v>
      </c>
      <c r="V556" s="636">
        <v>2022</v>
      </c>
      <c r="W556" s="640"/>
      <c r="X556" s="641">
        <f t="shared" si="24"/>
        <v>3.4120287644366964</v>
      </c>
      <c r="Y556" s="642" t="str">
        <f t="shared" si="25"/>
        <v/>
      </c>
      <c r="Z556" s="642" t="str">
        <f t="shared" si="26"/>
        <v/>
      </c>
    </row>
    <row r="557" spans="1:26" s="127" customFormat="1" ht="25">
      <c r="A557" s="636">
        <v>10531</v>
      </c>
      <c r="B557" s="637" t="s">
        <v>33</v>
      </c>
      <c r="C557" s="636" t="s">
        <v>2725</v>
      </c>
      <c r="D557" s="637" t="s">
        <v>795</v>
      </c>
      <c r="E557" s="637" t="s">
        <v>118</v>
      </c>
      <c r="F557" s="636">
        <v>5914</v>
      </c>
      <c r="G557" s="637" t="s">
        <v>57</v>
      </c>
      <c r="H557" s="637" t="s">
        <v>1162</v>
      </c>
      <c r="I557" s="637" t="s">
        <v>58</v>
      </c>
      <c r="J557" s="636">
        <v>22</v>
      </c>
      <c r="K557" s="636">
        <v>2</v>
      </c>
      <c r="L557" s="637" t="s">
        <v>52</v>
      </c>
      <c r="M557" s="637" t="s">
        <v>35</v>
      </c>
      <c r="N557" s="637" t="s">
        <v>36</v>
      </c>
      <c r="O557" s="637" t="s">
        <v>37</v>
      </c>
      <c r="P557" s="637" t="s">
        <v>1156</v>
      </c>
      <c r="Q557" s="638">
        <v>0</v>
      </c>
      <c r="R557" s="638">
        <v>0</v>
      </c>
      <c r="S557" s="638">
        <v>160261</v>
      </c>
      <c r="T557" s="638">
        <v>160261</v>
      </c>
      <c r="U557" s="638">
        <v>46970</v>
      </c>
      <c r="V557" s="636">
        <v>2022</v>
      </c>
      <c r="W557" s="640"/>
      <c r="X557" s="641">
        <f t="shared" si="24"/>
        <v>3.4119863742814562</v>
      </c>
      <c r="Y557" s="642" t="str">
        <f t="shared" si="25"/>
        <v/>
      </c>
      <c r="Z557" s="642" t="str">
        <f t="shared" si="26"/>
        <v/>
      </c>
    </row>
    <row r="558" spans="1:26" s="127" customFormat="1" ht="25">
      <c r="A558" s="636">
        <v>10538</v>
      </c>
      <c r="B558" s="637" t="s">
        <v>33</v>
      </c>
      <c r="C558" s="636" t="s">
        <v>2725</v>
      </c>
      <c r="D558" s="637" t="s">
        <v>796</v>
      </c>
      <c r="E558" s="637" t="s">
        <v>3027</v>
      </c>
      <c r="F558" s="636">
        <v>64078</v>
      </c>
      <c r="G558" s="637" t="s">
        <v>57</v>
      </c>
      <c r="H558" s="637" t="s">
        <v>1162</v>
      </c>
      <c r="I558" s="637" t="s">
        <v>58</v>
      </c>
      <c r="J558" s="636">
        <v>22</v>
      </c>
      <c r="K558" s="636">
        <v>2</v>
      </c>
      <c r="L558" s="637" t="s">
        <v>52</v>
      </c>
      <c r="M558" s="637" t="s">
        <v>35</v>
      </c>
      <c r="N558" s="637" t="s">
        <v>36</v>
      </c>
      <c r="O558" s="637" t="s">
        <v>37</v>
      </c>
      <c r="P558" s="637" t="s">
        <v>1156</v>
      </c>
      <c r="Q558" s="638">
        <v>0</v>
      </c>
      <c r="R558" s="638">
        <v>0</v>
      </c>
      <c r="S558" s="638">
        <v>12614</v>
      </c>
      <c r="T558" s="638">
        <v>12614</v>
      </c>
      <c r="U558" s="638">
        <v>3697</v>
      </c>
      <c r="V558" s="636">
        <v>2022</v>
      </c>
      <c r="W558" s="640"/>
      <c r="X558" s="641">
        <f t="shared" si="24"/>
        <v>3.4119556397078714</v>
      </c>
      <c r="Y558" s="642" t="str">
        <f t="shared" si="25"/>
        <v/>
      </c>
      <c r="Z558" s="642" t="str">
        <f t="shared" si="26"/>
        <v/>
      </c>
    </row>
    <row r="559" spans="1:26" s="127" customFormat="1" ht="25">
      <c r="A559" s="636">
        <v>10539</v>
      </c>
      <c r="B559" s="637" t="s">
        <v>33</v>
      </c>
      <c r="C559" s="636" t="s">
        <v>2725</v>
      </c>
      <c r="D559" s="637" t="s">
        <v>798</v>
      </c>
      <c r="E559" s="637" t="s">
        <v>3027</v>
      </c>
      <c r="F559" s="636">
        <v>64078</v>
      </c>
      <c r="G559" s="637" t="s">
        <v>57</v>
      </c>
      <c r="H559" s="637" t="s">
        <v>1162</v>
      </c>
      <c r="I559" s="637" t="s">
        <v>58</v>
      </c>
      <c r="J559" s="636">
        <v>22</v>
      </c>
      <c r="K559" s="636">
        <v>2</v>
      </c>
      <c r="L559" s="637" t="s">
        <v>52</v>
      </c>
      <c r="M559" s="637" t="s">
        <v>35</v>
      </c>
      <c r="N559" s="637" t="s">
        <v>36</v>
      </c>
      <c r="O559" s="637" t="s">
        <v>37</v>
      </c>
      <c r="P559" s="637" t="s">
        <v>1156</v>
      </c>
      <c r="Q559" s="638">
        <v>0</v>
      </c>
      <c r="R559" s="638">
        <v>0</v>
      </c>
      <c r="S559" s="638">
        <v>1772</v>
      </c>
      <c r="T559" s="638">
        <v>1772</v>
      </c>
      <c r="U559" s="638">
        <v>520</v>
      </c>
      <c r="V559" s="636">
        <v>2022</v>
      </c>
      <c r="W559" s="640"/>
      <c r="X559" s="641">
        <f t="shared" si="24"/>
        <v>3.4076923076923076</v>
      </c>
      <c r="Y559" s="642" t="str">
        <f t="shared" si="25"/>
        <v/>
      </c>
      <c r="Z559" s="642" t="str">
        <f t="shared" si="26"/>
        <v/>
      </c>
    </row>
    <row r="560" spans="1:26" s="127" customFormat="1" ht="25">
      <c r="A560" s="636">
        <v>10540</v>
      </c>
      <c r="B560" s="637" t="s">
        <v>33</v>
      </c>
      <c r="C560" s="636" t="s">
        <v>2725</v>
      </c>
      <c r="D560" s="637" t="s">
        <v>799</v>
      </c>
      <c r="E560" s="637" t="s">
        <v>3027</v>
      </c>
      <c r="F560" s="636">
        <v>64078</v>
      </c>
      <c r="G560" s="637" t="s">
        <v>57</v>
      </c>
      <c r="H560" s="637" t="s">
        <v>1162</v>
      </c>
      <c r="I560" s="637" t="s">
        <v>58</v>
      </c>
      <c r="J560" s="636">
        <v>22</v>
      </c>
      <c r="K560" s="636">
        <v>2</v>
      </c>
      <c r="L560" s="637" t="s">
        <v>52</v>
      </c>
      <c r="M560" s="637" t="s">
        <v>35</v>
      </c>
      <c r="N560" s="637" t="s">
        <v>36</v>
      </c>
      <c r="O560" s="637" t="s">
        <v>37</v>
      </c>
      <c r="P560" s="637" t="s">
        <v>1156</v>
      </c>
      <c r="Q560" s="638">
        <v>0</v>
      </c>
      <c r="R560" s="638">
        <v>0</v>
      </c>
      <c r="S560" s="638">
        <v>14048</v>
      </c>
      <c r="T560" s="638">
        <v>14048</v>
      </c>
      <c r="U560" s="638">
        <v>4117</v>
      </c>
      <c r="V560" s="636">
        <v>2022</v>
      </c>
      <c r="W560" s="640"/>
      <c r="X560" s="641">
        <f t="shared" si="24"/>
        <v>3.4121933446684478</v>
      </c>
      <c r="Y560" s="642" t="str">
        <f t="shared" si="25"/>
        <v/>
      </c>
      <c r="Z560" s="642" t="str">
        <f t="shared" si="26"/>
        <v/>
      </c>
    </row>
    <row r="561" spans="1:26" s="127" customFormat="1" ht="25">
      <c r="A561" s="636">
        <v>10544</v>
      </c>
      <c r="B561" s="637" t="s">
        <v>33</v>
      </c>
      <c r="C561" s="636" t="s">
        <v>2725</v>
      </c>
      <c r="D561" s="637" t="s">
        <v>800</v>
      </c>
      <c r="E561" s="637" t="s">
        <v>3027</v>
      </c>
      <c r="F561" s="636">
        <v>64078</v>
      </c>
      <c r="G561" s="637" t="s">
        <v>57</v>
      </c>
      <c r="H561" s="637" t="s">
        <v>1162</v>
      </c>
      <c r="I561" s="637" t="s">
        <v>58</v>
      </c>
      <c r="J561" s="636">
        <v>22</v>
      </c>
      <c r="K561" s="636">
        <v>2</v>
      </c>
      <c r="L561" s="637" t="s">
        <v>52</v>
      </c>
      <c r="M561" s="637" t="s">
        <v>35</v>
      </c>
      <c r="N561" s="637" t="s">
        <v>36</v>
      </c>
      <c r="O561" s="637" t="s">
        <v>37</v>
      </c>
      <c r="P561" s="637" t="s">
        <v>1156</v>
      </c>
      <c r="Q561" s="638">
        <v>0</v>
      </c>
      <c r="R561" s="638">
        <v>0</v>
      </c>
      <c r="S561" s="638">
        <v>39614</v>
      </c>
      <c r="T561" s="638">
        <v>39614</v>
      </c>
      <c r="U561" s="638">
        <v>11610</v>
      </c>
      <c r="V561" s="636">
        <v>2022</v>
      </c>
      <c r="W561" s="640"/>
      <c r="X561" s="641">
        <f t="shared" si="24"/>
        <v>3.4120585701981052</v>
      </c>
      <c r="Y561" s="642" t="str">
        <f t="shared" si="25"/>
        <v/>
      </c>
      <c r="Z561" s="642" t="str">
        <f t="shared" si="26"/>
        <v/>
      </c>
    </row>
    <row r="562" spans="1:26" s="127" customFormat="1" ht="25">
      <c r="A562" s="636">
        <v>10545</v>
      </c>
      <c r="B562" s="637" t="s">
        <v>33</v>
      </c>
      <c r="C562" s="636" t="s">
        <v>2725</v>
      </c>
      <c r="D562" s="637" t="s">
        <v>801</v>
      </c>
      <c r="E562" s="637" t="s">
        <v>3027</v>
      </c>
      <c r="F562" s="636">
        <v>64078</v>
      </c>
      <c r="G562" s="637" t="s">
        <v>57</v>
      </c>
      <c r="H562" s="637" t="s">
        <v>1162</v>
      </c>
      <c r="I562" s="637" t="s">
        <v>58</v>
      </c>
      <c r="J562" s="636">
        <v>22</v>
      </c>
      <c r="K562" s="636">
        <v>2</v>
      </c>
      <c r="L562" s="637" t="s">
        <v>52</v>
      </c>
      <c r="M562" s="637" t="s">
        <v>35</v>
      </c>
      <c r="N562" s="637" t="s">
        <v>36</v>
      </c>
      <c r="O562" s="637" t="s">
        <v>37</v>
      </c>
      <c r="P562" s="637" t="s">
        <v>1156</v>
      </c>
      <c r="Q562" s="638">
        <v>0</v>
      </c>
      <c r="R562" s="638">
        <v>0</v>
      </c>
      <c r="S562" s="638">
        <v>23856</v>
      </c>
      <c r="T562" s="638">
        <v>23856</v>
      </c>
      <c r="U562" s="638">
        <v>6992</v>
      </c>
      <c r="V562" s="636">
        <v>2022</v>
      </c>
      <c r="W562" s="640"/>
      <c r="X562" s="641">
        <f t="shared" si="24"/>
        <v>3.4118993135011442</v>
      </c>
      <c r="Y562" s="642" t="str">
        <f t="shared" si="25"/>
        <v/>
      </c>
      <c r="Z562" s="642" t="str">
        <f t="shared" si="26"/>
        <v/>
      </c>
    </row>
    <row r="563" spans="1:26" s="127" customFormat="1" ht="25">
      <c r="A563" s="636">
        <v>10547</v>
      </c>
      <c r="B563" s="637" t="s">
        <v>33</v>
      </c>
      <c r="C563" s="636" t="s">
        <v>2725</v>
      </c>
      <c r="D563" s="637" t="s">
        <v>802</v>
      </c>
      <c r="E563" s="637" t="s">
        <v>3027</v>
      </c>
      <c r="F563" s="636">
        <v>64078</v>
      </c>
      <c r="G563" s="637" t="s">
        <v>57</v>
      </c>
      <c r="H563" s="637" t="s">
        <v>1162</v>
      </c>
      <c r="I563" s="637" t="s">
        <v>58</v>
      </c>
      <c r="J563" s="636">
        <v>22</v>
      </c>
      <c r="K563" s="636">
        <v>2</v>
      </c>
      <c r="L563" s="637" t="s">
        <v>52</v>
      </c>
      <c r="M563" s="637" t="s">
        <v>35</v>
      </c>
      <c r="N563" s="637" t="s">
        <v>36</v>
      </c>
      <c r="O563" s="637" t="s">
        <v>37</v>
      </c>
      <c r="P563" s="637" t="s">
        <v>1156</v>
      </c>
      <c r="Q563" s="638">
        <v>0</v>
      </c>
      <c r="R563" s="638">
        <v>0</v>
      </c>
      <c r="S563" s="638">
        <v>97963</v>
      </c>
      <c r="T563" s="638">
        <v>97963</v>
      </c>
      <c r="U563" s="638">
        <v>28711</v>
      </c>
      <c r="V563" s="636">
        <v>2022</v>
      </c>
      <c r="W563" s="640"/>
      <c r="X563" s="641">
        <f t="shared" si="24"/>
        <v>3.4120371982863711</v>
      </c>
      <c r="Y563" s="642" t="str">
        <f t="shared" si="25"/>
        <v/>
      </c>
      <c r="Z563" s="642" t="str">
        <f t="shared" si="26"/>
        <v/>
      </c>
    </row>
    <row r="564" spans="1:26" s="127" customFormat="1" ht="25">
      <c r="A564" s="636">
        <v>10549</v>
      </c>
      <c r="B564" s="637" t="s">
        <v>33</v>
      </c>
      <c r="C564" s="636" t="s">
        <v>2725</v>
      </c>
      <c r="D564" s="637" t="s">
        <v>1088</v>
      </c>
      <c r="E564" s="637" t="s">
        <v>1089</v>
      </c>
      <c r="F564" s="636">
        <v>463</v>
      </c>
      <c r="G564" s="637" t="s">
        <v>57</v>
      </c>
      <c r="H564" s="637" t="s">
        <v>1162</v>
      </c>
      <c r="I564" s="637" t="s">
        <v>58</v>
      </c>
      <c r="J564" s="636">
        <v>22</v>
      </c>
      <c r="K564" s="636">
        <v>2</v>
      </c>
      <c r="L564" s="637" t="s">
        <v>52</v>
      </c>
      <c r="M564" s="637" t="s">
        <v>51</v>
      </c>
      <c r="N564" s="637" t="s">
        <v>63</v>
      </c>
      <c r="O564" s="637" t="s">
        <v>64</v>
      </c>
      <c r="P564" s="637" t="s">
        <v>1020</v>
      </c>
      <c r="Q564" s="638">
        <v>0</v>
      </c>
      <c r="R564" s="638">
        <v>0</v>
      </c>
      <c r="S564" s="638">
        <v>0</v>
      </c>
      <c r="T564" s="638">
        <v>0</v>
      </c>
      <c r="U564" s="638">
        <v>0</v>
      </c>
      <c r="V564" s="636">
        <v>2022</v>
      </c>
      <c r="W564" s="640"/>
      <c r="X564" s="641" t="str">
        <f t="shared" si="24"/>
        <v/>
      </c>
      <c r="Y564" s="642" t="str">
        <f t="shared" si="25"/>
        <v/>
      </c>
      <c r="Z564" s="642" t="str">
        <f t="shared" si="26"/>
        <v/>
      </c>
    </row>
    <row r="565" spans="1:26" s="127" customFormat="1" ht="25">
      <c r="A565" s="636">
        <v>10555</v>
      </c>
      <c r="B565" s="637" t="s">
        <v>33</v>
      </c>
      <c r="C565" s="636" t="s">
        <v>2725</v>
      </c>
      <c r="D565" s="637" t="s">
        <v>803</v>
      </c>
      <c r="E565" s="637" t="s">
        <v>804</v>
      </c>
      <c r="F565" s="636">
        <v>2179</v>
      </c>
      <c r="G565" s="637" t="s">
        <v>90</v>
      </c>
      <c r="H565" s="637" t="s">
        <v>1163</v>
      </c>
      <c r="I565" s="637" t="s">
        <v>58</v>
      </c>
      <c r="J565" s="636">
        <v>22</v>
      </c>
      <c r="K565" s="636">
        <v>2</v>
      </c>
      <c r="L565" s="637" t="s">
        <v>52</v>
      </c>
      <c r="M565" s="637" t="s">
        <v>35</v>
      </c>
      <c r="N565" s="637" t="s">
        <v>36</v>
      </c>
      <c r="O565" s="637" t="s">
        <v>37</v>
      </c>
      <c r="P565" s="637" t="s">
        <v>1156</v>
      </c>
      <c r="Q565" s="638">
        <v>0</v>
      </c>
      <c r="R565" s="638">
        <v>0</v>
      </c>
      <c r="S565" s="638">
        <v>42789</v>
      </c>
      <c r="T565" s="638">
        <v>42789</v>
      </c>
      <c r="U565" s="638">
        <v>12541</v>
      </c>
      <c r="V565" s="636">
        <v>2022</v>
      </c>
      <c r="W565" s="640"/>
      <c r="X565" s="641">
        <f t="shared" si="24"/>
        <v>3.4119288732955906</v>
      </c>
      <c r="Y565" s="642" t="str">
        <f t="shared" si="25"/>
        <v/>
      </c>
      <c r="Z565" s="642" t="str">
        <f t="shared" si="26"/>
        <v/>
      </c>
    </row>
    <row r="566" spans="1:26" s="127" customFormat="1" ht="25">
      <c r="A566" s="636">
        <v>10556</v>
      </c>
      <c r="B566" s="637" t="s">
        <v>33</v>
      </c>
      <c r="C566" s="636" t="s">
        <v>2725</v>
      </c>
      <c r="D566" s="637" t="s">
        <v>805</v>
      </c>
      <c r="E566" s="637" t="s">
        <v>3027</v>
      </c>
      <c r="F566" s="636">
        <v>64078</v>
      </c>
      <c r="G566" s="637" t="s">
        <v>81</v>
      </c>
      <c r="H566" s="637" t="s">
        <v>1163</v>
      </c>
      <c r="I566" s="637" t="s">
        <v>58</v>
      </c>
      <c r="J566" s="636">
        <v>22</v>
      </c>
      <c r="K566" s="636">
        <v>2</v>
      </c>
      <c r="L566" s="637" t="s">
        <v>52</v>
      </c>
      <c r="M566" s="637" t="s">
        <v>35</v>
      </c>
      <c r="N566" s="637" t="s">
        <v>36</v>
      </c>
      <c r="O566" s="637" t="s">
        <v>37</v>
      </c>
      <c r="P566" s="637" t="s">
        <v>1156</v>
      </c>
      <c r="Q566" s="638">
        <v>0</v>
      </c>
      <c r="R566" s="638">
        <v>0</v>
      </c>
      <c r="S566" s="638">
        <v>189989</v>
      </c>
      <c r="T566" s="638">
        <v>189989</v>
      </c>
      <c r="U566" s="638">
        <v>55683</v>
      </c>
      <c r="V566" s="636">
        <v>2022</v>
      </c>
      <c r="W566" s="640"/>
      <c r="X566" s="641">
        <f t="shared" si="24"/>
        <v>3.4119749295117003</v>
      </c>
      <c r="Y566" s="642" t="str">
        <f t="shared" si="25"/>
        <v/>
      </c>
      <c r="Z566" s="642" t="str">
        <f t="shared" si="26"/>
        <v/>
      </c>
    </row>
    <row r="567" spans="1:26" s="127" customFormat="1" ht="25">
      <c r="A567" s="636">
        <v>10567</v>
      </c>
      <c r="B567" s="637" t="s">
        <v>54</v>
      </c>
      <c r="C567" s="636" t="s">
        <v>2725</v>
      </c>
      <c r="D567" s="637" t="s">
        <v>806</v>
      </c>
      <c r="E567" s="637" t="s">
        <v>807</v>
      </c>
      <c r="F567" s="636">
        <v>291</v>
      </c>
      <c r="G567" s="637" t="s">
        <v>41</v>
      </c>
      <c r="H567" s="637" t="s">
        <v>1163</v>
      </c>
      <c r="I567" s="637" t="s">
        <v>58</v>
      </c>
      <c r="J567" s="636">
        <v>22</v>
      </c>
      <c r="K567" s="636">
        <v>3</v>
      </c>
      <c r="L567" s="637" t="s">
        <v>55</v>
      </c>
      <c r="M567" s="637" t="s">
        <v>38</v>
      </c>
      <c r="N567" s="637" t="s">
        <v>46</v>
      </c>
      <c r="O567" s="637" t="s">
        <v>46</v>
      </c>
      <c r="P567" s="637" t="s">
        <v>47</v>
      </c>
      <c r="Q567" s="638">
        <v>0</v>
      </c>
      <c r="R567" s="638">
        <v>0</v>
      </c>
      <c r="S567" s="638">
        <v>0</v>
      </c>
      <c r="T567" s="638">
        <v>0</v>
      </c>
      <c r="U567" s="638">
        <v>124.889</v>
      </c>
      <c r="V567" s="636">
        <v>2022</v>
      </c>
      <c r="W567" s="640"/>
      <c r="X567" s="641" t="str">
        <f t="shared" si="24"/>
        <v/>
      </c>
      <c r="Y567" s="642" t="str">
        <f t="shared" si="25"/>
        <v/>
      </c>
      <c r="Z567" s="642" t="str">
        <f t="shared" si="26"/>
        <v/>
      </c>
    </row>
    <row r="568" spans="1:26" s="127" customFormat="1" ht="25">
      <c r="A568" s="636">
        <v>10567</v>
      </c>
      <c r="B568" s="637" t="s">
        <v>54</v>
      </c>
      <c r="C568" s="636" t="s">
        <v>2725</v>
      </c>
      <c r="D568" s="637" t="s">
        <v>806</v>
      </c>
      <c r="E568" s="637" t="s">
        <v>807</v>
      </c>
      <c r="F568" s="636">
        <v>291</v>
      </c>
      <c r="G568" s="637" t="s">
        <v>41</v>
      </c>
      <c r="H568" s="637" t="s">
        <v>1163</v>
      </c>
      <c r="I568" s="637" t="s">
        <v>58</v>
      </c>
      <c r="J568" s="636">
        <v>22</v>
      </c>
      <c r="K568" s="636">
        <v>3</v>
      </c>
      <c r="L568" s="637" t="s">
        <v>55</v>
      </c>
      <c r="M568" s="637" t="s">
        <v>38</v>
      </c>
      <c r="N568" s="637" t="s">
        <v>39</v>
      </c>
      <c r="O568" s="637" t="s">
        <v>39</v>
      </c>
      <c r="P568" s="637" t="s">
        <v>1020</v>
      </c>
      <c r="Q568" s="638">
        <v>0</v>
      </c>
      <c r="R568" s="638">
        <v>0</v>
      </c>
      <c r="S568" s="638">
        <v>0</v>
      </c>
      <c r="T568" s="638">
        <v>0</v>
      </c>
      <c r="U568" s="638">
        <v>4350.6909999999998</v>
      </c>
      <c r="V568" s="636">
        <v>2022</v>
      </c>
      <c r="W568" s="640"/>
      <c r="X568" s="641" t="str">
        <f t="shared" si="24"/>
        <v/>
      </c>
      <c r="Y568" s="642" t="str">
        <f t="shared" si="25"/>
        <v/>
      </c>
      <c r="Z568" s="642" t="str">
        <f t="shared" si="26"/>
        <v/>
      </c>
    </row>
    <row r="569" spans="1:26" s="127" customFormat="1" ht="25">
      <c r="A569" s="636">
        <v>10567</v>
      </c>
      <c r="B569" s="637" t="s">
        <v>54</v>
      </c>
      <c r="C569" s="636" t="s">
        <v>2725</v>
      </c>
      <c r="D569" s="637" t="s">
        <v>806</v>
      </c>
      <c r="E569" s="637" t="s">
        <v>807</v>
      </c>
      <c r="F569" s="636">
        <v>291</v>
      </c>
      <c r="G569" s="637" t="s">
        <v>41</v>
      </c>
      <c r="H569" s="637" t="s">
        <v>1163</v>
      </c>
      <c r="I569" s="637" t="s">
        <v>58</v>
      </c>
      <c r="J569" s="636">
        <v>22</v>
      </c>
      <c r="K569" s="636">
        <v>3</v>
      </c>
      <c r="L569" s="637" t="s">
        <v>55</v>
      </c>
      <c r="M569" s="637" t="s">
        <v>41</v>
      </c>
      <c r="N569" s="637" t="s">
        <v>46</v>
      </c>
      <c r="O569" s="637" t="s">
        <v>46</v>
      </c>
      <c r="P569" s="637" t="s">
        <v>47</v>
      </c>
      <c r="Q569" s="638">
        <v>6712</v>
      </c>
      <c r="R569" s="638">
        <v>3310</v>
      </c>
      <c r="S569" s="638">
        <v>38461</v>
      </c>
      <c r="T569" s="638">
        <v>18971</v>
      </c>
      <c r="U569" s="638">
        <v>3218.9879999999998</v>
      </c>
      <c r="V569" s="636">
        <v>2022</v>
      </c>
      <c r="W569" s="640"/>
      <c r="X569" s="641">
        <f t="shared" si="24"/>
        <v>5.8934671393618121</v>
      </c>
      <c r="Y569" s="642" t="str">
        <f t="shared" si="25"/>
        <v/>
      </c>
      <c r="Z569" s="642" t="str">
        <f t="shared" si="26"/>
        <v/>
      </c>
    </row>
    <row r="570" spans="1:26" s="127" customFormat="1" ht="25">
      <c r="A570" s="636">
        <v>10567</v>
      </c>
      <c r="B570" s="637" t="s">
        <v>54</v>
      </c>
      <c r="C570" s="636" t="s">
        <v>2725</v>
      </c>
      <c r="D570" s="637" t="s">
        <v>806</v>
      </c>
      <c r="E570" s="637" t="s">
        <v>807</v>
      </c>
      <c r="F570" s="636">
        <v>291</v>
      </c>
      <c r="G570" s="637" t="s">
        <v>41</v>
      </c>
      <c r="H570" s="637" t="s">
        <v>1163</v>
      </c>
      <c r="I570" s="637" t="s">
        <v>58</v>
      </c>
      <c r="J570" s="636">
        <v>22</v>
      </c>
      <c r="K570" s="636">
        <v>3</v>
      </c>
      <c r="L570" s="637" t="s">
        <v>55</v>
      </c>
      <c r="M570" s="637" t="s">
        <v>41</v>
      </c>
      <c r="N570" s="637" t="s">
        <v>39</v>
      </c>
      <c r="O570" s="637" t="s">
        <v>39</v>
      </c>
      <c r="P570" s="637" t="s">
        <v>1020</v>
      </c>
      <c r="Q570" s="638">
        <v>1458285</v>
      </c>
      <c r="R570" s="638">
        <v>721752</v>
      </c>
      <c r="S570" s="638">
        <v>1499052</v>
      </c>
      <c r="T570" s="638">
        <v>741939</v>
      </c>
      <c r="U570" s="638">
        <v>126423.45</v>
      </c>
      <c r="V570" s="636">
        <v>2022</v>
      </c>
      <c r="W570" s="640"/>
      <c r="X570" s="641">
        <f t="shared" si="24"/>
        <v>5.868681799144067</v>
      </c>
      <c r="Y570" s="642" t="str">
        <f t="shared" si="25"/>
        <v/>
      </c>
      <c r="Z570" s="642" t="str">
        <f t="shared" si="26"/>
        <v/>
      </c>
    </row>
    <row r="571" spans="1:26" s="127" customFormat="1" ht="25">
      <c r="A571" s="636">
        <v>10570</v>
      </c>
      <c r="B571" s="637" t="s">
        <v>33</v>
      </c>
      <c r="C571" s="636" t="s">
        <v>2725</v>
      </c>
      <c r="D571" s="637" t="s">
        <v>808</v>
      </c>
      <c r="E571" s="637" t="s">
        <v>809</v>
      </c>
      <c r="F571" s="636">
        <v>23037</v>
      </c>
      <c r="G571" s="637" t="s">
        <v>96</v>
      </c>
      <c r="H571" s="637" t="s">
        <v>1163</v>
      </c>
      <c r="I571" s="637" t="s">
        <v>58</v>
      </c>
      <c r="J571" s="636">
        <v>22</v>
      </c>
      <c r="K571" s="636">
        <v>2</v>
      </c>
      <c r="L571" s="637" t="s">
        <v>52</v>
      </c>
      <c r="M571" s="637" t="s">
        <v>35</v>
      </c>
      <c r="N571" s="637" t="s">
        <v>36</v>
      </c>
      <c r="O571" s="637" t="s">
        <v>37</v>
      </c>
      <c r="P571" s="637" t="s">
        <v>1156</v>
      </c>
      <c r="Q571" s="638">
        <v>0</v>
      </c>
      <c r="R571" s="638">
        <v>0</v>
      </c>
      <c r="S571" s="638">
        <v>46488</v>
      </c>
      <c r="T571" s="638">
        <v>46488</v>
      </c>
      <c r="U571" s="638">
        <v>13625</v>
      </c>
      <c r="V571" s="636">
        <v>2022</v>
      </c>
      <c r="W571" s="640"/>
      <c r="X571" s="641">
        <f t="shared" si="24"/>
        <v>3.4119633027522935</v>
      </c>
      <c r="Y571" s="642" t="str">
        <f t="shared" si="25"/>
        <v/>
      </c>
      <c r="Z571" s="642" t="str">
        <f t="shared" si="26"/>
        <v/>
      </c>
    </row>
    <row r="572" spans="1:26" s="127" customFormat="1" ht="25">
      <c r="A572" s="636">
        <v>10608</v>
      </c>
      <c r="B572" s="637" t="s">
        <v>33</v>
      </c>
      <c r="C572" s="636" t="s">
        <v>2725</v>
      </c>
      <c r="D572" s="637" t="s">
        <v>810</v>
      </c>
      <c r="E572" s="637" t="s">
        <v>811</v>
      </c>
      <c r="F572" s="636">
        <v>56467</v>
      </c>
      <c r="G572" s="637" t="s">
        <v>89</v>
      </c>
      <c r="H572" s="637" t="s">
        <v>1163</v>
      </c>
      <c r="I572" s="637" t="s">
        <v>58</v>
      </c>
      <c r="J572" s="636">
        <v>22</v>
      </c>
      <c r="K572" s="636">
        <v>2</v>
      </c>
      <c r="L572" s="637" t="s">
        <v>52</v>
      </c>
      <c r="M572" s="637" t="s">
        <v>35</v>
      </c>
      <c r="N572" s="637" t="s">
        <v>36</v>
      </c>
      <c r="O572" s="637" t="s">
        <v>37</v>
      </c>
      <c r="P572" s="637" t="s">
        <v>1156</v>
      </c>
      <c r="Q572" s="638">
        <v>0</v>
      </c>
      <c r="R572" s="638">
        <v>0</v>
      </c>
      <c r="S572" s="638">
        <v>78497</v>
      </c>
      <c r="T572" s="638">
        <v>78497</v>
      </c>
      <c r="U572" s="638">
        <v>23007</v>
      </c>
      <c r="V572" s="636">
        <v>2022</v>
      </c>
      <c r="W572" s="640"/>
      <c r="X572" s="641">
        <f t="shared" si="24"/>
        <v>3.4118746468466119</v>
      </c>
      <c r="Y572" s="642" t="str">
        <f t="shared" si="25"/>
        <v/>
      </c>
      <c r="Z572" s="642" t="str">
        <f t="shared" si="26"/>
        <v/>
      </c>
    </row>
    <row r="573" spans="1:26" s="127" customFormat="1" ht="37.5" hidden="1">
      <c r="A573" s="636">
        <v>10613</v>
      </c>
      <c r="B573" s="637" t="s">
        <v>54</v>
      </c>
      <c r="C573" s="636" t="s">
        <v>2725</v>
      </c>
      <c r="D573" s="637" t="s">
        <v>2734</v>
      </c>
      <c r="E573" s="637" t="s">
        <v>1034</v>
      </c>
      <c r="F573" s="636">
        <v>5232</v>
      </c>
      <c r="G573" s="637" t="s">
        <v>90</v>
      </c>
      <c r="H573" s="637" t="s">
        <v>1163</v>
      </c>
      <c r="I573" s="637" t="s">
        <v>58</v>
      </c>
      <c r="J573" s="636">
        <v>322122</v>
      </c>
      <c r="K573" s="636">
        <v>7</v>
      </c>
      <c r="L573" s="637" t="s">
        <v>403</v>
      </c>
      <c r="M573" s="637" t="s">
        <v>35</v>
      </c>
      <c r="N573" s="637" t="s">
        <v>36</v>
      </c>
      <c r="O573" s="637" t="s">
        <v>37</v>
      </c>
      <c r="P573" s="637" t="s">
        <v>1156</v>
      </c>
      <c r="Q573" s="638">
        <v>0</v>
      </c>
      <c r="R573" s="638">
        <v>0</v>
      </c>
      <c r="S573" s="638">
        <v>216226</v>
      </c>
      <c r="T573" s="638">
        <v>216226</v>
      </c>
      <c r="U573" s="638">
        <v>63372</v>
      </c>
      <c r="V573" s="636">
        <v>2022</v>
      </c>
      <c r="W573" s="640"/>
      <c r="X573" s="641" t="str">
        <f t="shared" si="24"/>
        <v/>
      </c>
      <c r="Y573" s="642" t="str">
        <f t="shared" si="25"/>
        <v/>
      </c>
      <c r="Z573" s="642" t="str">
        <f t="shared" si="26"/>
        <v/>
      </c>
    </row>
    <row r="574" spans="1:26" s="127" customFormat="1" ht="37.5" hidden="1">
      <c r="A574" s="636">
        <v>10613</v>
      </c>
      <c r="B574" s="637" t="s">
        <v>54</v>
      </c>
      <c r="C574" s="636" t="s">
        <v>2725</v>
      </c>
      <c r="D574" s="637" t="s">
        <v>2734</v>
      </c>
      <c r="E574" s="637" t="s">
        <v>1034</v>
      </c>
      <c r="F574" s="636">
        <v>5232</v>
      </c>
      <c r="G574" s="637" t="s">
        <v>90</v>
      </c>
      <c r="H574" s="637" t="s">
        <v>1163</v>
      </c>
      <c r="I574" s="637" t="s">
        <v>58</v>
      </c>
      <c r="J574" s="636">
        <v>322122</v>
      </c>
      <c r="K574" s="636">
        <v>7</v>
      </c>
      <c r="L574" s="637" t="s">
        <v>403</v>
      </c>
      <c r="M574" s="637" t="s">
        <v>42</v>
      </c>
      <c r="N574" s="637" t="s">
        <v>151</v>
      </c>
      <c r="O574" s="637" t="s">
        <v>70</v>
      </c>
      <c r="P574" s="637" t="s">
        <v>45</v>
      </c>
      <c r="Q574" s="638">
        <v>482656</v>
      </c>
      <c r="R574" s="638">
        <v>75527</v>
      </c>
      <c r="S574" s="638">
        <v>5791872</v>
      </c>
      <c r="T574" s="638">
        <v>906311</v>
      </c>
      <c r="U574" s="638">
        <v>204530.68</v>
      </c>
      <c r="V574" s="636">
        <v>2022</v>
      </c>
      <c r="W574" s="640"/>
      <c r="X574" s="641" t="str">
        <f t="shared" si="24"/>
        <v/>
      </c>
      <c r="Y574" s="642" t="str">
        <f t="shared" si="25"/>
        <v/>
      </c>
      <c r="Z574" s="642" t="str">
        <f t="shared" si="26"/>
        <v/>
      </c>
    </row>
    <row r="575" spans="1:26" s="127" customFormat="1" ht="37.5" hidden="1">
      <c r="A575" s="636">
        <v>10613</v>
      </c>
      <c r="B575" s="637" t="s">
        <v>54</v>
      </c>
      <c r="C575" s="636" t="s">
        <v>2725</v>
      </c>
      <c r="D575" s="637" t="s">
        <v>2734</v>
      </c>
      <c r="E575" s="637" t="s">
        <v>1034</v>
      </c>
      <c r="F575" s="636">
        <v>5232</v>
      </c>
      <c r="G575" s="637" t="s">
        <v>90</v>
      </c>
      <c r="H575" s="637" t="s">
        <v>1163</v>
      </c>
      <c r="I575" s="637" t="s">
        <v>58</v>
      </c>
      <c r="J575" s="636">
        <v>322122</v>
      </c>
      <c r="K575" s="636">
        <v>7</v>
      </c>
      <c r="L575" s="637" t="s">
        <v>403</v>
      </c>
      <c r="M575" s="637" t="s">
        <v>42</v>
      </c>
      <c r="N575" s="637" t="s">
        <v>39</v>
      </c>
      <c r="O575" s="637" t="s">
        <v>39</v>
      </c>
      <c r="P575" s="637" t="s">
        <v>1020</v>
      </c>
      <c r="Q575" s="638">
        <v>2163321</v>
      </c>
      <c r="R575" s="638">
        <v>330408</v>
      </c>
      <c r="S575" s="638">
        <v>2163321</v>
      </c>
      <c r="T575" s="638">
        <v>330408</v>
      </c>
      <c r="U575" s="638">
        <v>74564.524999999994</v>
      </c>
      <c r="V575" s="636">
        <v>2022</v>
      </c>
      <c r="W575" s="640"/>
      <c r="X575" s="641" t="str">
        <f t="shared" si="24"/>
        <v/>
      </c>
      <c r="Y575" s="642" t="str">
        <f t="shared" si="25"/>
        <v/>
      </c>
      <c r="Z575" s="642" t="str">
        <f t="shared" si="26"/>
        <v/>
      </c>
    </row>
    <row r="576" spans="1:26" s="127" customFormat="1" ht="37.5" hidden="1">
      <c r="A576" s="636">
        <v>10613</v>
      </c>
      <c r="B576" s="637" t="s">
        <v>54</v>
      </c>
      <c r="C576" s="636" t="s">
        <v>2725</v>
      </c>
      <c r="D576" s="637" t="s">
        <v>2734</v>
      </c>
      <c r="E576" s="637" t="s">
        <v>1034</v>
      </c>
      <c r="F576" s="636">
        <v>5232</v>
      </c>
      <c r="G576" s="637" t="s">
        <v>90</v>
      </c>
      <c r="H576" s="637" t="s">
        <v>1163</v>
      </c>
      <c r="I576" s="637" t="s">
        <v>58</v>
      </c>
      <c r="J576" s="636">
        <v>322122</v>
      </c>
      <c r="K576" s="636">
        <v>7</v>
      </c>
      <c r="L576" s="637" t="s">
        <v>403</v>
      </c>
      <c r="M576" s="637" t="s">
        <v>42</v>
      </c>
      <c r="N576" s="637" t="s">
        <v>61</v>
      </c>
      <c r="O576" s="637" t="s">
        <v>61</v>
      </c>
      <c r="P576" s="637" t="s">
        <v>47</v>
      </c>
      <c r="Q576" s="638">
        <v>0</v>
      </c>
      <c r="R576" s="638">
        <v>0</v>
      </c>
      <c r="S576" s="638">
        <v>0</v>
      </c>
      <c r="T576" s="638">
        <v>0</v>
      </c>
      <c r="U576" s="638">
        <v>0</v>
      </c>
      <c r="V576" s="636">
        <v>2022</v>
      </c>
      <c r="W576" s="640"/>
      <c r="X576" s="641" t="str">
        <f t="shared" si="24"/>
        <v/>
      </c>
      <c r="Y576" s="642" t="str">
        <f t="shared" si="25"/>
        <v/>
      </c>
      <c r="Z576" s="642" t="str">
        <f t="shared" si="26"/>
        <v/>
      </c>
    </row>
    <row r="577" spans="1:26" s="127" customFormat="1" ht="37.5" hidden="1">
      <c r="A577" s="636">
        <v>10613</v>
      </c>
      <c r="B577" s="637" t="s">
        <v>54</v>
      </c>
      <c r="C577" s="636" t="s">
        <v>2725</v>
      </c>
      <c r="D577" s="637" t="s">
        <v>2734</v>
      </c>
      <c r="E577" s="637" t="s">
        <v>1034</v>
      </c>
      <c r="F577" s="636">
        <v>5232</v>
      </c>
      <c r="G577" s="637" t="s">
        <v>90</v>
      </c>
      <c r="H577" s="637" t="s">
        <v>1163</v>
      </c>
      <c r="I577" s="637" t="s">
        <v>58</v>
      </c>
      <c r="J577" s="636">
        <v>322122</v>
      </c>
      <c r="K577" s="636">
        <v>7</v>
      </c>
      <c r="L577" s="637" t="s">
        <v>403</v>
      </c>
      <c r="M577" s="637" t="s">
        <v>42</v>
      </c>
      <c r="N577" s="637" t="s">
        <v>69</v>
      </c>
      <c r="O577" s="637" t="s">
        <v>70</v>
      </c>
      <c r="P577" s="637" t="s">
        <v>45</v>
      </c>
      <c r="Q577" s="638">
        <v>155446</v>
      </c>
      <c r="R577" s="638">
        <v>45106</v>
      </c>
      <c r="S577" s="638">
        <v>913514</v>
      </c>
      <c r="T577" s="638">
        <v>91699</v>
      </c>
      <c r="U577" s="638">
        <v>31047.793000000001</v>
      </c>
      <c r="V577" s="636">
        <v>2022</v>
      </c>
      <c r="W577" s="640"/>
      <c r="X577" s="641" t="str">
        <f t="shared" si="24"/>
        <v/>
      </c>
      <c r="Y577" s="642" t="str">
        <f t="shared" si="25"/>
        <v/>
      </c>
      <c r="Z577" s="642" t="str">
        <f t="shared" si="26"/>
        <v/>
      </c>
    </row>
    <row r="578" spans="1:26" s="127" customFormat="1" ht="25">
      <c r="A578" s="636">
        <v>10617</v>
      </c>
      <c r="B578" s="637" t="s">
        <v>54</v>
      </c>
      <c r="C578" s="636" t="s">
        <v>2725</v>
      </c>
      <c r="D578" s="637" t="s">
        <v>397</v>
      </c>
      <c r="E578" s="637" t="s">
        <v>1150</v>
      </c>
      <c r="F578" s="636">
        <v>58338</v>
      </c>
      <c r="G578" s="637" t="s">
        <v>57</v>
      </c>
      <c r="H578" s="637" t="s">
        <v>1162</v>
      </c>
      <c r="I578" s="637" t="s">
        <v>58</v>
      </c>
      <c r="J578" s="636">
        <v>22</v>
      </c>
      <c r="K578" s="636">
        <v>3</v>
      </c>
      <c r="L578" s="637" t="s">
        <v>55</v>
      </c>
      <c r="M578" s="637" t="s">
        <v>38</v>
      </c>
      <c r="N578" s="637" t="s">
        <v>46</v>
      </c>
      <c r="O578" s="637" t="s">
        <v>46</v>
      </c>
      <c r="P578" s="637" t="s">
        <v>47</v>
      </c>
      <c r="Q578" s="638">
        <v>0</v>
      </c>
      <c r="R578" s="638">
        <v>0</v>
      </c>
      <c r="S578" s="638">
        <v>0</v>
      </c>
      <c r="T578" s="638">
        <v>0</v>
      </c>
      <c r="U578" s="638">
        <v>0</v>
      </c>
      <c r="V578" s="636">
        <v>2022</v>
      </c>
      <c r="W578" s="640"/>
      <c r="X578" s="641" t="str">
        <f t="shared" si="24"/>
        <v/>
      </c>
      <c r="Y578" s="642" t="str">
        <f t="shared" si="25"/>
        <v/>
      </c>
      <c r="Z578" s="642" t="str">
        <f t="shared" si="26"/>
        <v/>
      </c>
    </row>
    <row r="579" spans="1:26" s="127" customFormat="1" ht="25">
      <c r="A579" s="636">
        <v>10617</v>
      </c>
      <c r="B579" s="637" t="s">
        <v>54</v>
      </c>
      <c r="C579" s="636" t="s">
        <v>2725</v>
      </c>
      <c r="D579" s="637" t="s">
        <v>397</v>
      </c>
      <c r="E579" s="637" t="s">
        <v>1150</v>
      </c>
      <c r="F579" s="636">
        <v>58338</v>
      </c>
      <c r="G579" s="637" t="s">
        <v>57</v>
      </c>
      <c r="H579" s="637" t="s">
        <v>1162</v>
      </c>
      <c r="I579" s="637" t="s">
        <v>58</v>
      </c>
      <c r="J579" s="636">
        <v>22</v>
      </c>
      <c r="K579" s="636">
        <v>3</v>
      </c>
      <c r="L579" s="637" t="s">
        <v>55</v>
      </c>
      <c r="M579" s="637" t="s">
        <v>38</v>
      </c>
      <c r="N579" s="637" t="s">
        <v>39</v>
      </c>
      <c r="O579" s="637" t="s">
        <v>39</v>
      </c>
      <c r="P579" s="637" t="s">
        <v>1020</v>
      </c>
      <c r="Q579" s="638">
        <v>815</v>
      </c>
      <c r="R579" s="638">
        <v>465</v>
      </c>
      <c r="S579" s="638">
        <v>831</v>
      </c>
      <c r="T579" s="638">
        <v>474</v>
      </c>
      <c r="U579" s="638">
        <v>89</v>
      </c>
      <c r="V579" s="636">
        <v>2022</v>
      </c>
      <c r="W579" s="640"/>
      <c r="X579" s="641">
        <f t="shared" si="24"/>
        <v>5.3258426966292136</v>
      </c>
      <c r="Y579" s="642" t="str">
        <f t="shared" si="25"/>
        <v/>
      </c>
      <c r="Z579" s="642" t="str">
        <f t="shared" si="26"/>
        <v/>
      </c>
    </row>
    <row r="580" spans="1:26" s="127" customFormat="1" ht="25">
      <c r="A580" s="636">
        <v>10617</v>
      </c>
      <c r="B580" s="637" t="s">
        <v>54</v>
      </c>
      <c r="C580" s="636" t="s">
        <v>2725</v>
      </c>
      <c r="D580" s="637" t="s">
        <v>397</v>
      </c>
      <c r="E580" s="637" t="s">
        <v>1150</v>
      </c>
      <c r="F580" s="636">
        <v>58338</v>
      </c>
      <c r="G580" s="637" t="s">
        <v>57</v>
      </c>
      <c r="H580" s="637" t="s">
        <v>1162</v>
      </c>
      <c r="I580" s="637" t="s">
        <v>58</v>
      </c>
      <c r="J580" s="636">
        <v>22</v>
      </c>
      <c r="K580" s="636">
        <v>3</v>
      </c>
      <c r="L580" s="637" t="s">
        <v>55</v>
      </c>
      <c r="M580" s="637" t="s">
        <v>41</v>
      </c>
      <c r="N580" s="637" t="s">
        <v>46</v>
      </c>
      <c r="O580" s="637" t="s">
        <v>46</v>
      </c>
      <c r="P580" s="637" t="s">
        <v>47</v>
      </c>
      <c r="Q580" s="638">
        <v>0</v>
      </c>
      <c r="R580" s="638">
        <v>0</v>
      </c>
      <c r="S580" s="638">
        <v>0</v>
      </c>
      <c r="T580" s="638">
        <v>0</v>
      </c>
      <c r="U580" s="638">
        <v>0</v>
      </c>
      <c r="V580" s="636">
        <v>2022</v>
      </c>
      <c r="W580" s="640"/>
      <c r="X580" s="641" t="str">
        <f t="shared" si="24"/>
        <v/>
      </c>
      <c r="Y580" s="642" t="str">
        <f t="shared" si="25"/>
        <v/>
      </c>
      <c r="Z580" s="642" t="str">
        <f t="shared" si="26"/>
        <v/>
      </c>
    </row>
    <row r="581" spans="1:26" s="127" customFormat="1" ht="25">
      <c r="A581" s="636">
        <v>10617</v>
      </c>
      <c r="B581" s="637" t="s">
        <v>54</v>
      </c>
      <c r="C581" s="636" t="s">
        <v>2725</v>
      </c>
      <c r="D581" s="637" t="s">
        <v>397</v>
      </c>
      <c r="E581" s="637" t="s">
        <v>1150</v>
      </c>
      <c r="F581" s="636">
        <v>58338</v>
      </c>
      <c r="G581" s="637" t="s">
        <v>57</v>
      </c>
      <c r="H581" s="637" t="s">
        <v>1162</v>
      </c>
      <c r="I581" s="637" t="s">
        <v>58</v>
      </c>
      <c r="J581" s="636">
        <v>22</v>
      </c>
      <c r="K581" s="636">
        <v>3</v>
      </c>
      <c r="L581" s="637" t="s">
        <v>55</v>
      </c>
      <c r="M581" s="637" t="s">
        <v>41</v>
      </c>
      <c r="N581" s="637" t="s">
        <v>39</v>
      </c>
      <c r="O581" s="637" t="s">
        <v>39</v>
      </c>
      <c r="P581" s="637" t="s">
        <v>1020</v>
      </c>
      <c r="Q581" s="638">
        <v>51112</v>
      </c>
      <c r="R581" s="638">
        <v>34525</v>
      </c>
      <c r="S581" s="638">
        <v>52083</v>
      </c>
      <c r="T581" s="638">
        <v>35180</v>
      </c>
      <c r="U581" s="638">
        <v>5280</v>
      </c>
      <c r="V581" s="636">
        <v>2022</v>
      </c>
      <c r="W581" s="640"/>
      <c r="X581" s="641">
        <f t="shared" si="24"/>
        <v>6.6628787878787881</v>
      </c>
      <c r="Y581" s="642" t="str">
        <f t="shared" si="25"/>
        <v/>
      </c>
      <c r="Z581" s="642" t="str">
        <f t="shared" si="26"/>
        <v/>
      </c>
    </row>
    <row r="582" spans="1:26" s="127" customFormat="1" ht="25">
      <c r="A582" s="636">
        <v>10620</v>
      </c>
      <c r="B582" s="637" t="s">
        <v>33</v>
      </c>
      <c r="C582" s="636" t="s">
        <v>2725</v>
      </c>
      <c r="D582" s="637" t="s">
        <v>812</v>
      </c>
      <c r="E582" s="637" t="s">
        <v>812</v>
      </c>
      <c r="F582" s="636">
        <v>3085</v>
      </c>
      <c r="G582" s="637" t="s">
        <v>57</v>
      </c>
      <c r="H582" s="637" t="s">
        <v>1162</v>
      </c>
      <c r="I582" s="637" t="s">
        <v>58</v>
      </c>
      <c r="J582" s="636">
        <v>22</v>
      </c>
      <c r="K582" s="636">
        <v>2</v>
      </c>
      <c r="L582" s="637" t="s">
        <v>52</v>
      </c>
      <c r="M582" s="637" t="s">
        <v>38</v>
      </c>
      <c r="N582" s="637" t="s">
        <v>46</v>
      </c>
      <c r="O582" s="637" t="s">
        <v>46</v>
      </c>
      <c r="P582" s="637" t="s">
        <v>47</v>
      </c>
      <c r="Q582" s="638">
        <v>0</v>
      </c>
      <c r="R582" s="638">
        <v>0</v>
      </c>
      <c r="S582" s="638">
        <v>0</v>
      </c>
      <c r="T582" s="638">
        <v>0</v>
      </c>
      <c r="U582" s="638">
        <v>0</v>
      </c>
      <c r="V582" s="636">
        <v>2022</v>
      </c>
      <c r="W582" s="640" t="s">
        <v>3934</v>
      </c>
      <c r="X582" s="641" t="str">
        <f t="shared" si="24"/>
        <v/>
      </c>
      <c r="Y582" s="642" t="str">
        <f t="shared" si="25"/>
        <v/>
      </c>
      <c r="Z582" s="642" t="str">
        <f t="shared" si="26"/>
        <v/>
      </c>
    </row>
    <row r="583" spans="1:26" s="127" customFormat="1" ht="25">
      <c r="A583" s="636">
        <v>10620</v>
      </c>
      <c r="B583" s="637" t="s">
        <v>33</v>
      </c>
      <c r="C583" s="636" t="s">
        <v>2725</v>
      </c>
      <c r="D583" s="637" t="s">
        <v>812</v>
      </c>
      <c r="E583" s="637" t="s">
        <v>812</v>
      </c>
      <c r="F583" s="636">
        <v>3085</v>
      </c>
      <c r="G583" s="637" t="s">
        <v>57</v>
      </c>
      <c r="H583" s="637" t="s">
        <v>1162</v>
      </c>
      <c r="I583" s="637" t="s">
        <v>58</v>
      </c>
      <c r="J583" s="636">
        <v>22</v>
      </c>
      <c r="K583" s="636">
        <v>2</v>
      </c>
      <c r="L583" s="637" t="s">
        <v>52</v>
      </c>
      <c r="M583" s="637" t="s">
        <v>38</v>
      </c>
      <c r="N583" s="637" t="s">
        <v>39</v>
      </c>
      <c r="O583" s="637" t="s">
        <v>39</v>
      </c>
      <c r="P583" s="637" t="s">
        <v>1020</v>
      </c>
      <c r="Q583" s="638">
        <v>2419</v>
      </c>
      <c r="R583" s="638">
        <v>2419</v>
      </c>
      <c r="S583" s="638">
        <v>2501</v>
      </c>
      <c r="T583" s="638">
        <v>2501</v>
      </c>
      <c r="U583" s="638">
        <v>901</v>
      </c>
      <c r="V583" s="636">
        <v>2022</v>
      </c>
      <c r="W583" s="640" t="s">
        <v>3934</v>
      </c>
      <c r="X583" s="641">
        <f t="shared" si="24"/>
        <v>2.7758046614872365</v>
      </c>
      <c r="Y583" s="642" t="str">
        <f t="shared" si="25"/>
        <v/>
      </c>
      <c r="Z583" s="642" t="str">
        <f t="shared" si="26"/>
        <v/>
      </c>
    </row>
    <row r="584" spans="1:26" s="127" customFormat="1" ht="25">
      <c r="A584" s="636">
        <v>10620</v>
      </c>
      <c r="B584" s="637" t="s">
        <v>33</v>
      </c>
      <c r="C584" s="636" t="s">
        <v>2725</v>
      </c>
      <c r="D584" s="637" t="s">
        <v>812</v>
      </c>
      <c r="E584" s="637" t="s">
        <v>812</v>
      </c>
      <c r="F584" s="636">
        <v>3085</v>
      </c>
      <c r="G584" s="637" t="s">
        <v>57</v>
      </c>
      <c r="H584" s="637" t="s">
        <v>1162</v>
      </c>
      <c r="I584" s="637" t="s">
        <v>58</v>
      </c>
      <c r="J584" s="636">
        <v>22</v>
      </c>
      <c r="K584" s="636">
        <v>2</v>
      </c>
      <c r="L584" s="637" t="s">
        <v>52</v>
      </c>
      <c r="M584" s="637" t="s">
        <v>41</v>
      </c>
      <c r="N584" s="637" t="s">
        <v>46</v>
      </c>
      <c r="O584" s="637" t="s">
        <v>46</v>
      </c>
      <c r="P584" s="637" t="s">
        <v>47</v>
      </c>
      <c r="Q584" s="638">
        <v>0</v>
      </c>
      <c r="R584" s="638">
        <v>0</v>
      </c>
      <c r="S584" s="638">
        <v>0</v>
      </c>
      <c r="T584" s="638">
        <v>0</v>
      </c>
      <c r="U584" s="638">
        <v>0</v>
      </c>
      <c r="V584" s="636">
        <v>2022</v>
      </c>
      <c r="W584" s="640" t="s">
        <v>3934</v>
      </c>
      <c r="X584" s="641" t="str">
        <f t="shared" ref="X584:X647" si="27">IF(OR(K584&gt;3,T584=0,NOT(U584&gt;0)),"",T584/U584)</f>
        <v/>
      </c>
      <c r="Y584" s="642" t="str">
        <f t="shared" ref="Y584:Y647" si="28">IF(AND($M584=$Y$2,$N584=$Y$3,NOT($Q584=$R584),NOT($U584=0)),IF($K584=5,$S584/($U584+(8/5)*$U584),IF($K584=7,$S584/($U584+(29/25)*$U584),"")),"")</f>
        <v/>
      </c>
      <c r="Z584" s="642" t="str">
        <f t="shared" si="26"/>
        <v/>
      </c>
    </row>
    <row r="585" spans="1:26" s="127" customFormat="1" ht="25">
      <c r="A585" s="636">
        <v>10620</v>
      </c>
      <c r="B585" s="637" t="s">
        <v>33</v>
      </c>
      <c r="C585" s="636" t="s">
        <v>2725</v>
      </c>
      <c r="D585" s="637" t="s">
        <v>812</v>
      </c>
      <c r="E585" s="637" t="s">
        <v>812</v>
      </c>
      <c r="F585" s="636">
        <v>3085</v>
      </c>
      <c r="G585" s="637" t="s">
        <v>57</v>
      </c>
      <c r="H585" s="637" t="s">
        <v>1162</v>
      </c>
      <c r="I585" s="637" t="s">
        <v>58</v>
      </c>
      <c r="J585" s="636">
        <v>22</v>
      </c>
      <c r="K585" s="636">
        <v>2</v>
      </c>
      <c r="L585" s="637" t="s">
        <v>52</v>
      </c>
      <c r="M585" s="637" t="s">
        <v>41</v>
      </c>
      <c r="N585" s="637" t="s">
        <v>39</v>
      </c>
      <c r="O585" s="637" t="s">
        <v>39</v>
      </c>
      <c r="P585" s="637" t="s">
        <v>1020</v>
      </c>
      <c r="Q585" s="638">
        <v>24303</v>
      </c>
      <c r="R585" s="638">
        <v>24303</v>
      </c>
      <c r="S585" s="638">
        <v>25130</v>
      </c>
      <c r="T585" s="638">
        <v>25130</v>
      </c>
      <c r="U585" s="638">
        <v>1862</v>
      </c>
      <c r="V585" s="636">
        <v>2022</v>
      </c>
      <c r="W585" s="640" t="s">
        <v>3934</v>
      </c>
      <c r="X585" s="641">
        <f t="shared" si="27"/>
        <v>13.496240601503759</v>
      </c>
      <c r="Y585" s="642" t="str">
        <f t="shared" si="28"/>
        <v/>
      </c>
      <c r="Z585" s="642" t="str">
        <f t="shared" si="26"/>
        <v/>
      </c>
    </row>
    <row r="586" spans="1:26" s="127" customFormat="1" ht="25">
      <c r="A586" s="636">
        <v>10621</v>
      </c>
      <c r="B586" s="637" t="s">
        <v>33</v>
      </c>
      <c r="C586" s="636" t="s">
        <v>2725</v>
      </c>
      <c r="D586" s="637" t="s">
        <v>813</v>
      </c>
      <c r="E586" s="637" t="s">
        <v>1151</v>
      </c>
      <c r="F586" s="636">
        <v>58337</v>
      </c>
      <c r="G586" s="637" t="s">
        <v>57</v>
      </c>
      <c r="H586" s="637" t="s">
        <v>1162</v>
      </c>
      <c r="I586" s="637" t="s">
        <v>58</v>
      </c>
      <c r="J586" s="636">
        <v>22</v>
      </c>
      <c r="K586" s="636">
        <v>2</v>
      </c>
      <c r="L586" s="637" t="s">
        <v>52</v>
      </c>
      <c r="M586" s="637" t="s">
        <v>38</v>
      </c>
      <c r="N586" s="637" t="s">
        <v>46</v>
      </c>
      <c r="O586" s="637" t="s">
        <v>46</v>
      </c>
      <c r="P586" s="637" t="s">
        <v>47</v>
      </c>
      <c r="Q586" s="638">
        <v>0</v>
      </c>
      <c r="R586" s="638">
        <v>0</v>
      </c>
      <c r="S586" s="638">
        <v>0</v>
      </c>
      <c r="T586" s="638">
        <v>0</v>
      </c>
      <c r="U586" s="638">
        <v>0</v>
      </c>
      <c r="V586" s="636">
        <v>2022</v>
      </c>
      <c r="W586" s="640" t="s">
        <v>3934</v>
      </c>
      <c r="X586" s="641" t="str">
        <f t="shared" si="27"/>
        <v/>
      </c>
      <c r="Y586" s="642" t="str">
        <f t="shared" si="28"/>
        <v/>
      </c>
      <c r="Z586" s="642" t="str">
        <f t="shared" si="26"/>
        <v/>
      </c>
    </row>
    <row r="587" spans="1:26" s="127" customFormat="1" ht="25">
      <c r="A587" s="636">
        <v>10621</v>
      </c>
      <c r="B587" s="637" t="s">
        <v>33</v>
      </c>
      <c r="C587" s="636" t="s">
        <v>2725</v>
      </c>
      <c r="D587" s="637" t="s">
        <v>813</v>
      </c>
      <c r="E587" s="637" t="s">
        <v>1151</v>
      </c>
      <c r="F587" s="636">
        <v>58337</v>
      </c>
      <c r="G587" s="637" t="s">
        <v>57</v>
      </c>
      <c r="H587" s="637" t="s">
        <v>1162</v>
      </c>
      <c r="I587" s="637" t="s">
        <v>58</v>
      </c>
      <c r="J587" s="636">
        <v>22</v>
      </c>
      <c r="K587" s="636">
        <v>2</v>
      </c>
      <c r="L587" s="637" t="s">
        <v>52</v>
      </c>
      <c r="M587" s="637" t="s">
        <v>38</v>
      </c>
      <c r="N587" s="637" t="s">
        <v>39</v>
      </c>
      <c r="O587" s="637" t="s">
        <v>39</v>
      </c>
      <c r="P587" s="637" t="s">
        <v>1020</v>
      </c>
      <c r="Q587" s="638">
        <v>1309</v>
      </c>
      <c r="R587" s="638">
        <v>1309</v>
      </c>
      <c r="S587" s="638">
        <v>1288</v>
      </c>
      <c r="T587" s="638">
        <v>1288</v>
      </c>
      <c r="U587" s="638">
        <v>40</v>
      </c>
      <c r="V587" s="636">
        <v>2022</v>
      </c>
      <c r="W587" s="640" t="s">
        <v>3934</v>
      </c>
      <c r="X587" s="641">
        <f t="shared" si="27"/>
        <v>32.200000000000003</v>
      </c>
      <c r="Y587" s="642" t="str">
        <f t="shared" si="28"/>
        <v/>
      </c>
      <c r="Z587" s="642" t="str">
        <f t="shared" si="26"/>
        <v/>
      </c>
    </row>
    <row r="588" spans="1:26" s="127" customFormat="1" ht="25">
      <c r="A588" s="636">
        <v>10621</v>
      </c>
      <c r="B588" s="637" t="s">
        <v>33</v>
      </c>
      <c r="C588" s="636" t="s">
        <v>2725</v>
      </c>
      <c r="D588" s="637" t="s">
        <v>813</v>
      </c>
      <c r="E588" s="637" t="s">
        <v>1151</v>
      </c>
      <c r="F588" s="636">
        <v>58337</v>
      </c>
      <c r="G588" s="637" t="s">
        <v>57</v>
      </c>
      <c r="H588" s="637" t="s">
        <v>1162</v>
      </c>
      <c r="I588" s="637" t="s">
        <v>58</v>
      </c>
      <c r="J588" s="636">
        <v>22</v>
      </c>
      <c r="K588" s="636">
        <v>2</v>
      </c>
      <c r="L588" s="637" t="s">
        <v>52</v>
      </c>
      <c r="M588" s="637" t="s">
        <v>41</v>
      </c>
      <c r="N588" s="637" t="s">
        <v>46</v>
      </c>
      <c r="O588" s="637" t="s">
        <v>46</v>
      </c>
      <c r="P588" s="637" t="s">
        <v>47</v>
      </c>
      <c r="Q588" s="638">
        <v>0</v>
      </c>
      <c r="R588" s="638">
        <v>0</v>
      </c>
      <c r="S588" s="638">
        <v>0</v>
      </c>
      <c r="T588" s="638">
        <v>0</v>
      </c>
      <c r="U588" s="638">
        <v>0</v>
      </c>
      <c r="V588" s="636">
        <v>2022</v>
      </c>
      <c r="W588" s="640" t="s">
        <v>3934</v>
      </c>
      <c r="X588" s="641" t="str">
        <f t="shared" si="27"/>
        <v/>
      </c>
      <c r="Y588" s="642" t="str">
        <f t="shared" si="28"/>
        <v/>
      </c>
      <c r="Z588" s="642" t="str">
        <f t="shared" si="26"/>
        <v/>
      </c>
    </row>
    <row r="589" spans="1:26" s="127" customFormat="1" ht="25">
      <c r="A589" s="636">
        <v>10621</v>
      </c>
      <c r="B589" s="637" t="s">
        <v>33</v>
      </c>
      <c r="C589" s="636" t="s">
        <v>2725</v>
      </c>
      <c r="D589" s="637" t="s">
        <v>813</v>
      </c>
      <c r="E589" s="637" t="s">
        <v>1151</v>
      </c>
      <c r="F589" s="636">
        <v>58337</v>
      </c>
      <c r="G589" s="637" t="s">
        <v>57</v>
      </c>
      <c r="H589" s="637" t="s">
        <v>1162</v>
      </c>
      <c r="I589" s="637" t="s">
        <v>58</v>
      </c>
      <c r="J589" s="636">
        <v>22</v>
      </c>
      <c r="K589" s="636">
        <v>2</v>
      </c>
      <c r="L589" s="637" t="s">
        <v>52</v>
      </c>
      <c r="M589" s="637" t="s">
        <v>41</v>
      </c>
      <c r="N589" s="637" t="s">
        <v>39</v>
      </c>
      <c r="O589" s="637" t="s">
        <v>39</v>
      </c>
      <c r="P589" s="637" t="s">
        <v>1020</v>
      </c>
      <c r="Q589" s="638">
        <v>28028</v>
      </c>
      <c r="R589" s="638">
        <v>28028</v>
      </c>
      <c r="S589" s="638">
        <v>27579</v>
      </c>
      <c r="T589" s="638">
        <v>27579</v>
      </c>
      <c r="U589" s="638">
        <v>2697</v>
      </c>
      <c r="V589" s="636">
        <v>2022</v>
      </c>
      <c r="W589" s="640" t="s">
        <v>3934</v>
      </c>
      <c r="X589" s="641">
        <f t="shared" si="27"/>
        <v>10.225806451612904</v>
      </c>
      <c r="Y589" s="642" t="str">
        <f t="shared" si="28"/>
        <v/>
      </c>
      <c r="Z589" s="642" t="str">
        <f t="shared" si="26"/>
        <v/>
      </c>
    </row>
    <row r="590" spans="1:26" s="127" customFormat="1" ht="37.5" hidden="1">
      <c r="A590" s="636">
        <v>10642</v>
      </c>
      <c r="B590" s="637" t="s">
        <v>33</v>
      </c>
      <c r="C590" s="636" t="s">
        <v>2725</v>
      </c>
      <c r="D590" s="637" t="s">
        <v>398</v>
      </c>
      <c r="E590" s="637" t="s">
        <v>399</v>
      </c>
      <c r="F590" s="636">
        <v>473</v>
      </c>
      <c r="G590" s="637" t="s">
        <v>57</v>
      </c>
      <c r="H590" s="637" t="s">
        <v>1162</v>
      </c>
      <c r="I590" s="637" t="s">
        <v>58</v>
      </c>
      <c r="J590" s="636">
        <v>562213</v>
      </c>
      <c r="K590" s="636">
        <v>4</v>
      </c>
      <c r="L590" s="637" t="s">
        <v>406</v>
      </c>
      <c r="M590" s="637" t="s">
        <v>42</v>
      </c>
      <c r="N590" s="637" t="s">
        <v>46</v>
      </c>
      <c r="O590" s="637" t="s">
        <v>46</v>
      </c>
      <c r="P590" s="637" t="s">
        <v>47</v>
      </c>
      <c r="Q590" s="638">
        <v>1741</v>
      </c>
      <c r="R590" s="638">
        <v>1741</v>
      </c>
      <c r="S590" s="638">
        <v>10238</v>
      </c>
      <c r="T590" s="638">
        <v>10238</v>
      </c>
      <c r="U590" s="638">
        <v>589.60500000000002</v>
      </c>
      <c r="V590" s="636">
        <v>2022</v>
      </c>
      <c r="W590" s="640"/>
      <c r="X590" s="641" t="str">
        <f t="shared" si="27"/>
        <v/>
      </c>
      <c r="Y590" s="642" t="str">
        <f t="shared" si="28"/>
        <v/>
      </c>
      <c r="Z590" s="642" t="str">
        <f t="shared" si="26"/>
        <v/>
      </c>
    </row>
    <row r="591" spans="1:26" s="127" customFormat="1" ht="37.5" hidden="1">
      <c r="A591" s="636">
        <v>10642</v>
      </c>
      <c r="B591" s="637" t="s">
        <v>33</v>
      </c>
      <c r="C591" s="636" t="s">
        <v>2725</v>
      </c>
      <c r="D591" s="637" t="s">
        <v>398</v>
      </c>
      <c r="E591" s="637" t="s">
        <v>399</v>
      </c>
      <c r="F591" s="636">
        <v>473</v>
      </c>
      <c r="G591" s="637" t="s">
        <v>57</v>
      </c>
      <c r="H591" s="637" t="s">
        <v>1162</v>
      </c>
      <c r="I591" s="637" t="s">
        <v>58</v>
      </c>
      <c r="J591" s="636">
        <v>562213</v>
      </c>
      <c r="K591" s="636">
        <v>4</v>
      </c>
      <c r="L591" s="637" t="s">
        <v>406</v>
      </c>
      <c r="M591" s="637" t="s">
        <v>42</v>
      </c>
      <c r="N591" s="637" t="s">
        <v>16</v>
      </c>
      <c r="O591" s="637" t="s">
        <v>64</v>
      </c>
      <c r="P591" s="637" t="s">
        <v>45</v>
      </c>
      <c r="Q591" s="638">
        <v>607148</v>
      </c>
      <c r="R591" s="638">
        <v>607148</v>
      </c>
      <c r="S591" s="638">
        <v>4478932</v>
      </c>
      <c r="T591" s="638">
        <v>4478932</v>
      </c>
      <c r="U591" s="638">
        <v>260891.17</v>
      </c>
      <c r="V591" s="636">
        <v>2022</v>
      </c>
      <c r="W591" s="640"/>
      <c r="X591" s="641" t="str">
        <f t="shared" si="27"/>
        <v/>
      </c>
      <c r="Y591" s="642" t="str">
        <f t="shared" si="28"/>
        <v/>
      </c>
      <c r="Z591" s="642" t="str">
        <f t="shared" si="26"/>
        <v/>
      </c>
    </row>
    <row r="592" spans="1:26" s="127" customFormat="1" ht="37.5" hidden="1">
      <c r="A592" s="636">
        <v>10642</v>
      </c>
      <c r="B592" s="637" t="s">
        <v>33</v>
      </c>
      <c r="C592" s="636" t="s">
        <v>2725</v>
      </c>
      <c r="D592" s="637" t="s">
        <v>398</v>
      </c>
      <c r="E592" s="637" t="s">
        <v>399</v>
      </c>
      <c r="F592" s="636">
        <v>473</v>
      </c>
      <c r="G592" s="637" t="s">
        <v>57</v>
      </c>
      <c r="H592" s="637" t="s">
        <v>1162</v>
      </c>
      <c r="I592" s="637" t="s">
        <v>58</v>
      </c>
      <c r="J592" s="636">
        <v>562213</v>
      </c>
      <c r="K592" s="636">
        <v>4</v>
      </c>
      <c r="L592" s="637" t="s">
        <v>406</v>
      </c>
      <c r="M592" s="637" t="s">
        <v>42</v>
      </c>
      <c r="N592" s="637" t="s">
        <v>17</v>
      </c>
      <c r="O592" s="637" t="s">
        <v>82</v>
      </c>
      <c r="P592" s="637" t="s">
        <v>45</v>
      </c>
      <c r="Q592" s="638">
        <v>388177</v>
      </c>
      <c r="R592" s="638">
        <v>388177</v>
      </c>
      <c r="S592" s="638">
        <v>5474305</v>
      </c>
      <c r="T592" s="638">
        <v>5474305</v>
      </c>
      <c r="U592" s="638">
        <v>318870.21999999997</v>
      </c>
      <c r="V592" s="636">
        <v>2022</v>
      </c>
      <c r="W592" s="640"/>
      <c r="X592" s="641" t="str">
        <f t="shared" si="27"/>
        <v/>
      </c>
      <c r="Y592" s="642" t="str">
        <f t="shared" si="28"/>
        <v/>
      </c>
      <c r="Z592" s="642" t="str">
        <f t="shared" ref="Z592:Z655" si="29">IF(AND($M592=$Y$2,$N592=$Y$4,NOT($Q592=$R592),NOT($U592=0)),IF($K592=5,$S592/($U592+(8/5)*$U592),IF($K592=7,$S592/($U592+(29/25)*$U592),"")),"")</f>
        <v/>
      </c>
    </row>
    <row r="593" spans="1:26" s="127" customFormat="1" ht="37.5" hidden="1">
      <c r="A593" s="636">
        <v>10642</v>
      </c>
      <c r="B593" s="637" t="s">
        <v>33</v>
      </c>
      <c r="C593" s="636" t="s">
        <v>2725</v>
      </c>
      <c r="D593" s="637" t="s">
        <v>398</v>
      </c>
      <c r="E593" s="637" t="s">
        <v>399</v>
      </c>
      <c r="F593" s="636">
        <v>473</v>
      </c>
      <c r="G593" s="637" t="s">
        <v>57</v>
      </c>
      <c r="H593" s="637" t="s">
        <v>1162</v>
      </c>
      <c r="I593" s="637" t="s">
        <v>58</v>
      </c>
      <c r="J593" s="636">
        <v>562213</v>
      </c>
      <c r="K593" s="636">
        <v>4</v>
      </c>
      <c r="L593" s="637" t="s">
        <v>406</v>
      </c>
      <c r="M593" s="637" t="s">
        <v>42</v>
      </c>
      <c r="N593" s="637" t="s">
        <v>69</v>
      </c>
      <c r="O593" s="637" t="s">
        <v>70</v>
      </c>
      <c r="P593" s="637" t="s">
        <v>45</v>
      </c>
      <c r="Q593" s="638">
        <v>0</v>
      </c>
      <c r="R593" s="638">
        <v>0</v>
      </c>
      <c r="S593" s="638">
        <v>0</v>
      </c>
      <c r="T593" s="638">
        <v>0</v>
      </c>
      <c r="U593" s="638">
        <v>0</v>
      </c>
      <c r="V593" s="636">
        <v>2022</v>
      </c>
      <c r="W593" s="640"/>
      <c r="X593" s="641" t="str">
        <f t="shared" si="27"/>
        <v/>
      </c>
      <c r="Y593" s="642" t="str">
        <f t="shared" si="28"/>
        <v/>
      </c>
      <c r="Z593" s="642" t="str">
        <f t="shared" si="29"/>
        <v/>
      </c>
    </row>
    <row r="594" spans="1:26" s="127" customFormat="1" ht="25">
      <c r="A594" s="636">
        <v>10646</v>
      </c>
      <c r="B594" s="637" t="s">
        <v>33</v>
      </c>
      <c r="C594" s="636" t="s">
        <v>2725</v>
      </c>
      <c r="D594" s="637" t="s">
        <v>814</v>
      </c>
      <c r="E594" s="637" t="s">
        <v>814</v>
      </c>
      <c r="F594" s="636">
        <v>528</v>
      </c>
      <c r="G594" s="637" t="s">
        <v>41</v>
      </c>
      <c r="H594" s="637" t="s">
        <v>1163</v>
      </c>
      <c r="I594" s="637" t="s">
        <v>58</v>
      </c>
      <c r="J594" s="636">
        <v>22</v>
      </c>
      <c r="K594" s="636">
        <v>2</v>
      </c>
      <c r="L594" s="637" t="s">
        <v>52</v>
      </c>
      <c r="M594" s="637" t="s">
        <v>42</v>
      </c>
      <c r="N594" s="637" t="s">
        <v>46</v>
      </c>
      <c r="O594" s="637" t="s">
        <v>46</v>
      </c>
      <c r="P594" s="637" t="s">
        <v>47</v>
      </c>
      <c r="Q594" s="638">
        <v>25448</v>
      </c>
      <c r="R594" s="638">
        <v>25448</v>
      </c>
      <c r="S594" s="638">
        <v>148234</v>
      </c>
      <c r="T594" s="638">
        <v>148234</v>
      </c>
      <c r="U594" s="638">
        <v>11674.633</v>
      </c>
      <c r="V594" s="636">
        <v>2022</v>
      </c>
      <c r="W594" s="640"/>
      <c r="X594" s="641">
        <f t="shared" si="27"/>
        <v>12.697101484903209</v>
      </c>
      <c r="Y594" s="642" t="str">
        <f t="shared" si="28"/>
        <v/>
      </c>
      <c r="Z594" s="642" t="str">
        <f t="shared" si="29"/>
        <v/>
      </c>
    </row>
    <row r="595" spans="1:26" s="127" customFormat="1" ht="25">
      <c r="A595" s="636">
        <v>10646</v>
      </c>
      <c r="B595" s="637" t="s">
        <v>33</v>
      </c>
      <c r="C595" s="636" t="s">
        <v>2725</v>
      </c>
      <c r="D595" s="637" t="s">
        <v>814</v>
      </c>
      <c r="E595" s="637" t="s">
        <v>814</v>
      </c>
      <c r="F595" s="636">
        <v>528</v>
      </c>
      <c r="G595" s="637" t="s">
        <v>41</v>
      </c>
      <c r="H595" s="637" t="s">
        <v>1163</v>
      </c>
      <c r="I595" s="637" t="s">
        <v>58</v>
      </c>
      <c r="J595" s="636">
        <v>22</v>
      </c>
      <c r="K595" s="636">
        <v>2</v>
      </c>
      <c r="L595" s="637" t="s">
        <v>52</v>
      </c>
      <c r="M595" s="637" t="s">
        <v>42</v>
      </c>
      <c r="N595" s="637" t="s">
        <v>16</v>
      </c>
      <c r="O595" s="637" t="s">
        <v>64</v>
      </c>
      <c r="P595" s="637" t="s">
        <v>45</v>
      </c>
      <c r="Q595" s="638">
        <v>133540</v>
      </c>
      <c r="R595" s="638">
        <v>133540</v>
      </c>
      <c r="S595" s="638">
        <v>985141</v>
      </c>
      <c r="T595" s="638">
        <v>985141</v>
      </c>
      <c r="U595" s="638">
        <v>47499.277999999998</v>
      </c>
      <c r="V595" s="636">
        <v>2022</v>
      </c>
      <c r="W595" s="640"/>
      <c r="X595" s="641">
        <f t="shared" si="27"/>
        <v>20.74012577622759</v>
      </c>
      <c r="Y595" s="642" t="str">
        <f t="shared" si="28"/>
        <v/>
      </c>
      <c r="Z595" s="642" t="str">
        <f t="shared" si="29"/>
        <v/>
      </c>
    </row>
    <row r="596" spans="1:26" s="127" customFormat="1" ht="25">
      <c r="A596" s="636">
        <v>10646</v>
      </c>
      <c r="B596" s="637" t="s">
        <v>33</v>
      </c>
      <c r="C596" s="636" t="s">
        <v>2725</v>
      </c>
      <c r="D596" s="637" t="s">
        <v>814</v>
      </c>
      <c r="E596" s="637" t="s">
        <v>814</v>
      </c>
      <c r="F596" s="636">
        <v>528</v>
      </c>
      <c r="G596" s="637" t="s">
        <v>41</v>
      </c>
      <c r="H596" s="637" t="s">
        <v>1163</v>
      </c>
      <c r="I596" s="637" t="s">
        <v>58</v>
      </c>
      <c r="J596" s="636">
        <v>22</v>
      </c>
      <c r="K596" s="636">
        <v>2</v>
      </c>
      <c r="L596" s="637" t="s">
        <v>52</v>
      </c>
      <c r="M596" s="637" t="s">
        <v>42</v>
      </c>
      <c r="N596" s="637" t="s">
        <v>17</v>
      </c>
      <c r="O596" s="637" t="s">
        <v>82</v>
      </c>
      <c r="P596" s="637" t="s">
        <v>45</v>
      </c>
      <c r="Q596" s="638">
        <v>85380</v>
      </c>
      <c r="R596" s="638">
        <v>85380</v>
      </c>
      <c r="S596" s="638">
        <v>1204051</v>
      </c>
      <c r="T596" s="638">
        <v>1204051</v>
      </c>
      <c r="U596" s="638">
        <v>58054.089</v>
      </c>
      <c r="V596" s="636">
        <v>2022</v>
      </c>
      <c r="W596" s="640"/>
      <c r="X596" s="641">
        <f t="shared" si="27"/>
        <v>20.740158371962394</v>
      </c>
      <c r="Y596" s="642" t="str">
        <f t="shared" si="28"/>
        <v/>
      </c>
      <c r="Z596" s="642" t="str">
        <f t="shared" si="29"/>
        <v/>
      </c>
    </row>
    <row r="597" spans="1:26" s="127" customFormat="1" ht="25">
      <c r="A597" s="636">
        <v>10687</v>
      </c>
      <c r="B597" s="637" t="s">
        <v>33</v>
      </c>
      <c r="C597" s="636" t="s">
        <v>2725</v>
      </c>
      <c r="D597" s="637" t="s">
        <v>815</v>
      </c>
      <c r="E597" s="637" t="s">
        <v>3027</v>
      </c>
      <c r="F597" s="636">
        <v>64078</v>
      </c>
      <c r="G597" s="637" t="s">
        <v>57</v>
      </c>
      <c r="H597" s="637" t="s">
        <v>1162</v>
      </c>
      <c r="I597" s="637" t="s">
        <v>58</v>
      </c>
      <c r="J597" s="636">
        <v>22</v>
      </c>
      <c r="K597" s="636">
        <v>2</v>
      </c>
      <c r="L597" s="637" t="s">
        <v>52</v>
      </c>
      <c r="M597" s="637" t="s">
        <v>35</v>
      </c>
      <c r="N597" s="637" t="s">
        <v>36</v>
      </c>
      <c r="O597" s="637" t="s">
        <v>37</v>
      </c>
      <c r="P597" s="637" t="s">
        <v>1156</v>
      </c>
      <c r="Q597" s="638">
        <v>0</v>
      </c>
      <c r="R597" s="638">
        <v>0</v>
      </c>
      <c r="S597" s="638">
        <v>34442</v>
      </c>
      <c r="T597" s="638">
        <v>34442</v>
      </c>
      <c r="U597" s="638">
        <v>10094</v>
      </c>
      <c r="V597" s="636">
        <v>2022</v>
      </c>
      <c r="W597" s="640"/>
      <c r="X597" s="641">
        <f t="shared" si="27"/>
        <v>3.4121260154547257</v>
      </c>
      <c r="Y597" s="642" t="str">
        <f t="shared" si="28"/>
        <v/>
      </c>
      <c r="Z597" s="642" t="str">
        <f t="shared" si="29"/>
        <v/>
      </c>
    </row>
    <row r="598" spans="1:26" s="127" customFormat="1" ht="25">
      <c r="A598" s="636">
        <v>10694</v>
      </c>
      <c r="B598" s="637" t="s">
        <v>33</v>
      </c>
      <c r="C598" s="636" t="s">
        <v>2725</v>
      </c>
      <c r="D598" s="637" t="s">
        <v>816</v>
      </c>
      <c r="E598" s="637" t="s">
        <v>3025</v>
      </c>
      <c r="F598" s="636">
        <v>57280</v>
      </c>
      <c r="G598" s="637" t="s">
        <v>81</v>
      </c>
      <c r="H598" s="637" t="s">
        <v>1163</v>
      </c>
      <c r="I598" s="637" t="s">
        <v>58</v>
      </c>
      <c r="J598" s="636">
        <v>22</v>
      </c>
      <c r="K598" s="636">
        <v>2</v>
      </c>
      <c r="L598" s="637" t="s">
        <v>52</v>
      </c>
      <c r="M598" s="637" t="s">
        <v>35</v>
      </c>
      <c r="N598" s="637" t="s">
        <v>36</v>
      </c>
      <c r="O598" s="637" t="s">
        <v>37</v>
      </c>
      <c r="P598" s="637" t="s">
        <v>1156</v>
      </c>
      <c r="Q598" s="638">
        <v>0</v>
      </c>
      <c r="R598" s="638">
        <v>0</v>
      </c>
      <c r="S598" s="638">
        <v>15424</v>
      </c>
      <c r="T598" s="638">
        <v>15424</v>
      </c>
      <c r="U598" s="638">
        <v>4520</v>
      </c>
      <c r="V598" s="636">
        <v>2022</v>
      </c>
      <c r="W598" s="640"/>
      <c r="X598" s="641">
        <f t="shared" si="27"/>
        <v>3.4123893805309735</v>
      </c>
      <c r="Y598" s="642" t="str">
        <f t="shared" si="28"/>
        <v/>
      </c>
      <c r="Z598" s="642" t="str">
        <f t="shared" si="29"/>
        <v/>
      </c>
    </row>
    <row r="599" spans="1:26" s="127" customFormat="1" ht="37.5" hidden="1">
      <c r="A599" s="636">
        <v>10700</v>
      </c>
      <c r="B599" s="637" t="s">
        <v>54</v>
      </c>
      <c r="C599" s="636" t="s">
        <v>2725</v>
      </c>
      <c r="D599" s="637" t="s">
        <v>3028</v>
      </c>
      <c r="E599" s="637" t="s">
        <v>2733</v>
      </c>
      <c r="F599" s="636">
        <v>61813</v>
      </c>
      <c r="G599" s="637" t="s">
        <v>90</v>
      </c>
      <c r="H599" s="637" t="s">
        <v>1163</v>
      </c>
      <c r="I599" s="637" t="s">
        <v>58</v>
      </c>
      <c r="J599" s="636">
        <v>322</v>
      </c>
      <c r="K599" s="636">
        <v>7</v>
      </c>
      <c r="L599" s="637" t="s">
        <v>403</v>
      </c>
      <c r="M599" s="637" t="s">
        <v>42</v>
      </c>
      <c r="N599" s="637" t="s">
        <v>151</v>
      </c>
      <c r="O599" s="637" t="s">
        <v>70</v>
      </c>
      <c r="P599" s="637" t="s">
        <v>45</v>
      </c>
      <c r="Q599" s="638">
        <v>10187</v>
      </c>
      <c r="R599" s="638">
        <v>1032</v>
      </c>
      <c r="S599" s="638">
        <v>96573</v>
      </c>
      <c r="T599" s="638">
        <v>9787</v>
      </c>
      <c r="U599" s="638">
        <v>2179.8890000000001</v>
      </c>
      <c r="V599" s="636">
        <v>2022</v>
      </c>
      <c r="W599" s="640"/>
      <c r="X599" s="641" t="str">
        <f t="shared" si="27"/>
        <v/>
      </c>
      <c r="Y599" s="642" t="str">
        <f t="shared" si="28"/>
        <v/>
      </c>
      <c r="Z599" s="642" t="str">
        <f t="shared" si="29"/>
        <v/>
      </c>
    </row>
    <row r="600" spans="1:26" s="127" customFormat="1" ht="37.5" hidden="1">
      <c r="A600" s="636">
        <v>10700</v>
      </c>
      <c r="B600" s="637" t="s">
        <v>54</v>
      </c>
      <c r="C600" s="636" t="s">
        <v>2725</v>
      </c>
      <c r="D600" s="637" t="s">
        <v>3028</v>
      </c>
      <c r="E600" s="637" t="s">
        <v>2733</v>
      </c>
      <c r="F600" s="636">
        <v>61813</v>
      </c>
      <c r="G600" s="637" t="s">
        <v>90</v>
      </c>
      <c r="H600" s="637" t="s">
        <v>1163</v>
      </c>
      <c r="I600" s="637" t="s">
        <v>58</v>
      </c>
      <c r="J600" s="636">
        <v>322</v>
      </c>
      <c r="K600" s="636">
        <v>7</v>
      </c>
      <c r="L600" s="637" t="s">
        <v>403</v>
      </c>
      <c r="M600" s="637" t="s">
        <v>42</v>
      </c>
      <c r="N600" s="637" t="s">
        <v>39</v>
      </c>
      <c r="O600" s="637" t="s">
        <v>39</v>
      </c>
      <c r="P600" s="637" t="s">
        <v>1020</v>
      </c>
      <c r="Q600" s="638">
        <v>339785</v>
      </c>
      <c r="R600" s="638">
        <v>48517</v>
      </c>
      <c r="S600" s="638">
        <v>339785</v>
      </c>
      <c r="T600" s="638">
        <v>48517</v>
      </c>
      <c r="U600" s="638">
        <v>10806.771000000001</v>
      </c>
      <c r="V600" s="636">
        <v>2022</v>
      </c>
      <c r="W600" s="640"/>
      <c r="X600" s="641" t="str">
        <f t="shared" si="27"/>
        <v/>
      </c>
      <c r="Y600" s="642" t="str">
        <f t="shared" si="28"/>
        <v/>
      </c>
      <c r="Z600" s="642" t="str">
        <f t="shared" si="29"/>
        <v/>
      </c>
    </row>
    <row r="601" spans="1:26" s="127" customFormat="1" ht="37.5" hidden="1">
      <c r="A601" s="636">
        <v>10700</v>
      </c>
      <c r="B601" s="637" t="s">
        <v>54</v>
      </c>
      <c r="C601" s="636" t="s">
        <v>2725</v>
      </c>
      <c r="D601" s="637" t="s">
        <v>3028</v>
      </c>
      <c r="E601" s="637" t="s">
        <v>2733</v>
      </c>
      <c r="F601" s="636">
        <v>61813</v>
      </c>
      <c r="G601" s="637" t="s">
        <v>90</v>
      </c>
      <c r="H601" s="637" t="s">
        <v>1163</v>
      </c>
      <c r="I601" s="637" t="s">
        <v>58</v>
      </c>
      <c r="J601" s="636">
        <v>322</v>
      </c>
      <c r="K601" s="636">
        <v>7</v>
      </c>
      <c r="L601" s="637" t="s">
        <v>403</v>
      </c>
      <c r="M601" s="637" t="s">
        <v>42</v>
      </c>
      <c r="N601" s="637" t="s">
        <v>61</v>
      </c>
      <c r="O601" s="637" t="s">
        <v>61</v>
      </c>
      <c r="P601" s="637" t="s">
        <v>47</v>
      </c>
      <c r="Q601" s="638">
        <v>1137</v>
      </c>
      <c r="R601" s="638">
        <v>115</v>
      </c>
      <c r="S601" s="638">
        <v>7106</v>
      </c>
      <c r="T601" s="638">
        <v>720</v>
      </c>
      <c r="U601" s="638">
        <v>160.40600000000001</v>
      </c>
      <c r="V601" s="636">
        <v>2022</v>
      </c>
      <c r="W601" s="640"/>
      <c r="X601" s="641" t="str">
        <f t="shared" si="27"/>
        <v/>
      </c>
      <c r="Y601" s="642" t="str">
        <f t="shared" si="28"/>
        <v/>
      </c>
      <c r="Z601" s="642" t="str">
        <f t="shared" si="29"/>
        <v/>
      </c>
    </row>
    <row r="602" spans="1:26" s="127" customFormat="1" ht="37.5" hidden="1">
      <c r="A602" s="636">
        <v>10700</v>
      </c>
      <c r="B602" s="637" t="s">
        <v>54</v>
      </c>
      <c r="C602" s="636" t="s">
        <v>2725</v>
      </c>
      <c r="D602" s="637" t="s">
        <v>3028</v>
      </c>
      <c r="E602" s="637" t="s">
        <v>2733</v>
      </c>
      <c r="F602" s="636">
        <v>61813</v>
      </c>
      <c r="G602" s="637" t="s">
        <v>90</v>
      </c>
      <c r="H602" s="637" t="s">
        <v>1163</v>
      </c>
      <c r="I602" s="637" t="s">
        <v>58</v>
      </c>
      <c r="J602" s="636">
        <v>322</v>
      </c>
      <c r="K602" s="636">
        <v>7</v>
      </c>
      <c r="L602" s="637" t="s">
        <v>403</v>
      </c>
      <c r="M602" s="637" t="s">
        <v>42</v>
      </c>
      <c r="N602" s="637" t="s">
        <v>69</v>
      </c>
      <c r="O602" s="637" t="s">
        <v>70</v>
      </c>
      <c r="P602" s="637" t="s">
        <v>45</v>
      </c>
      <c r="Q602" s="638">
        <v>111171</v>
      </c>
      <c r="R602" s="638">
        <v>28711</v>
      </c>
      <c r="S602" s="638">
        <v>944957</v>
      </c>
      <c r="T602" s="638">
        <v>244060</v>
      </c>
      <c r="U602" s="638">
        <v>54362.934000000001</v>
      </c>
      <c r="V602" s="636">
        <v>2022</v>
      </c>
      <c r="W602" s="640"/>
      <c r="X602" s="641" t="str">
        <f t="shared" si="27"/>
        <v/>
      </c>
      <c r="Y602" s="642" t="str">
        <f t="shared" si="28"/>
        <v/>
      </c>
      <c r="Z602" s="642" t="str">
        <f t="shared" si="29"/>
        <v/>
      </c>
    </row>
    <row r="603" spans="1:26" s="127" customFormat="1" ht="25">
      <c r="A603" s="636">
        <v>10725</v>
      </c>
      <c r="B603" s="637" t="s">
        <v>54</v>
      </c>
      <c r="C603" s="636" t="s">
        <v>2725</v>
      </c>
      <c r="D603" s="637" t="s">
        <v>3600</v>
      </c>
      <c r="E603" s="637" t="s">
        <v>3601</v>
      </c>
      <c r="F603" s="636">
        <v>16909</v>
      </c>
      <c r="G603" s="637" t="s">
        <v>57</v>
      </c>
      <c r="H603" s="637" t="s">
        <v>1162</v>
      </c>
      <c r="I603" s="637" t="s">
        <v>58</v>
      </c>
      <c r="J603" s="636">
        <v>22</v>
      </c>
      <c r="K603" s="636">
        <v>3</v>
      </c>
      <c r="L603" s="637" t="s">
        <v>55</v>
      </c>
      <c r="M603" s="637" t="s">
        <v>38</v>
      </c>
      <c r="N603" s="637" t="s">
        <v>46</v>
      </c>
      <c r="O603" s="637" t="s">
        <v>46</v>
      </c>
      <c r="P603" s="637" t="s">
        <v>47</v>
      </c>
      <c r="Q603" s="638">
        <v>0</v>
      </c>
      <c r="R603" s="638">
        <v>0</v>
      </c>
      <c r="S603" s="638">
        <v>0</v>
      </c>
      <c r="T603" s="638">
        <v>0</v>
      </c>
      <c r="U603" s="638">
        <v>0</v>
      </c>
      <c r="V603" s="636">
        <v>2022</v>
      </c>
      <c r="W603" s="640"/>
      <c r="X603" s="641" t="str">
        <f t="shared" si="27"/>
        <v/>
      </c>
      <c r="Y603" s="642" t="str">
        <f t="shared" si="28"/>
        <v/>
      </c>
      <c r="Z603" s="642" t="str">
        <f t="shared" si="29"/>
        <v/>
      </c>
    </row>
    <row r="604" spans="1:26" s="127" customFormat="1" ht="25">
      <c r="A604" s="636">
        <v>10725</v>
      </c>
      <c r="B604" s="637" t="s">
        <v>54</v>
      </c>
      <c r="C604" s="636" t="s">
        <v>2725</v>
      </c>
      <c r="D604" s="637" t="s">
        <v>3600</v>
      </c>
      <c r="E604" s="637" t="s">
        <v>3601</v>
      </c>
      <c r="F604" s="636">
        <v>16909</v>
      </c>
      <c r="G604" s="637" t="s">
        <v>57</v>
      </c>
      <c r="H604" s="637" t="s">
        <v>1162</v>
      </c>
      <c r="I604" s="637" t="s">
        <v>58</v>
      </c>
      <c r="J604" s="636">
        <v>22</v>
      </c>
      <c r="K604" s="636">
        <v>3</v>
      </c>
      <c r="L604" s="637" t="s">
        <v>55</v>
      </c>
      <c r="M604" s="637" t="s">
        <v>38</v>
      </c>
      <c r="N604" s="637" t="s">
        <v>39</v>
      </c>
      <c r="O604" s="637" t="s">
        <v>39</v>
      </c>
      <c r="P604" s="637" t="s">
        <v>1020</v>
      </c>
      <c r="Q604" s="638">
        <v>38791</v>
      </c>
      <c r="R604" s="638">
        <v>38791</v>
      </c>
      <c r="S604" s="638">
        <v>39956</v>
      </c>
      <c r="T604" s="638">
        <v>39956</v>
      </c>
      <c r="U604" s="638">
        <v>91224</v>
      </c>
      <c r="V604" s="636">
        <v>2022</v>
      </c>
      <c r="W604" s="640"/>
      <c r="X604" s="641">
        <f t="shared" si="27"/>
        <v>0.43799877225291589</v>
      </c>
      <c r="Y604" s="642" t="str">
        <f t="shared" si="28"/>
        <v/>
      </c>
      <c r="Z604" s="642" t="str">
        <f t="shared" si="29"/>
        <v/>
      </c>
    </row>
    <row r="605" spans="1:26" s="127" customFormat="1" ht="25">
      <c r="A605" s="636">
        <v>10725</v>
      </c>
      <c r="B605" s="637" t="s">
        <v>54</v>
      </c>
      <c r="C605" s="636" t="s">
        <v>2725</v>
      </c>
      <c r="D605" s="637" t="s">
        <v>3600</v>
      </c>
      <c r="E605" s="637" t="s">
        <v>3601</v>
      </c>
      <c r="F605" s="636">
        <v>16909</v>
      </c>
      <c r="G605" s="637" t="s">
        <v>57</v>
      </c>
      <c r="H605" s="637" t="s">
        <v>1162</v>
      </c>
      <c r="I605" s="637" t="s">
        <v>58</v>
      </c>
      <c r="J605" s="636">
        <v>22</v>
      </c>
      <c r="K605" s="636">
        <v>3</v>
      </c>
      <c r="L605" s="637" t="s">
        <v>55</v>
      </c>
      <c r="M605" s="637" t="s">
        <v>41</v>
      </c>
      <c r="N605" s="637" t="s">
        <v>46</v>
      </c>
      <c r="O605" s="637" t="s">
        <v>46</v>
      </c>
      <c r="P605" s="637" t="s">
        <v>47</v>
      </c>
      <c r="Q605" s="638">
        <v>0</v>
      </c>
      <c r="R605" s="638">
        <v>0</v>
      </c>
      <c r="S605" s="638">
        <v>0</v>
      </c>
      <c r="T605" s="638">
        <v>0</v>
      </c>
      <c r="U605" s="638">
        <v>0</v>
      </c>
      <c r="V605" s="636">
        <v>2022</v>
      </c>
      <c r="W605" s="640"/>
      <c r="X605" s="641" t="str">
        <f t="shared" si="27"/>
        <v/>
      </c>
      <c r="Y605" s="642" t="str">
        <f t="shared" si="28"/>
        <v/>
      </c>
      <c r="Z605" s="642" t="str">
        <f t="shared" si="29"/>
        <v/>
      </c>
    </row>
    <row r="606" spans="1:26" s="127" customFormat="1" ht="25">
      <c r="A606" s="636">
        <v>10725</v>
      </c>
      <c r="B606" s="637" t="s">
        <v>54</v>
      </c>
      <c r="C606" s="636" t="s">
        <v>2725</v>
      </c>
      <c r="D606" s="637" t="s">
        <v>3600</v>
      </c>
      <c r="E606" s="637" t="s">
        <v>3601</v>
      </c>
      <c r="F606" s="636">
        <v>16909</v>
      </c>
      <c r="G606" s="637" t="s">
        <v>57</v>
      </c>
      <c r="H606" s="637" t="s">
        <v>1162</v>
      </c>
      <c r="I606" s="637" t="s">
        <v>58</v>
      </c>
      <c r="J606" s="636">
        <v>22</v>
      </c>
      <c r="K606" s="636">
        <v>3</v>
      </c>
      <c r="L606" s="637" t="s">
        <v>55</v>
      </c>
      <c r="M606" s="637" t="s">
        <v>41</v>
      </c>
      <c r="N606" s="637" t="s">
        <v>39</v>
      </c>
      <c r="O606" s="637" t="s">
        <v>39</v>
      </c>
      <c r="P606" s="637" t="s">
        <v>1020</v>
      </c>
      <c r="Q606" s="638">
        <v>3045020</v>
      </c>
      <c r="R606" s="638">
        <v>2532910</v>
      </c>
      <c r="S606" s="638">
        <v>3136369</v>
      </c>
      <c r="T606" s="638">
        <v>2608898</v>
      </c>
      <c r="U606" s="638">
        <v>248022</v>
      </c>
      <c r="V606" s="636">
        <v>2022</v>
      </c>
      <c r="W606" s="640"/>
      <c r="X606" s="641">
        <f t="shared" si="27"/>
        <v>10.518816879147817</v>
      </c>
      <c r="Y606" s="642" t="str">
        <f t="shared" si="28"/>
        <v/>
      </c>
      <c r="Z606" s="642" t="str">
        <f t="shared" si="29"/>
        <v/>
      </c>
    </row>
    <row r="607" spans="1:26" s="127" customFormat="1" ht="25">
      <c r="A607" s="636">
        <v>10726</v>
      </c>
      <c r="B607" s="637" t="s">
        <v>54</v>
      </c>
      <c r="C607" s="636" t="s">
        <v>2725</v>
      </c>
      <c r="D607" s="637" t="s">
        <v>400</v>
      </c>
      <c r="E607" s="637" t="s">
        <v>400</v>
      </c>
      <c r="F607" s="636">
        <v>11741</v>
      </c>
      <c r="G607" s="637" t="s">
        <v>81</v>
      </c>
      <c r="H607" s="637" t="s">
        <v>1163</v>
      </c>
      <c r="I607" s="637" t="s">
        <v>58</v>
      </c>
      <c r="J607" s="636">
        <v>22</v>
      </c>
      <c r="K607" s="636">
        <v>3</v>
      </c>
      <c r="L607" s="637" t="s">
        <v>55</v>
      </c>
      <c r="M607" s="637" t="s">
        <v>38</v>
      </c>
      <c r="N607" s="637" t="s">
        <v>46</v>
      </c>
      <c r="O607" s="637" t="s">
        <v>46</v>
      </c>
      <c r="P607" s="637" t="s">
        <v>47</v>
      </c>
      <c r="Q607" s="638">
        <v>0</v>
      </c>
      <c r="R607" s="638">
        <v>0</v>
      </c>
      <c r="S607" s="638">
        <v>0</v>
      </c>
      <c r="T607" s="638">
        <v>0</v>
      </c>
      <c r="U607" s="638">
        <v>0</v>
      </c>
      <c r="V607" s="636">
        <v>2022</v>
      </c>
      <c r="W607" s="640"/>
      <c r="X607" s="641" t="str">
        <f t="shared" si="27"/>
        <v/>
      </c>
      <c r="Y607" s="642" t="str">
        <f t="shared" si="28"/>
        <v/>
      </c>
      <c r="Z607" s="642" t="str">
        <f t="shared" si="29"/>
        <v/>
      </c>
    </row>
    <row r="608" spans="1:26" s="127" customFormat="1" ht="25">
      <c r="A608" s="636">
        <v>10726</v>
      </c>
      <c r="B608" s="637" t="s">
        <v>54</v>
      </c>
      <c r="C608" s="636" t="s">
        <v>2725</v>
      </c>
      <c r="D608" s="637" t="s">
        <v>400</v>
      </c>
      <c r="E608" s="637" t="s">
        <v>400</v>
      </c>
      <c r="F608" s="636">
        <v>11741</v>
      </c>
      <c r="G608" s="637" t="s">
        <v>81</v>
      </c>
      <c r="H608" s="637" t="s">
        <v>1163</v>
      </c>
      <c r="I608" s="637" t="s">
        <v>58</v>
      </c>
      <c r="J608" s="636">
        <v>22</v>
      </c>
      <c r="K608" s="636">
        <v>3</v>
      </c>
      <c r="L608" s="637" t="s">
        <v>55</v>
      </c>
      <c r="M608" s="637" t="s">
        <v>38</v>
      </c>
      <c r="N608" s="637" t="s">
        <v>39</v>
      </c>
      <c r="O608" s="637" t="s">
        <v>39</v>
      </c>
      <c r="P608" s="637" t="s">
        <v>1020</v>
      </c>
      <c r="Q608" s="638">
        <v>0</v>
      </c>
      <c r="R608" s="638">
        <v>0</v>
      </c>
      <c r="S608" s="638">
        <v>0</v>
      </c>
      <c r="T608" s="638">
        <v>0</v>
      </c>
      <c r="U608" s="638">
        <v>77968</v>
      </c>
      <c r="V608" s="636">
        <v>2022</v>
      </c>
      <c r="W608" s="640"/>
      <c r="X608" s="641" t="str">
        <f t="shared" si="27"/>
        <v/>
      </c>
      <c r="Y608" s="642" t="str">
        <f t="shared" si="28"/>
        <v/>
      </c>
      <c r="Z608" s="642" t="str">
        <f t="shared" si="29"/>
        <v/>
      </c>
    </row>
    <row r="609" spans="1:26" s="127" customFormat="1" ht="25">
      <c r="A609" s="636">
        <v>10726</v>
      </c>
      <c r="B609" s="637" t="s">
        <v>54</v>
      </c>
      <c r="C609" s="636" t="s">
        <v>2725</v>
      </c>
      <c r="D609" s="637" t="s">
        <v>400</v>
      </c>
      <c r="E609" s="637" t="s">
        <v>400</v>
      </c>
      <c r="F609" s="636">
        <v>11741</v>
      </c>
      <c r="G609" s="637" t="s">
        <v>81</v>
      </c>
      <c r="H609" s="637" t="s">
        <v>1163</v>
      </c>
      <c r="I609" s="637" t="s">
        <v>58</v>
      </c>
      <c r="J609" s="636">
        <v>22</v>
      </c>
      <c r="K609" s="636">
        <v>3</v>
      </c>
      <c r="L609" s="637" t="s">
        <v>55</v>
      </c>
      <c r="M609" s="637" t="s">
        <v>41</v>
      </c>
      <c r="N609" s="637" t="s">
        <v>46</v>
      </c>
      <c r="O609" s="637" t="s">
        <v>46</v>
      </c>
      <c r="P609" s="637" t="s">
        <v>47</v>
      </c>
      <c r="Q609" s="638">
        <v>0</v>
      </c>
      <c r="R609" s="638">
        <v>0</v>
      </c>
      <c r="S609" s="638">
        <v>0</v>
      </c>
      <c r="T609" s="638">
        <v>0</v>
      </c>
      <c r="U609" s="638">
        <v>0</v>
      </c>
      <c r="V609" s="636">
        <v>2022</v>
      </c>
      <c r="W609" s="640"/>
      <c r="X609" s="641" t="str">
        <f t="shared" si="27"/>
        <v/>
      </c>
      <c r="Y609" s="642" t="str">
        <f t="shared" si="28"/>
        <v/>
      </c>
      <c r="Z609" s="642" t="str">
        <f t="shared" si="29"/>
        <v/>
      </c>
    </row>
    <row r="610" spans="1:26" s="127" customFormat="1" ht="25">
      <c r="A610" s="636">
        <v>10726</v>
      </c>
      <c r="B610" s="637" t="s">
        <v>54</v>
      </c>
      <c r="C610" s="636" t="s">
        <v>2725</v>
      </c>
      <c r="D610" s="637" t="s">
        <v>400</v>
      </c>
      <c r="E610" s="637" t="s">
        <v>400</v>
      </c>
      <c r="F610" s="636">
        <v>11741</v>
      </c>
      <c r="G610" s="637" t="s">
        <v>81</v>
      </c>
      <c r="H610" s="637" t="s">
        <v>1163</v>
      </c>
      <c r="I610" s="637" t="s">
        <v>58</v>
      </c>
      <c r="J610" s="636">
        <v>22</v>
      </c>
      <c r="K610" s="636">
        <v>3</v>
      </c>
      <c r="L610" s="637" t="s">
        <v>55</v>
      </c>
      <c r="M610" s="637" t="s">
        <v>41</v>
      </c>
      <c r="N610" s="637" t="s">
        <v>39</v>
      </c>
      <c r="O610" s="637" t="s">
        <v>39</v>
      </c>
      <c r="P610" s="637" t="s">
        <v>1020</v>
      </c>
      <c r="Q610" s="638">
        <v>2003150</v>
      </c>
      <c r="R610" s="638">
        <v>1944187</v>
      </c>
      <c r="S610" s="638">
        <v>2063245</v>
      </c>
      <c r="T610" s="638">
        <v>2002512</v>
      </c>
      <c r="U610" s="638">
        <v>155936</v>
      </c>
      <c r="V610" s="636">
        <v>2022</v>
      </c>
      <c r="W610" s="640"/>
      <c r="X610" s="641">
        <f t="shared" si="27"/>
        <v>12.841883849784526</v>
      </c>
      <c r="Y610" s="642" t="str">
        <f t="shared" si="28"/>
        <v/>
      </c>
      <c r="Z610" s="642" t="str">
        <f t="shared" si="29"/>
        <v/>
      </c>
    </row>
    <row r="611" spans="1:26" s="127" customFormat="1" ht="25">
      <c r="A611" s="636">
        <v>10728</v>
      </c>
      <c r="B611" s="637" t="s">
        <v>33</v>
      </c>
      <c r="C611" s="636" t="s">
        <v>2725</v>
      </c>
      <c r="D611" s="637" t="s">
        <v>817</v>
      </c>
      <c r="E611" s="637" t="s">
        <v>1036</v>
      </c>
      <c r="F611" s="636">
        <v>56838</v>
      </c>
      <c r="G611" s="637" t="s">
        <v>90</v>
      </c>
      <c r="H611" s="637" t="s">
        <v>1163</v>
      </c>
      <c r="I611" s="637" t="s">
        <v>58</v>
      </c>
      <c r="J611" s="636">
        <v>22</v>
      </c>
      <c r="K611" s="636">
        <v>2</v>
      </c>
      <c r="L611" s="637" t="s">
        <v>52</v>
      </c>
      <c r="M611" s="637" t="s">
        <v>35</v>
      </c>
      <c r="N611" s="637" t="s">
        <v>36</v>
      </c>
      <c r="O611" s="637" t="s">
        <v>37</v>
      </c>
      <c r="P611" s="637" t="s">
        <v>1156</v>
      </c>
      <c r="Q611" s="638">
        <v>0</v>
      </c>
      <c r="R611" s="638">
        <v>0</v>
      </c>
      <c r="S611" s="638">
        <v>16728</v>
      </c>
      <c r="T611" s="638">
        <v>16728</v>
      </c>
      <c r="U611" s="638">
        <v>4903</v>
      </c>
      <c r="V611" s="636">
        <v>2022</v>
      </c>
      <c r="W611" s="640"/>
      <c r="X611" s="641">
        <f t="shared" si="27"/>
        <v>3.4117887007954315</v>
      </c>
      <c r="Y611" s="642" t="str">
        <f t="shared" si="28"/>
        <v/>
      </c>
      <c r="Z611" s="642" t="str">
        <f t="shared" si="29"/>
        <v/>
      </c>
    </row>
    <row r="612" spans="1:26" s="127" customFormat="1" ht="25">
      <c r="A612" s="636">
        <v>10752</v>
      </c>
      <c r="B612" s="637" t="s">
        <v>33</v>
      </c>
      <c r="C612" s="636" t="s">
        <v>2725</v>
      </c>
      <c r="D612" s="637" t="s">
        <v>818</v>
      </c>
      <c r="E612" s="637" t="s">
        <v>3027</v>
      </c>
      <c r="F612" s="636">
        <v>64078</v>
      </c>
      <c r="G612" s="637" t="s">
        <v>57</v>
      </c>
      <c r="H612" s="637" t="s">
        <v>1162</v>
      </c>
      <c r="I612" s="637" t="s">
        <v>58</v>
      </c>
      <c r="J612" s="636">
        <v>22</v>
      </c>
      <c r="K612" s="636">
        <v>2</v>
      </c>
      <c r="L612" s="637" t="s">
        <v>52</v>
      </c>
      <c r="M612" s="637" t="s">
        <v>35</v>
      </c>
      <c r="N612" s="637" t="s">
        <v>36</v>
      </c>
      <c r="O612" s="637" t="s">
        <v>37</v>
      </c>
      <c r="P612" s="637" t="s">
        <v>1156</v>
      </c>
      <c r="Q612" s="638">
        <v>0</v>
      </c>
      <c r="R612" s="638">
        <v>0</v>
      </c>
      <c r="S612" s="638">
        <v>37923</v>
      </c>
      <c r="T612" s="638">
        <v>37923</v>
      </c>
      <c r="U612" s="638">
        <v>11115</v>
      </c>
      <c r="V612" s="636">
        <v>2022</v>
      </c>
      <c r="W612" s="640"/>
      <c r="X612" s="641">
        <f t="shared" si="27"/>
        <v>3.4118758434547907</v>
      </c>
      <c r="Y612" s="642" t="str">
        <f t="shared" si="28"/>
        <v/>
      </c>
      <c r="Z612" s="642" t="str">
        <f t="shared" si="29"/>
        <v/>
      </c>
    </row>
    <row r="613" spans="1:26" s="127" customFormat="1" ht="25">
      <c r="A613" s="636">
        <v>10753</v>
      </c>
      <c r="B613" s="637" t="s">
        <v>33</v>
      </c>
      <c r="C613" s="636" t="s">
        <v>2725</v>
      </c>
      <c r="D613" s="637" t="s">
        <v>819</v>
      </c>
      <c r="E613" s="637" t="s">
        <v>3027</v>
      </c>
      <c r="F613" s="636">
        <v>64078</v>
      </c>
      <c r="G613" s="637" t="s">
        <v>57</v>
      </c>
      <c r="H613" s="637" t="s">
        <v>1162</v>
      </c>
      <c r="I613" s="637" t="s">
        <v>58</v>
      </c>
      <c r="J613" s="636">
        <v>22</v>
      </c>
      <c r="K613" s="636">
        <v>2</v>
      </c>
      <c r="L613" s="637" t="s">
        <v>52</v>
      </c>
      <c r="M613" s="637" t="s">
        <v>35</v>
      </c>
      <c r="N613" s="637" t="s">
        <v>36</v>
      </c>
      <c r="O613" s="637" t="s">
        <v>37</v>
      </c>
      <c r="P613" s="637" t="s">
        <v>1156</v>
      </c>
      <c r="Q613" s="638">
        <v>0</v>
      </c>
      <c r="R613" s="638">
        <v>0</v>
      </c>
      <c r="S613" s="638">
        <v>37923</v>
      </c>
      <c r="T613" s="638">
        <v>37923</v>
      </c>
      <c r="U613" s="638">
        <v>11115</v>
      </c>
      <c r="V613" s="636">
        <v>2022</v>
      </c>
      <c r="W613" s="640"/>
      <c r="X613" s="641">
        <f t="shared" si="27"/>
        <v>3.4118758434547907</v>
      </c>
      <c r="Y613" s="642" t="str">
        <f t="shared" si="28"/>
        <v/>
      </c>
      <c r="Z613" s="642" t="str">
        <f t="shared" si="29"/>
        <v/>
      </c>
    </row>
    <row r="614" spans="1:26" s="127" customFormat="1" ht="25">
      <c r="A614" s="636">
        <v>10765</v>
      </c>
      <c r="B614" s="637" t="s">
        <v>33</v>
      </c>
      <c r="C614" s="636" t="s">
        <v>2725</v>
      </c>
      <c r="D614" s="637" t="s">
        <v>401</v>
      </c>
      <c r="E614" s="637" t="s">
        <v>2268</v>
      </c>
      <c r="F614" s="636">
        <v>62815</v>
      </c>
      <c r="G614" s="637" t="s">
        <v>90</v>
      </c>
      <c r="H614" s="637" t="s">
        <v>1163</v>
      </c>
      <c r="I614" s="637" t="s">
        <v>58</v>
      </c>
      <c r="J614" s="636">
        <v>22</v>
      </c>
      <c r="K614" s="636">
        <v>2</v>
      </c>
      <c r="L614" s="637" t="s">
        <v>52</v>
      </c>
      <c r="M614" s="637" t="s">
        <v>42</v>
      </c>
      <c r="N614" s="637" t="s">
        <v>420</v>
      </c>
      <c r="O614" s="637" t="s">
        <v>67</v>
      </c>
      <c r="P614" s="637" t="s">
        <v>1020</v>
      </c>
      <c r="Q614" s="638">
        <v>2352</v>
      </c>
      <c r="R614" s="638">
        <v>2352</v>
      </c>
      <c r="S614" s="638">
        <v>5881</v>
      </c>
      <c r="T614" s="638">
        <v>5881</v>
      </c>
      <c r="U614" s="638">
        <v>190.077</v>
      </c>
      <c r="V614" s="636">
        <v>2022</v>
      </c>
      <c r="W614" s="640"/>
      <c r="X614" s="641">
        <f t="shared" si="27"/>
        <v>30.940092699274505</v>
      </c>
      <c r="Y614" s="642" t="str">
        <f t="shared" si="28"/>
        <v/>
      </c>
      <c r="Z614" s="642" t="str">
        <f t="shared" si="29"/>
        <v/>
      </c>
    </row>
    <row r="615" spans="1:26" s="127" customFormat="1" ht="25">
      <c r="A615" s="636">
        <v>10765</v>
      </c>
      <c r="B615" s="637" t="s">
        <v>33</v>
      </c>
      <c r="C615" s="636" t="s">
        <v>2725</v>
      </c>
      <c r="D615" s="637" t="s">
        <v>401</v>
      </c>
      <c r="E615" s="637" t="s">
        <v>2268</v>
      </c>
      <c r="F615" s="636">
        <v>62815</v>
      </c>
      <c r="G615" s="637" t="s">
        <v>90</v>
      </c>
      <c r="H615" s="637" t="s">
        <v>1163</v>
      </c>
      <c r="I615" s="637" t="s">
        <v>58</v>
      </c>
      <c r="J615" s="636">
        <v>22</v>
      </c>
      <c r="K615" s="636">
        <v>2</v>
      </c>
      <c r="L615" s="637" t="s">
        <v>52</v>
      </c>
      <c r="M615" s="637" t="s">
        <v>42</v>
      </c>
      <c r="N615" s="637" t="s">
        <v>69</v>
      </c>
      <c r="O615" s="637" t="s">
        <v>70</v>
      </c>
      <c r="P615" s="637" t="s">
        <v>45</v>
      </c>
      <c r="Q615" s="638">
        <v>41469</v>
      </c>
      <c r="R615" s="638">
        <v>41469</v>
      </c>
      <c r="S615" s="638">
        <v>422985</v>
      </c>
      <c r="T615" s="638">
        <v>422985</v>
      </c>
      <c r="U615" s="638">
        <v>18511.922999999999</v>
      </c>
      <c r="V615" s="636">
        <v>2022</v>
      </c>
      <c r="W615" s="640"/>
      <c r="X615" s="641">
        <f t="shared" si="27"/>
        <v>22.849327970951478</v>
      </c>
      <c r="Y615" s="642" t="str">
        <f t="shared" si="28"/>
        <v/>
      </c>
      <c r="Z615" s="642" t="str">
        <f t="shared" si="29"/>
        <v/>
      </c>
    </row>
    <row r="616" spans="1:26" s="127" customFormat="1" ht="25">
      <c r="A616" s="636">
        <v>10766</v>
      </c>
      <c r="B616" s="637" t="s">
        <v>33</v>
      </c>
      <c r="C616" s="636" t="s">
        <v>2725</v>
      </c>
      <c r="D616" s="637" t="s">
        <v>402</v>
      </c>
      <c r="E616" s="637" t="s">
        <v>2268</v>
      </c>
      <c r="F616" s="636">
        <v>62815</v>
      </c>
      <c r="G616" s="637" t="s">
        <v>90</v>
      </c>
      <c r="H616" s="637" t="s">
        <v>1163</v>
      </c>
      <c r="I616" s="637" t="s">
        <v>58</v>
      </c>
      <c r="J616" s="636">
        <v>22</v>
      </c>
      <c r="K616" s="636">
        <v>2</v>
      </c>
      <c r="L616" s="637" t="s">
        <v>52</v>
      </c>
      <c r="M616" s="637" t="s">
        <v>42</v>
      </c>
      <c r="N616" s="637" t="s">
        <v>420</v>
      </c>
      <c r="O616" s="637" t="s">
        <v>67</v>
      </c>
      <c r="P616" s="637" t="s">
        <v>1020</v>
      </c>
      <c r="Q616" s="638">
        <v>276</v>
      </c>
      <c r="R616" s="638">
        <v>276</v>
      </c>
      <c r="S616" s="638">
        <v>692</v>
      </c>
      <c r="T616" s="638">
        <v>692</v>
      </c>
      <c r="U616" s="638">
        <v>32.158999999999999</v>
      </c>
      <c r="V616" s="636">
        <v>2022</v>
      </c>
      <c r="W616" s="640"/>
      <c r="X616" s="641">
        <f t="shared" si="27"/>
        <v>21.518082029913867</v>
      </c>
      <c r="Y616" s="642" t="str">
        <f t="shared" si="28"/>
        <v/>
      </c>
      <c r="Z616" s="642" t="str">
        <f t="shared" si="29"/>
        <v/>
      </c>
    </row>
    <row r="617" spans="1:26" s="127" customFormat="1" ht="25">
      <c r="A617" s="636">
        <v>10766</v>
      </c>
      <c r="B617" s="637" t="s">
        <v>33</v>
      </c>
      <c r="C617" s="636" t="s">
        <v>2725</v>
      </c>
      <c r="D617" s="637" t="s">
        <v>402</v>
      </c>
      <c r="E617" s="637" t="s">
        <v>2268</v>
      </c>
      <c r="F617" s="636">
        <v>62815</v>
      </c>
      <c r="G617" s="637" t="s">
        <v>90</v>
      </c>
      <c r="H617" s="637" t="s">
        <v>1163</v>
      </c>
      <c r="I617" s="637" t="s">
        <v>58</v>
      </c>
      <c r="J617" s="636">
        <v>22</v>
      </c>
      <c r="K617" s="636">
        <v>2</v>
      </c>
      <c r="L617" s="637" t="s">
        <v>52</v>
      </c>
      <c r="M617" s="637" t="s">
        <v>42</v>
      </c>
      <c r="N617" s="637" t="s">
        <v>69</v>
      </c>
      <c r="O617" s="637" t="s">
        <v>70</v>
      </c>
      <c r="P617" s="637" t="s">
        <v>45</v>
      </c>
      <c r="Q617" s="638">
        <v>45785</v>
      </c>
      <c r="R617" s="638">
        <v>45785</v>
      </c>
      <c r="S617" s="638">
        <v>467009</v>
      </c>
      <c r="T617" s="638">
        <v>467009</v>
      </c>
      <c r="U617" s="638">
        <v>22190.841</v>
      </c>
      <c r="V617" s="636">
        <v>2022</v>
      </c>
      <c r="W617" s="640"/>
      <c r="X617" s="641">
        <f t="shared" si="27"/>
        <v>21.045123977049812</v>
      </c>
      <c r="Y617" s="642" t="str">
        <f t="shared" si="28"/>
        <v/>
      </c>
      <c r="Z617" s="642" t="str">
        <f t="shared" si="29"/>
        <v/>
      </c>
    </row>
    <row r="618" spans="1:26" s="127" customFormat="1" ht="25">
      <c r="A618" s="636">
        <v>10817</v>
      </c>
      <c r="B618" s="637" t="s">
        <v>33</v>
      </c>
      <c r="C618" s="636" t="s">
        <v>2725</v>
      </c>
      <c r="D618" s="637" t="s">
        <v>820</v>
      </c>
      <c r="E618" s="637" t="s">
        <v>821</v>
      </c>
      <c r="F618" s="636">
        <v>5811</v>
      </c>
      <c r="G618" s="637" t="s">
        <v>57</v>
      </c>
      <c r="H618" s="637" t="s">
        <v>1162</v>
      </c>
      <c r="I618" s="637" t="s">
        <v>58</v>
      </c>
      <c r="J618" s="636">
        <v>22</v>
      </c>
      <c r="K618" s="636">
        <v>2</v>
      </c>
      <c r="L618" s="637" t="s">
        <v>52</v>
      </c>
      <c r="M618" s="637" t="s">
        <v>35</v>
      </c>
      <c r="N618" s="637" t="s">
        <v>36</v>
      </c>
      <c r="O618" s="637" t="s">
        <v>37</v>
      </c>
      <c r="P618" s="637" t="s">
        <v>1156</v>
      </c>
      <c r="Q618" s="638">
        <v>0</v>
      </c>
      <c r="R618" s="638">
        <v>0</v>
      </c>
      <c r="S618" s="638">
        <v>15193</v>
      </c>
      <c r="T618" s="638">
        <v>15193</v>
      </c>
      <c r="U618" s="638">
        <v>4453</v>
      </c>
      <c r="V618" s="636">
        <v>2022</v>
      </c>
      <c r="W618" s="640"/>
      <c r="X618" s="641">
        <f t="shared" si="27"/>
        <v>3.4118571749382438</v>
      </c>
      <c r="Y618" s="642" t="str">
        <f t="shared" si="28"/>
        <v/>
      </c>
      <c r="Z618" s="642" t="str">
        <f t="shared" si="29"/>
        <v/>
      </c>
    </row>
    <row r="619" spans="1:26" s="127" customFormat="1" ht="37.5" hidden="1">
      <c r="A619" s="636">
        <v>10823</v>
      </c>
      <c r="B619" s="637" t="s">
        <v>54</v>
      </c>
      <c r="C619" s="636" t="s">
        <v>2725</v>
      </c>
      <c r="D619" s="637" t="s">
        <v>1797</v>
      </c>
      <c r="E619" s="637" t="s">
        <v>2085</v>
      </c>
      <c r="F619" s="636">
        <v>11427</v>
      </c>
      <c r="G619" s="637" t="s">
        <v>81</v>
      </c>
      <c r="H619" s="637" t="s">
        <v>1163</v>
      </c>
      <c r="I619" s="637" t="s">
        <v>58</v>
      </c>
      <c r="J619" s="636">
        <v>22132</v>
      </c>
      <c r="K619" s="636">
        <v>5</v>
      </c>
      <c r="L619" s="637" t="s">
        <v>407</v>
      </c>
      <c r="M619" s="637" t="s">
        <v>50</v>
      </c>
      <c r="N619" s="637" t="s">
        <v>46</v>
      </c>
      <c r="O619" s="637" t="s">
        <v>46</v>
      </c>
      <c r="P619" s="637" t="s">
        <v>47</v>
      </c>
      <c r="Q619" s="638">
        <v>1434</v>
      </c>
      <c r="R619" s="638">
        <v>455</v>
      </c>
      <c r="S619" s="638">
        <v>8132</v>
      </c>
      <c r="T619" s="638">
        <v>2579</v>
      </c>
      <c r="U619" s="638">
        <v>630.14</v>
      </c>
      <c r="V619" s="636">
        <v>2022</v>
      </c>
      <c r="W619" s="640"/>
      <c r="X619" s="641" t="str">
        <f t="shared" si="27"/>
        <v/>
      </c>
      <c r="Y619" s="642" t="str">
        <f t="shared" si="28"/>
        <v/>
      </c>
      <c r="Z619" s="642">
        <f t="shared" si="29"/>
        <v>4.9634879672649053</v>
      </c>
    </row>
    <row r="620" spans="1:26" s="127" customFormat="1" ht="37.5" hidden="1">
      <c r="A620" s="636">
        <v>10823</v>
      </c>
      <c r="B620" s="637" t="s">
        <v>54</v>
      </c>
      <c r="C620" s="636" t="s">
        <v>2725</v>
      </c>
      <c r="D620" s="637" t="s">
        <v>1797</v>
      </c>
      <c r="E620" s="637" t="s">
        <v>2085</v>
      </c>
      <c r="F620" s="636">
        <v>11427</v>
      </c>
      <c r="G620" s="637" t="s">
        <v>81</v>
      </c>
      <c r="H620" s="637" t="s">
        <v>1163</v>
      </c>
      <c r="I620" s="637" t="s">
        <v>58</v>
      </c>
      <c r="J620" s="636">
        <v>22132</v>
      </c>
      <c r="K620" s="636">
        <v>5</v>
      </c>
      <c r="L620" s="637" t="s">
        <v>407</v>
      </c>
      <c r="M620" s="637" t="s">
        <v>35</v>
      </c>
      <c r="N620" s="637" t="s">
        <v>36</v>
      </c>
      <c r="O620" s="637" t="s">
        <v>37</v>
      </c>
      <c r="P620" s="637" t="s">
        <v>1156</v>
      </c>
      <c r="Q620" s="638">
        <v>0</v>
      </c>
      <c r="R620" s="638">
        <v>0</v>
      </c>
      <c r="S620" s="638">
        <v>17540</v>
      </c>
      <c r="T620" s="638">
        <v>17540</v>
      </c>
      <c r="U620" s="638">
        <v>5141.07</v>
      </c>
      <c r="V620" s="636">
        <v>2022</v>
      </c>
      <c r="W620" s="640"/>
      <c r="X620" s="641" t="str">
        <f t="shared" si="27"/>
        <v/>
      </c>
      <c r="Y620" s="642" t="str">
        <f t="shared" si="28"/>
        <v/>
      </c>
      <c r="Z620" s="642" t="str">
        <f t="shared" si="29"/>
        <v/>
      </c>
    </row>
    <row r="621" spans="1:26" s="127" customFormat="1" ht="37.5" hidden="1">
      <c r="A621" s="636">
        <v>10823</v>
      </c>
      <c r="B621" s="637" t="s">
        <v>54</v>
      </c>
      <c r="C621" s="636" t="s">
        <v>2725</v>
      </c>
      <c r="D621" s="637" t="s">
        <v>1797</v>
      </c>
      <c r="E621" s="637" t="s">
        <v>2085</v>
      </c>
      <c r="F621" s="636">
        <v>11427</v>
      </c>
      <c r="G621" s="637" t="s">
        <v>81</v>
      </c>
      <c r="H621" s="637" t="s">
        <v>1163</v>
      </c>
      <c r="I621" s="637" t="s">
        <v>58</v>
      </c>
      <c r="J621" s="636">
        <v>22132</v>
      </c>
      <c r="K621" s="636">
        <v>5</v>
      </c>
      <c r="L621" s="637" t="s">
        <v>407</v>
      </c>
      <c r="M621" s="637" t="s">
        <v>441</v>
      </c>
      <c r="N621" s="637" t="s">
        <v>442</v>
      </c>
      <c r="O621" s="637" t="s">
        <v>442</v>
      </c>
      <c r="P621" s="637" t="s">
        <v>1156</v>
      </c>
      <c r="Q621" s="638">
        <v>0</v>
      </c>
      <c r="R621" s="638">
        <v>0</v>
      </c>
      <c r="S621" s="638">
        <v>2710</v>
      </c>
      <c r="T621" s="638">
        <v>2710</v>
      </c>
      <c r="U621" s="638">
        <v>793.98</v>
      </c>
      <c r="V621" s="636">
        <v>2022</v>
      </c>
      <c r="W621" s="640"/>
      <c r="X621" s="641" t="str">
        <f t="shared" si="27"/>
        <v/>
      </c>
      <c r="Y621" s="642" t="str">
        <f t="shared" si="28"/>
        <v/>
      </c>
      <c r="Z621" s="642" t="str">
        <f t="shared" si="29"/>
        <v/>
      </c>
    </row>
    <row r="622" spans="1:26" s="127" customFormat="1" ht="37.5" hidden="1">
      <c r="A622" s="636">
        <v>10823</v>
      </c>
      <c r="B622" s="637" t="s">
        <v>54</v>
      </c>
      <c r="C622" s="636" t="s">
        <v>2725</v>
      </c>
      <c r="D622" s="637" t="s">
        <v>1797</v>
      </c>
      <c r="E622" s="637" t="s">
        <v>2085</v>
      </c>
      <c r="F622" s="636">
        <v>11427</v>
      </c>
      <c r="G622" s="637" t="s">
        <v>81</v>
      </c>
      <c r="H622" s="637" t="s">
        <v>1163</v>
      </c>
      <c r="I622" s="637" t="s">
        <v>58</v>
      </c>
      <c r="J622" s="636">
        <v>22132</v>
      </c>
      <c r="K622" s="636">
        <v>5</v>
      </c>
      <c r="L622" s="637" t="s">
        <v>407</v>
      </c>
      <c r="M622" s="637" t="s">
        <v>42</v>
      </c>
      <c r="N622" s="637" t="s">
        <v>46</v>
      </c>
      <c r="O622" s="637" t="s">
        <v>46</v>
      </c>
      <c r="P622" s="637" t="s">
        <v>47</v>
      </c>
      <c r="Q622" s="638">
        <v>13479</v>
      </c>
      <c r="R622" s="638">
        <v>1677</v>
      </c>
      <c r="S622" s="638">
        <v>76426</v>
      </c>
      <c r="T622" s="638">
        <v>9513</v>
      </c>
      <c r="U622" s="638">
        <v>2298.6970000000001</v>
      </c>
      <c r="V622" s="636">
        <v>2022</v>
      </c>
      <c r="W622" s="640"/>
      <c r="X622" s="641" t="str">
        <f t="shared" si="27"/>
        <v/>
      </c>
      <c r="Y622" s="642" t="str">
        <f t="shared" si="28"/>
        <v/>
      </c>
      <c r="Z622" s="642" t="str">
        <f t="shared" si="29"/>
        <v/>
      </c>
    </row>
    <row r="623" spans="1:26" s="127" customFormat="1" ht="37.5" hidden="1">
      <c r="A623" s="636">
        <v>10823</v>
      </c>
      <c r="B623" s="637" t="s">
        <v>54</v>
      </c>
      <c r="C623" s="636" t="s">
        <v>2725</v>
      </c>
      <c r="D623" s="637" t="s">
        <v>1797</v>
      </c>
      <c r="E623" s="637" t="s">
        <v>2085</v>
      </c>
      <c r="F623" s="636">
        <v>11427</v>
      </c>
      <c r="G623" s="637" t="s">
        <v>81</v>
      </c>
      <c r="H623" s="637" t="s">
        <v>1163</v>
      </c>
      <c r="I623" s="637" t="s">
        <v>58</v>
      </c>
      <c r="J623" s="636">
        <v>22132</v>
      </c>
      <c r="K623" s="636">
        <v>5</v>
      </c>
      <c r="L623" s="637" t="s">
        <v>407</v>
      </c>
      <c r="M623" s="637" t="s">
        <v>42</v>
      </c>
      <c r="N623" s="637" t="s">
        <v>68</v>
      </c>
      <c r="O623" s="637" t="s">
        <v>49</v>
      </c>
      <c r="P623" s="637" t="s">
        <v>40</v>
      </c>
      <c r="Q623" s="638">
        <v>1497177</v>
      </c>
      <c r="R623" s="638">
        <v>172977</v>
      </c>
      <c r="S623" s="638">
        <v>910284</v>
      </c>
      <c r="T623" s="638">
        <v>105171</v>
      </c>
      <c r="U623" s="638">
        <v>25414.203000000001</v>
      </c>
      <c r="V623" s="636">
        <v>2022</v>
      </c>
      <c r="W623" s="640"/>
      <c r="X623" s="641" t="str">
        <f t="shared" si="27"/>
        <v/>
      </c>
      <c r="Y623" s="642" t="str">
        <f t="shared" si="28"/>
        <v/>
      </c>
      <c r="Z623" s="642" t="str">
        <f t="shared" si="29"/>
        <v/>
      </c>
    </row>
    <row r="624" spans="1:26" s="127" customFormat="1" ht="37.5" hidden="1">
      <c r="A624" s="636">
        <v>10823</v>
      </c>
      <c r="B624" s="637" t="s">
        <v>54</v>
      </c>
      <c r="C624" s="636" t="s">
        <v>2725</v>
      </c>
      <c r="D624" s="637" t="s">
        <v>1797</v>
      </c>
      <c r="E624" s="637" t="s">
        <v>2085</v>
      </c>
      <c r="F624" s="636">
        <v>11427</v>
      </c>
      <c r="G624" s="637" t="s">
        <v>81</v>
      </c>
      <c r="H624" s="637" t="s">
        <v>1163</v>
      </c>
      <c r="I624" s="637" t="s">
        <v>58</v>
      </c>
      <c r="J624" s="636">
        <v>22132</v>
      </c>
      <c r="K624" s="636">
        <v>5</v>
      </c>
      <c r="L624" s="637" t="s">
        <v>407</v>
      </c>
      <c r="M624" s="637" t="s">
        <v>71</v>
      </c>
      <c r="N624" s="637" t="s">
        <v>72</v>
      </c>
      <c r="O624" s="637" t="s">
        <v>72</v>
      </c>
      <c r="P624" s="637" t="s">
        <v>1156</v>
      </c>
      <c r="Q624" s="638">
        <v>0</v>
      </c>
      <c r="R624" s="638">
        <v>0</v>
      </c>
      <c r="S624" s="638">
        <v>4199</v>
      </c>
      <c r="T624" s="638">
        <v>4199</v>
      </c>
      <c r="U624" s="638">
        <v>1230.57</v>
      </c>
      <c r="V624" s="636">
        <v>2022</v>
      </c>
      <c r="W624" s="640"/>
      <c r="X624" s="641" t="str">
        <f t="shared" si="27"/>
        <v/>
      </c>
      <c r="Y624" s="642" t="str">
        <f t="shared" si="28"/>
        <v/>
      </c>
      <c r="Z624" s="642" t="str">
        <f t="shared" si="29"/>
        <v/>
      </c>
    </row>
    <row r="625" spans="1:26" s="127" customFormat="1" ht="25">
      <c r="A625" s="636">
        <v>10824</v>
      </c>
      <c r="B625" s="637" t="s">
        <v>33</v>
      </c>
      <c r="C625" s="636" t="s">
        <v>2725</v>
      </c>
      <c r="D625" s="637" t="s">
        <v>822</v>
      </c>
      <c r="E625" s="637" t="s">
        <v>823</v>
      </c>
      <c r="F625" s="636">
        <v>11426</v>
      </c>
      <c r="G625" s="637" t="s">
        <v>81</v>
      </c>
      <c r="H625" s="637" t="s">
        <v>1163</v>
      </c>
      <c r="I625" s="637" t="s">
        <v>58</v>
      </c>
      <c r="J625" s="636">
        <v>22</v>
      </c>
      <c r="K625" s="636">
        <v>2</v>
      </c>
      <c r="L625" s="637" t="s">
        <v>52</v>
      </c>
      <c r="M625" s="637" t="s">
        <v>35</v>
      </c>
      <c r="N625" s="637" t="s">
        <v>36</v>
      </c>
      <c r="O625" s="637" t="s">
        <v>37</v>
      </c>
      <c r="P625" s="637" t="s">
        <v>1156</v>
      </c>
      <c r="Q625" s="638">
        <v>0</v>
      </c>
      <c r="R625" s="638">
        <v>0</v>
      </c>
      <c r="S625" s="638">
        <v>46903</v>
      </c>
      <c r="T625" s="638">
        <v>46903</v>
      </c>
      <c r="U625" s="638">
        <v>13747</v>
      </c>
      <c r="V625" s="636">
        <v>2022</v>
      </c>
      <c r="W625" s="640"/>
      <c r="X625" s="641">
        <f t="shared" si="27"/>
        <v>3.4118716810940568</v>
      </c>
      <c r="Y625" s="642" t="str">
        <f t="shared" si="28"/>
        <v/>
      </c>
      <c r="Z625" s="642" t="str">
        <f t="shared" si="29"/>
        <v/>
      </c>
    </row>
    <row r="626" spans="1:26" s="127" customFormat="1" ht="25">
      <c r="A626" s="636">
        <v>10825</v>
      </c>
      <c r="B626" s="637" t="s">
        <v>33</v>
      </c>
      <c r="C626" s="636" t="s">
        <v>2725</v>
      </c>
      <c r="D626" s="637" t="s">
        <v>824</v>
      </c>
      <c r="E626" s="637" t="s">
        <v>823</v>
      </c>
      <c r="F626" s="636">
        <v>11426</v>
      </c>
      <c r="G626" s="637" t="s">
        <v>81</v>
      </c>
      <c r="H626" s="637" t="s">
        <v>1163</v>
      </c>
      <c r="I626" s="637" t="s">
        <v>58</v>
      </c>
      <c r="J626" s="636">
        <v>22</v>
      </c>
      <c r="K626" s="636">
        <v>2</v>
      </c>
      <c r="L626" s="637" t="s">
        <v>52</v>
      </c>
      <c r="M626" s="637" t="s">
        <v>35</v>
      </c>
      <c r="N626" s="637" t="s">
        <v>36</v>
      </c>
      <c r="O626" s="637" t="s">
        <v>37</v>
      </c>
      <c r="P626" s="637" t="s">
        <v>1156</v>
      </c>
      <c r="Q626" s="638">
        <v>0</v>
      </c>
      <c r="R626" s="638">
        <v>0</v>
      </c>
      <c r="S626" s="638">
        <v>5259</v>
      </c>
      <c r="T626" s="638">
        <v>5259</v>
      </c>
      <c r="U626" s="638">
        <v>1541</v>
      </c>
      <c r="V626" s="636">
        <v>2022</v>
      </c>
      <c r="W626" s="640"/>
      <c r="X626" s="641">
        <f t="shared" si="27"/>
        <v>3.4127190136275147</v>
      </c>
      <c r="Y626" s="642" t="str">
        <f t="shared" si="28"/>
        <v/>
      </c>
      <c r="Z626" s="642" t="str">
        <f t="shared" si="29"/>
        <v/>
      </c>
    </row>
    <row r="627" spans="1:26" s="127" customFormat="1" ht="25">
      <c r="A627" s="636">
        <v>10838</v>
      </c>
      <c r="B627" s="637" t="s">
        <v>33</v>
      </c>
      <c r="C627" s="636" t="s">
        <v>2725</v>
      </c>
      <c r="D627" s="637" t="s">
        <v>3602</v>
      </c>
      <c r="E627" s="637" t="s">
        <v>3602</v>
      </c>
      <c r="F627" s="636">
        <v>65546</v>
      </c>
      <c r="G627" s="637" t="s">
        <v>96</v>
      </c>
      <c r="H627" s="637" t="s">
        <v>1163</v>
      </c>
      <c r="I627" s="637" t="s">
        <v>58</v>
      </c>
      <c r="J627" s="636">
        <v>22</v>
      </c>
      <c r="K627" s="636">
        <v>2</v>
      </c>
      <c r="L627" s="637" t="s">
        <v>52</v>
      </c>
      <c r="M627" s="637" t="s">
        <v>42</v>
      </c>
      <c r="N627" s="637" t="s">
        <v>69</v>
      </c>
      <c r="O627" s="637" t="s">
        <v>70</v>
      </c>
      <c r="P627" s="637" t="s">
        <v>45</v>
      </c>
      <c r="Q627" s="638">
        <v>46781</v>
      </c>
      <c r="R627" s="638">
        <v>46781</v>
      </c>
      <c r="S627" s="638">
        <v>397640</v>
      </c>
      <c r="T627" s="638">
        <v>397640</v>
      </c>
      <c r="U627" s="638">
        <v>23430</v>
      </c>
      <c r="V627" s="636">
        <v>2022</v>
      </c>
      <c r="W627" s="640"/>
      <c r="X627" s="641">
        <f t="shared" si="27"/>
        <v>16.971404182671787</v>
      </c>
      <c r="Y627" s="642" t="str">
        <f t="shared" si="28"/>
        <v/>
      </c>
      <c r="Z627" s="642" t="str">
        <f t="shared" si="29"/>
        <v/>
      </c>
    </row>
    <row r="628" spans="1:26" s="127" customFormat="1" ht="25">
      <c r="A628" s="636">
        <v>10839</v>
      </c>
      <c r="B628" s="637" t="s">
        <v>33</v>
      </c>
      <c r="C628" s="636" t="s">
        <v>2725</v>
      </c>
      <c r="D628" s="637" t="s">
        <v>3603</v>
      </c>
      <c r="E628" s="637" t="s">
        <v>3603</v>
      </c>
      <c r="F628" s="636">
        <v>65544</v>
      </c>
      <c r="G628" s="637" t="s">
        <v>96</v>
      </c>
      <c r="H628" s="637" t="s">
        <v>1163</v>
      </c>
      <c r="I628" s="637" t="s">
        <v>58</v>
      </c>
      <c r="J628" s="636">
        <v>22</v>
      </c>
      <c r="K628" s="636">
        <v>2</v>
      </c>
      <c r="L628" s="637" t="s">
        <v>52</v>
      </c>
      <c r="M628" s="637" t="s">
        <v>42</v>
      </c>
      <c r="N628" s="637" t="s">
        <v>69</v>
      </c>
      <c r="O628" s="637" t="s">
        <v>70</v>
      </c>
      <c r="P628" s="637" t="s">
        <v>45</v>
      </c>
      <c r="Q628" s="638">
        <v>20710</v>
      </c>
      <c r="R628" s="638">
        <v>20710</v>
      </c>
      <c r="S628" s="638">
        <v>165680</v>
      </c>
      <c r="T628" s="638">
        <v>165680</v>
      </c>
      <c r="U628" s="638">
        <v>10220</v>
      </c>
      <c r="V628" s="636">
        <v>2022</v>
      </c>
      <c r="W628" s="640"/>
      <c r="X628" s="641">
        <f t="shared" si="27"/>
        <v>16.211350293542075</v>
      </c>
      <c r="Y628" s="642" t="str">
        <f t="shared" si="28"/>
        <v/>
      </c>
      <c r="Z628" s="642" t="str">
        <f t="shared" si="29"/>
        <v/>
      </c>
    </row>
    <row r="629" spans="1:26" s="127" customFormat="1" ht="25">
      <c r="A629" s="636">
        <v>10848</v>
      </c>
      <c r="B629" s="637" t="s">
        <v>33</v>
      </c>
      <c r="C629" s="636" t="s">
        <v>2725</v>
      </c>
      <c r="D629" s="637" t="s">
        <v>825</v>
      </c>
      <c r="E629" s="637" t="s">
        <v>3029</v>
      </c>
      <c r="F629" s="636">
        <v>63985</v>
      </c>
      <c r="G629" s="637" t="s">
        <v>57</v>
      </c>
      <c r="H629" s="637" t="s">
        <v>1162</v>
      </c>
      <c r="I629" s="637" t="s">
        <v>58</v>
      </c>
      <c r="J629" s="636">
        <v>22</v>
      </c>
      <c r="K629" s="636">
        <v>2</v>
      </c>
      <c r="L629" s="637" t="s">
        <v>52</v>
      </c>
      <c r="M629" s="637" t="s">
        <v>35</v>
      </c>
      <c r="N629" s="637" t="s">
        <v>36</v>
      </c>
      <c r="O629" s="637" t="s">
        <v>37</v>
      </c>
      <c r="P629" s="637" t="s">
        <v>1156</v>
      </c>
      <c r="Q629" s="638">
        <v>0</v>
      </c>
      <c r="R629" s="638">
        <v>0</v>
      </c>
      <c r="S629" s="638">
        <v>3974</v>
      </c>
      <c r="T629" s="638">
        <v>3974</v>
      </c>
      <c r="U629" s="638">
        <v>1165</v>
      </c>
      <c r="V629" s="636">
        <v>2022</v>
      </c>
      <c r="W629" s="640"/>
      <c r="X629" s="641">
        <f t="shared" si="27"/>
        <v>3.4111587982832616</v>
      </c>
      <c r="Y629" s="642" t="str">
        <f t="shared" si="28"/>
        <v/>
      </c>
      <c r="Z629" s="642" t="str">
        <f t="shared" si="29"/>
        <v/>
      </c>
    </row>
    <row r="630" spans="1:26" s="127" customFormat="1" ht="37.5" hidden="1">
      <c r="A630" s="636">
        <v>10853</v>
      </c>
      <c r="B630" s="637" t="s">
        <v>33</v>
      </c>
      <c r="C630" s="636" t="s">
        <v>2725</v>
      </c>
      <c r="D630" s="637" t="s">
        <v>826</v>
      </c>
      <c r="E630" s="637" t="s">
        <v>2269</v>
      </c>
      <c r="F630" s="636">
        <v>8736</v>
      </c>
      <c r="G630" s="637" t="s">
        <v>57</v>
      </c>
      <c r="H630" s="637" t="s">
        <v>1162</v>
      </c>
      <c r="I630" s="637" t="s">
        <v>58</v>
      </c>
      <c r="J630" s="636">
        <v>322</v>
      </c>
      <c r="K630" s="636">
        <v>6</v>
      </c>
      <c r="L630" s="637" t="s">
        <v>404</v>
      </c>
      <c r="M630" s="637" t="s">
        <v>35</v>
      </c>
      <c r="N630" s="637" t="s">
        <v>36</v>
      </c>
      <c r="O630" s="637" t="s">
        <v>37</v>
      </c>
      <c r="P630" s="637" t="s">
        <v>1156</v>
      </c>
      <c r="Q630" s="638">
        <v>0</v>
      </c>
      <c r="R630" s="638">
        <v>0</v>
      </c>
      <c r="S630" s="638">
        <v>3360</v>
      </c>
      <c r="T630" s="638">
        <v>3360</v>
      </c>
      <c r="U630" s="638">
        <v>985</v>
      </c>
      <c r="V630" s="636">
        <v>2022</v>
      </c>
      <c r="W630" s="640"/>
      <c r="X630" s="641" t="str">
        <f t="shared" si="27"/>
        <v/>
      </c>
      <c r="Y630" s="642" t="str">
        <f t="shared" si="28"/>
        <v/>
      </c>
      <c r="Z630" s="642" t="str">
        <f t="shared" si="29"/>
        <v/>
      </c>
    </row>
    <row r="631" spans="1:26" s="127" customFormat="1" ht="25">
      <c r="A631" s="636">
        <v>10872</v>
      </c>
      <c r="B631" s="637" t="s">
        <v>33</v>
      </c>
      <c r="C631" s="636" t="s">
        <v>2725</v>
      </c>
      <c r="D631" s="637" t="s">
        <v>2086</v>
      </c>
      <c r="E631" s="637" t="s">
        <v>754</v>
      </c>
      <c r="F631" s="636">
        <v>56590</v>
      </c>
      <c r="G631" s="637" t="s">
        <v>57</v>
      </c>
      <c r="H631" s="637" t="s">
        <v>1162</v>
      </c>
      <c r="I631" s="637" t="s">
        <v>58</v>
      </c>
      <c r="J631" s="636">
        <v>22</v>
      </c>
      <c r="K631" s="636">
        <v>2</v>
      </c>
      <c r="L631" s="637" t="s">
        <v>52</v>
      </c>
      <c r="M631" s="637" t="s">
        <v>35</v>
      </c>
      <c r="N631" s="637" t="s">
        <v>36</v>
      </c>
      <c r="O631" s="637" t="s">
        <v>37</v>
      </c>
      <c r="P631" s="637" t="s">
        <v>1156</v>
      </c>
      <c r="Q631" s="638">
        <v>0</v>
      </c>
      <c r="R631" s="638">
        <v>0</v>
      </c>
      <c r="S631" s="638">
        <v>11137</v>
      </c>
      <c r="T631" s="638">
        <v>11137</v>
      </c>
      <c r="U631" s="638">
        <v>3264</v>
      </c>
      <c r="V631" s="636">
        <v>2022</v>
      </c>
      <c r="W631" s="640"/>
      <c r="X631" s="641">
        <f t="shared" si="27"/>
        <v>3.4120710784313726</v>
      </c>
      <c r="Y631" s="642" t="str">
        <f t="shared" si="28"/>
        <v/>
      </c>
      <c r="Z631" s="642" t="str">
        <f t="shared" si="29"/>
        <v/>
      </c>
    </row>
    <row r="632" spans="1:26" s="127" customFormat="1" ht="37.5" hidden="1">
      <c r="A632" s="636">
        <v>10883</v>
      </c>
      <c r="B632" s="637" t="s">
        <v>54</v>
      </c>
      <c r="C632" s="636" t="s">
        <v>2725</v>
      </c>
      <c r="D632" s="637" t="s">
        <v>412</v>
      </c>
      <c r="E632" s="637" t="s">
        <v>3276</v>
      </c>
      <c r="F632" s="636">
        <v>12258</v>
      </c>
      <c r="G632" s="637" t="s">
        <v>81</v>
      </c>
      <c r="H632" s="637" t="s">
        <v>1163</v>
      </c>
      <c r="I632" s="637" t="s">
        <v>58</v>
      </c>
      <c r="J632" s="636">
        <v>622</v>
      </c>
      <c r="K632" s="636">
        <v>5</v>
      </c>
      <c r="L632" s="637" t="s">
        <v>407</v>
      </c>
      <c r="M632" s="637" t="s">
        <v>50</v>
      </c>
      <c r="N632" s="637" t="s">
        <v>46</v>
      </c>
      <c r="O632" s="637" t="s">
        <v>46</v>
      </c>
      <c r="P632" s="637" t="s">
        <v>47</v>
      </c>
      <c r="Q632" s="638">
        <v>215</v>
      </c>
      <c r="R632" s="638">
        <v>92</v>
      </c>
      <c r="S632" s="638">
        <v>1244</v>
      </c>
      <c r="T632" s="638">
        <v>523</v>
      </c>
      <c r="U632" s="638">
        <v>109.785</v>
      </c>
      <c r="V632" s="636">
        <v>2022</v>
      </c>
      <c r="W632" s="640"/>
      <c r="X632" s="641" t="str">
        <f t="shared" si="27"/>
        <v/>
      </c>
      <c r="Y632" s="642" t="str">
        <f t="shared" si="28"/>
        <v/>
      </c>
      <c r="Z632" s="642">
        <f t="shared" si="29"/>
        <v>4.3581685882546655</v>
      </c>
    </row>
    <row r="633" spans="1:26" s="127" customFormat="1" ht="37.5" hidden="1">
      <c r="A633" s="636">
        <v>10883</v>
      </c>
      <c r="B633" s="637" t="s">
        <v>54</v>
      </c>
      <c r="C633" s="636" t="s">
        <v>2725</v>
      </c>
      <c r="D633" s="637" t="s">
        <v>412</v>
      </c>
      <c r="E633" s="637" t="s">
        <v>3276</v>
      </c>
      <c r="F633" s="636">
        <v>12258</v>
      </c>
      <c r="G633" s="637" t="s">
        <v>81</v>
      </c>
      <c r="H633" s="637" t="s">
        <v>1163</v>
      </c>
      <c r="I633" s="637" t="s">
        <v>58</v>
      </c>
      <c r="J633" s="636">
        <v>622</v>
      </c>
      <c r="K633" s="636">
        <v>5</v>
      </c>
      <c r="L633" s="637" t="s">
        <v>407</v>
      </c>
      <c r="M633" s="637" t="s">
        <v>50</v>
      </c>
      <c r="N633" s="637" t="s">
        <v>39</v>
      </c>
      <c r="O633" s="637" t="s">
        <v>39</v>
      </c>
      <c r="P633" s="637" t="s">
        <v>1020</v>
      </c>
      <c r="Q633" s="638">
        <v>2806726</v>
      </c>
      <c r="R633" s="638">
        <v>1182807</v>
      </c>
      <c r="S633" s="638">
        <v>2882507</v>
      </c>
      <c r="T633" s="638">
        <v>1214744</v>
      </c>
      <c r="U633" s="638">
        <v>254697.08</v>
      </c>
      <c r="V633" s="636">
        <v>2022</v>
      </c>
      <c r="W633" s="640"/>
      <c r="X633" s="641" t="str">
        <f t="shared" si="27"/>
        <v/>
      </c>
      <c r="Y633" s="642">
        <f t="shared" si="28"/>
        <v>4.3528435365711244</v>
      </c>
      <c r="Z633" s="642" t="str">
        <f t="shared" si="29"/>
        <v/>
      </c>
    </row>
    <row r="634" spans="1:26" s="127" customFormat="1" ht="37.5" hidden="1">
      <c r="A634" s="636">
        <v>10883</v>
      </c>
      <c r="B634" s="637" t="s">
        <v>54</v>
      </c>
      <c r="C634" s="636" t="s">
        <v>2725</v>
      </c>
      <c r="D634" s="637" t="s">
        <v>412</v>
      </c>
      <c r="E634" s="637" t="s">
        <v>3276</v>
      </c>
      <c r="F634" s="636">
        <v>12258</v>
      </c>
      <c r="G634" s="637" t="s">
        <v>81</v>
      </c>
      <c r="H634" s="637" t="s">
        <v>1163</v>
      </c>
      <c r="I634" s="637" t="s">
        <v>58</v>
      </c>
      <c r="J634" s="636">
        <v>622</v>
      </c>
      <c r="K634" s="636">
        <v>5</v>
      </c>
      <c r="L634" s="637" t="s">
        <v>407</v>
      </c>
      <c r="M634" s="637" t="s">
        <v>51</v>
      </c>
      <c r="N634" s="637" t="s">
        <v>46</v>
      </c>
      <c r="O634" s="637" t="s">
        <v>46</v>
      </c>
      <c r="P634" s="637" t="s">
        <v>47</v>
      </c>
      <c r="Q634" s="638">
        <v>3015</v>
      </c>
      <c r="R634" s="638">
        <v>1389</v>
      </c>
      <c r="S634" s="638">
        <v>17422</v>
      </c>
      <c r="T634" s="638">
        <v>8021</v>
      </c>
      <c r="U634" s="638">
        <v>1681.68</v>
      </c>
      <c r="V634" s="636">
        <v>2022</v>
      </c>
      <c r="W634" s="640"/>
      <c r="X634" s="641" t="str">
        <f t="shared" si="27"/>
        <v/>
      </c>
      <c r="Y634" s="642" t="str">
        <f t="shared" si="28"/>
        <v/>
      </c>
      <c r="Z634" s="642" t="str">
        <f t="shared" si="29"/>
        <v/>
      </c>
    </row>
    <row r="635" spans="1:26" s="127" customFormat="1" ht="37.5" hidden="1">
      <c r="A635" s="636">
        <v>10883</v>
      </c>
      <c r="B635" s="637" t="s">
        <v>54</v>
      </c>
      <c r="C635" s="636" t="s">
        <v>2725</v>
      </c>
      <c r="D635" s="637" t="s">
        <v>412</v>
      </c>
      <c r="E635" s="637" t="s">
        <v>3276</v>
      </c>
      <c r="F635" s="636">
        <v>12258</v>
      </c>
      <c r="G635" s="637" t="s">
        <v>81</v>
      </c>
      <c r="H635" s="637" t="s">
        <v>1163</v>
      </c>
      <c r="I635" s="637" t="s">
        <v>58</v>
      </c>
      <c r="J635" s="636">
        <v>622</v>
      </c>
      <c r="K635" s="636">
        <v>5</v>
      </c>
      <c r="L635" s="637" t="s">
        <v>407</v>
      </c>
      <c r="M635" s="637" t="s">
        <v>42</v>
      </c>
      <c r="N635" s="637" t="s">
        <v>46</v>
      </c>
      <c r="O635" s="637" t="s">
        <v>46</v>
      </c>
      <c r="P635" s="637" t="s">
        <v>47</v>
      </c>
      <c r="Q635" s="638">
        <v>2080</v>
      </c>
      <c r="R635" s="638">
        <v>299</v>
      </c>
      <c r="S635" s="638">
        <v>12021</v>
      </c>
      <c r="T635" s="638">
        <v>1727</v>
      </c>
      <c r="U635" s="638">
        <v>358.48399999999998</v>
      </c>
      <c r="V635" s="636">
        <v>2022</v>
      </c>
      <c r="W635" s="640"/>
      <c r="X635" s="641" t="str">
        <f t="shared" si="27"/>
        <v/>
      </c>
      <c r="Y635" s="642" t="str">
        <f t="shared" si="28"/>
        <v/>
      </c>
      <c r="Z635" s="642" t="str">
        <f t="shared" si="29"/>
        <v/>
      </c>
    </row>
    <row r="636" spans="1:26" s="127" customFormat="1" ht="37.5" hidden="1">
      <c r="A636" s="636">
        <v>10883</v>
      </c>
      <c r="B636" s="637" t="s">
        <v>54</v>
      </c>
      <c r="C636" s="636" t="s">
        <v>2725</v>
      </c>
      <c r="D636" s="637" t="s">
        <v>412</v>
      </c>
      <c r="E636" s="637" t="s">
        <v>3276</v>
      </c>
      <c r="F636" s="636">
        <v>12258</v>
      </c>
      <c r="G636" s="637" t="s">
        <v>81</v>
      </c>
      <c r="H636" s="637" t="s">
        <v>1163</v>
      </c>
      <c r="I636" s="637" t="s">
        <v>58</v>
      </c>
      <c r="J636" s="636">
        <v>622</v>
      </c>
      <c r="K636" s="636">
        <v>5</v>
      </c>
      <c r="L636" s="637" t="s">
        <v>407</v>
      </c>
      <c r="M636" s="637" t="s">
        <v>42</v>
      </c>
      <c r="N636" s="637" t="s">
        <v>39</v>
      </c>
      <c r="O636" s="637" t="s">
        <v>39</v>
      </c>
      <c r="P636" s="637" t="s">
        <v>1020</v>
      </c>
      <c r="Q636" s="638">
        <v>2115212</v>
      </c>
      <c r="R636" s="638">
        <v>390409</v>
      </c>
      <c r="S636" s="638">
        <v>2172323</v>
      </c>
      <c r="T636" s="638">
        <v>400949</v>
      </c>
      <c r="U636" s="638">
        <v>83209.926000000007</v>
      </c>
      <c r="V636" s="636">
        <v>2022</v>
      </c>
      <c r="W636" s="640"/>
      <c r="X636" s="641" t="str">
        <f t="shared" si="27"/>
        <v/>
      </c>
      <c r="Y636" s="642" t="str">
        <f t="shared" si="28"/>
        <v/>
      </c>
      <c r="Z636" s="642" t="str">
        <f t="shared" si="29"/>
        <v/>
      </c>
    </row>
    <row r="637" spans="1:26" s="127" customFormat="1" ht="25">
      <c r="A637" s="636">
        <v>10902</v>
      </c>
      <c r="B637" s="637" t="s">
        <v>33</v>
      </c>
      <c r="C637" s="636" t="s">
        <v>2725</v>
      </c>
      <c r="D637" s="637" t="s">
        <v>827</v>
      </c>
      <c r="E637" s="637" t="s">
        <v>3027</v>
      </c>
      <c r="F637" s="636">
        <v>64078</v>
      </c>
      <c r="G637" s="637" t="s">
        <v>57</v>
      </c>
      <c r="H637" s="637" t="s">
        <v>1162</v>
      </c>
      <c r="I637" s="637" t="s">
        <v>58</v>
      </c>
      <c r="J637" s="636">
        <v>22</v>
      </c>
      <c r="K637" s="636">
        <v>2</v>
      </c>
      <c r="L637" s="637" t="s">
        <v>52</v>
      </c>
      <c r="M637" s="637" t="s">
        <v>35</v>
      </c>
      <c r="N637" s="637" t="s">
        <v>36</v>
      </c>
      <c r="O637" s="637" t="s">
        <v>37</v>
      </c>
      <c r="P637" s="637" t="s">
        <v>1156</v>
      </c>
      <c r="Q637" s="638">
        <v>0</v>
      </c>
      <c r="R637" s="638">
        <v>0</v>
      </c>
      <c r="S637" s="638">
        <v>13536</v>
      </c>
      <c r="T637" s="638">
        <v>13536</v>
      </c>
      <c r="U637" s="638">
        <v>3967</v>
      </c>
      <c r="V637" s="636">
        <v>2022</v>
      </c>
      <c r="W637" s="640"/>
      <c r="X637" s="641">
        <f t="shared" si="27"/>
        <v>3.4121502394756744</v>
      </c>
      <c r="Y637" s="642" t="str">
        <f t="shared" si="28"/>
        <v/>
      </c>
      <c r="Z637" s="642" t="str">
        <f t="shared" si="29"/>
        <v/>
      </c>
    </row>
    <row r="638" spans="1:26" s="127" customFormat="1" ht="25">
      <c r="A638" s="636">
        <v>50002</v>
      </c>
      <c r="B638" s="637" t="s">
        <v>54</v>
      </c>
      <c r="C638" s="636" t="s">
        <v>2725</v>
      </c>
      <c r="D638" s="637" t="s">
        <v>828</v>
      </c>
      <c r="E638" s="637" t="s">
        <v>1866</v>
      </c>
      <c r="F638" s="636">
        <v>15114</v>
      </c>
      <c r="G638" s="637" t="s">
        <v>81</v>
      </c>
      <c r="H638" s="637" t="s">
        <v>1163</v>
      </c>
      <c r="I638" s="637" t="s">
        <v>58</v>
      </c>
      <c r="J638" s="636">
        <v>22</v>
      </c>
      <c r="K638" s="636">
        <v>3</v>
      </c>
      <c r="L638" s="637" t="s">
        <v>55</v>
      </c>
      <c r="M638" s="637" t="s">
        <v>38</v>
      </c>
      <c r="N638" s="637" t="s">
        <v>46</v>
      </c>
      <c r="O638" s="637" t="s">
        <v>46</v>
      </c>
      <c r="P638" s="637" t="s">
        <v>47</v>
      </c>
      <c r="Q638" s="638">
        <v>0</v>
      </c>
      <c r="R638" s="638">
        <v>0</v>
      </c>
      <c r="S638" s="638">
        <v>0</v>
      </c>
      <c r="T638" s="638">
        <v>0</v>
      </c>
      <c r="U638" s="638">
        <v>47.372</v>
      </c>
      <c r="V638" s="636">
        <v>2022</v>
      </c>
      <c r="W638" s="640" t="s">
        <v>3934</v>
      </c>
      <c r="X638" s="641" t="str">
        <f t="shared" si="27"/>
        <v/>
      </c>
      <c r="Y638" s="642" t="str">
        <f t="shared" si="28"/>
        <v/>
      </c>
      <c r="Z638" s="642" t="str">
        <f t="shared" si="29"/>
        <v/>
      </c>
    </row>
    <row r="639" spans="1:26" s="127" customFormat="1" ht="25">
      <c r="A639" s="636">
        <v>50002</v>
      </c>
      <c r="B639" s="637" t="s">
        <v>54</v>
      </c>
      <c r="C639" s="636" t="s">
        <v>2725</v>
      </c>
      <c r="D639" s="637" t="s">
        <v>828</v>
      </c>
      <c r="E639" s="637" t="s">
        <v>1866</v>
      </c>
      <c r="F639" s="636">
        <v>15114</v>
      </c>
      <c r="G639" s="637" t="s">
        <v>81</v>
      </c>
      <c r="H639" s="637" t="s">
        <v>1163</v>
      </c>
      <c r="I639" s="637" t="s">
        <v>58</v>
      </c>
      <c r="J639" s="636">
        <v>22</v>
      </c>
      <c r="K639" s="636">
        <v>3</v>
      </c>
      <c r="L639" s="637" t="s">
        <v>55</v>
      </c>
      <c r="M639" s="637" t="s">
        <v>38</v>
      </c>
      <c r="N639" s="637" t="s">
        <v>39</v>
      </c>
      <c r="O639" s="637" t="s">
        <v>39</v>
      </c>
      <c r="P639" s="637" t="s">
        <v>1020</v>
      </c>
      <c r="Q639" s="638">
        <v>0</v>
      </c>
      <c r="R639" s="638">
        <v>0</v>
      </c>
      <c r="S639" s="638">
        <v>0</v>
      </c>
      <c r="T639" s="638">
        <v>0</v>
      </c>
      <c r="U639" s="638">
        <v>17488.628000000001</v>
      </c>
      <c r="V639" s="636">
        <v>2022</v>
      </c>
      <c r="W639" s="640" t="s">
        <v>3934</v>
      </c>
      <c r="X639" s="641" t="str">
        <f t="shared" si="27"/>
        <v/>
      </c>
      <c r="Y639" s="642" t="str">
        <f t="shared" si="28"/>
        <v/>
      </c>
      <c r="Z639" s="642" t="str">
        <f t="shared" si="29"/>
        <v/>
      </c>
    </row>
    <row r="640" spans="1:26" s="127" customFormat="1" ht="25">
      <c r="A640" s="636">
        <v>50002</v>
      </c>
      <c r="B640" s="637" t="s">
        <v>54</v>
      </c>
      <c r="C640" s="636" t="s">
        <v>2725</v>
      </c>
      <c r="D640" s="637" t="s">
        <v>828</v>
      </c>
      <c r="E640" s="637" t="s">
        <v>1866</v>
      </c>
      <c r="F640" s="636">
        <v>15114</v>
      </c>
      <c r="G640" s="637" t="s">
        <v>81</v>
      </c>
      <c r="H640" s="637" t="s">
        <v>1163</v>
      </c>
      <c r="I640" s="637" t="s">
        <v>58</v>
      </c>
      <c r="J640" s="636">
        <v>22</v>
      </c>
      <c r="K640" s="636">
        <v>3</v>
      </c>
      <c r="L640" s="637" t="s">
        <v>55</v>
      </c>
      <c r="M640" s="637" t="s">
        <v>41</v>
      </c>
      <c r="N640" s="637" t="s">
        <v>46</v>
      </c>
      <c r="O640" s="637" t="s">
        <v>46</v>
      </c>
      <c r="P640" s="637" t="s">
        <v>47</v>
      </c>
      <c r="Q640" s="638">
        <v>329</v>
      </c>
      <c r="R640" s="638">
        <v>282</v>
      </c>
      <c r="S640" s="638">
        <v>1907</v>
      </c>
      <c r="T640" s="638">
        <v>1632</v>
      </c>
      <c r="U640" s="638">
        <v>124.934</v>
      </c>
      <c r="V640" s="636">
        <v>2022</v>
      </c>
      <c r="W640" s="640" t="s">
        <v>3934</v>
      </c>
      <c r="X640" s="641">
        <f t="shared" si="27"/>
        <v>13.062897209726737</v>
      </c>
      <c r="Y640" s="642" t="str">
        <f t="shared" si="28"/>
        <v/>
      </c>
      <c r="Z640" s="642" t="str">
        <f t="shared" si="29"/>
        <v/>
      </c>
    </row>
    <row r="641" spans="1:26" s="127" customFormat="1" ht="25">
      <c r="A641" s="636">
        <v>50002</v>
      </c>
      <c r="B641" s="637" t="s">
        <v>54</v>
      </c>
      <c r="C641" s="636" t="s">
        <v>2725</v>
      </c>
      <c r="D641" s="637" t="s">
        <v>828</v>
      </c>
      <c r="E641" s="637" t="s">
        <v>1866</v>
      </c>
      <c r="F641" s="636">
        <v>15114</v>
      </c>
      <c r="G641" s="637" t="s">
        <v>81</v>
      </c>
      <c r="H641" s="637" t="s">
        <v>1163</v>
      </c>
      <c r="I641" s="637" t="s">
        <v>58</v>
      </c>
      <c r="J641" s="636">
        <v>22</v>
      </c>
      <c r="K641" s="636">
        <v>3</v>
      </c>
      <c r="L641" s="637" t="s">
        <v>55</v>
      </c>
      <c r="M641" s="637" t="s">
        <v>41</v>
      </c>
      <c r="N641" s="637" t="s">
        <v>39</v>
      </c>
      <c r="O641" s="637" t="s">
        <v>39</v>
      </c>
      <c r="P641" s="637" t="s">
        <v>1020</v>
      </c>
      <c r="Q641" s="638">
        <v>535383</v>
      </c>
      <c r="R641" s="638">
        <v>517466</v>
      </c>
      <c r="S641" s="638">
        <v>551000</v>
      </c>
      <c r="T641" s="638">
        <v>532562</v>
      </c>
      <c r="U641" s="638">
        <v>39135.065999999999</v>
      </c>
      <c r="V641" s="636">
        <v>2022</v>
      </c>
      <c r="W641" s="640" t="s">
        <v>3934</v>
      </c>
      <c r="X641" s="641">
        <f t="shared" si="27"/>
        <v>13.608307189260906</v>
      </c>
      <c r="Y641" s="642" t="str">
        <f t="shared" si="28"/>
        <v/>
      </c>
      <c r="Z641" s="642" t="str">
        <f t="shared" si="29"/>
        <v/>
      </c>
    </row>
    <row r="642" spans="1:26" s="127" customFormat="1" ht="25">
      <c r="A642" s="636">
        <v>50031</v>
      </c>
      <c r="B642" s="637" t="s">
        <v>33</v>
      </c>
      <c r="C642" s="636" t="s">
        <v>2725</v>
      </c>
      <c r="D642" s="637" t="s">
        <v>1656</v>
      </c>
      <c r="E642" s="637" t="s">
        <v>3030</v>
      </c>
      <c r="F642" s="636">
        <v>63840</v>
      </c>
      <c r="G642" s="637" t="s">
        <v>57</v>
      </c>
      <c r="H642" s="637" t="s">
        <v>1162</v>
      </c>
      <c r="I642" s="637" t="s">
        <v>58</v>
      </c>
      <c r="J642" s="636">
        <v>22</v>
      </c>
      <c r="K642" s="636">
        <v>2</v>
      </c>
      <c r="L642" s="637" t="s">
        <v>52</v>
      </c>
      <c r="M642" s="637" t="s">
        <v>35</v>
      </c>
      <c r="N642" s="637" t="s">
        <v>36</v>
      </c>
      <c r="O642" s="637" t="s">
        <v>37</v>
      </c>
      <c r="P642" s="637" t="s">
        <v>1156</v>
      </c>
      <c r="Q642" s="638">
        <v>0</v>
      </c>
      <c r="R642" s="638">
        <v>0</v>
      </c>
      <c r="S642" s="638">
        <v>17720</v>
      </c>
      <c r="T642" s="638">
        <v>17720</v>
      </c>
      <c r="U642" s="638">
        <v>5194</v>
      </c>
      <c r="V642" s="636">
        <v>2022</v>
      </c>
      <c r="W642" s="640"/>
      <c r="X642" s="641">
        <f t="shared" si="27"/>
        <v>3.4116288024643819</v>
      </c>
      <c r="Y642" s="642" t="str">
        <f t="shared" si="28"/>
        <v/>
      </c>
      <c r="Z642" s="642" t="str">
        <f t="shared" si="29"/>
        <v/>
      </c>
    </row>
    <row r="643" spans="1:26" s="127" customFormat="1" ht="25">
      <c r="A643" s="636">
        <v>50034</v>
      </c>
      <c r="B643" s="637" t="s">
        <v>33</v>
      </c>
      <c r="C643" s="636" t="s">
        <v>2725</v>
      </c>
      <c r="D643" s="637" t="s">
        <v>829</v>
      </c>
      <c r="E643" s="637" t="s">
        <v>830</v>
      </c>
      <c r="F643" s="636">
        <v>19774</v>
      </c>
      <c r="G643" s="637" t="s">
        <v>57</v>
      </c>
      <c r="H643" s="637" t="s">
        <v>1162</v>
      </c>
      <c r="I643" s="637" t="s">
        <v>58</v>
      </c>
      <c r="J643" s="636">
        <v>22</v>
      </c>
      <c r="K643" s="636">
        <v>2</v>
      </c>
      <c r="L643" s="637" t="s">
        <v>52</v>
      </c>
      <c r="M643" s="637" t="s">
        <v>35</v>
      </c>
      <c r="N643" s="637" t="s">
        <v>36</v>
      </c>
      <c r="O643" s="637" t="s">
        <v>37</v>
      </c>
      <c r="P643" s="637" t="s">
        <v>1156</v>
      </c>
      <c r="Q643" s="638">
        <v>0</v>
      </c>
      <c r="R643" s="638">
        <v>0</v>
      </c>
      <c r="S643" s="638">
        <v>19878</v>
      </c>
      <c r="T643" s="638">
        <v>19878</v>
      </c>
      <c r="U643" s="638">
        <v>5826</v>
      </c>
      <c r="V643" s="636">
        <v>2022</v>
      </c>
      <c r="W643" s="640"/>
      <c r="X643" s="641">
        <f t="shared" si="27"/>
        <v>3.411946446961895</v>
      </c>
      <c r="Y643" s="642" t="str">
        <f t="shared" si="28"/>
        <v/>
      </c>
      <c r="Z643" s="642" t="str">
        <f t="shared" si="29"/>
        <v/>
      </c>
    </row>
    <row r="644" spans="1:26" s="127" customFormat="1" ht="37.5" hidden="1">
      <c r="A644" s="636">
        <v>50035</v>
      </c>
      <c r="B644" s="637" t="s">
        <v>33</v>
      </c>
      <c r="C644" s="636" t="s">
        <v>2725</v>
      </c>
      <c r="D644" s="637" t="s">
        <v>831</v>
      </c>
      <c r="E644" s="637" t="s">
        <v>2270</v>
      </c>
      <c r="F644" s="636">
        <v>22219</v>
      </c>
      <c r="G644" s="637" t="s">
        <v>90</v>
      </c>
      <c r="H644" s="637" t="s">
        <v>1163</v>
      </c>
      <c r="I644" s="637" t="s">
        <v>58</v>
      </c>
      <c r="J644" s="636">
        <v>562212</v>
      </c>
      <c r="K644" s="636">
        <v>4</v>
      </c>
      <c r="L644" s="637" t="s">
        <v>406</v>
      </c>
      <c r="M644" s="637" t="s">
        <v>42</v>
      </c>
      <c r="N644" s="637" t="s">
        <v>16</v>
      </c>
      <c r="O644" s="637" t="s">
        <v>64</v>
      </c>
      <c r="P644" s="637" t="s">
        <v>45</v>
      </c>
      <c r="Q644" s="638">
        <v>42447</v>
      </c>
      <c r="R644" s="638">
        <v>42447</v>
      </c>
      <c r="S644" s="638">
        <v>325665</v>
      </c>
      <c r="T644" s="638">
        <v>325665</v>
      </c>
      <c r="U644" s="638">
        <v>6292.634</v>
      </c>
      <c r="V644" s="636">
        <v>2022</v>
      </c>
      <c r="W644" s="640"/>
      <c r="X644" s="641" t="str">
        <f t="shared" si="27"/>
        <v/>
      </c>
      <c r="Y644" s="642" t="str">
        <f t="shared" si="28"/>
        <v/>
      </c>
      <c r="Z644" s="642" t="str">
        <f t="shared" si="29"/>
        <v/>
      </c>
    </row>
    <row r="645" spans="1:26" s="127" customFormat="1" ht="37.5" hidden="1">
      <c r="A645" s="636">
        <v>50035</v>
      </c>
      <c r="B645" s="637" t="s">
        <v>33</v>
      </c>
      <c r="C645" s="636" t="s">
        <v>2725</v>
      </c>
      <c r="D645" s="637" t="s">
        <v>831</v>
      </c>
      <c r="E645" s="637" t="s">
        <v>2270</v>
      </c>
      <c r="F645" s="636">
        <v>22219</v>
      </c>
      <c r="G645" s="637" t="s">
        <v>90</v>
      </c>
      <c r="H645" s="637" t="s">
        <v>1163</v>
      </c>
      <c r="I645" s="637" t="s">
        <v>58</v>
      </c>
      <c r="J645" s="636">
        <v>562212</v>
      </c>
      <c r="K645" s="636">
        <v>4</v>
      </c>
      <c r="L645" s="637" t="s">
        <v>406</v>
      </c>
      <c r="M645" s="637" t="s">
        <v>42</v>
      </c>
      <c r="N645" s="637" t="s">
        <v>17</v>
      </c>
      <c r="O645" s="637" t="s">
        <v>82</v>
      </c>
      <c r="P645" s="637" t="s">
        <v>45</v>
      </c>
      <c r="Q645" s="638">
        <v>27139</v>
      </c>
      <c r="R645" s="638">
        <v>27139</v>
      </c>
      <c r="S645" s="638">
        <v>398033</v>
      </c>
      <c r="T645" s="638">
        <v>398033</v>
      </c>
      <c r="U645" s="638">
        <v>7691.0349999999999</v>
      </c>
      <c r="V645" s="636">
        <v>2022</v>
      </c>
      <c r="W645" s="640"/>
      <c r="X645" s="641" t="str">
        <f t="shared" si="27"/>
        <v/>
      </c>
      <c r="Y645" s="642" t="str">
        <f t="shared" si="28"/>
        <v/>
      </c>
      <c r="Z645" s="642" t="str">
        <f t="shared" si="29"/>
        <v/>
      </c>
    </row>
    <row r="646" spans="1:26" s="127" customFormat="1" ht="37.5" hidden="1">
      <c r="A646" s="636">
        <v>50035</v>
      </c>
      <c r="B646" s="637" t="s">
        <v>33</v>
      </c>
      <c r="C646" s="636" t="s">
        <v>2725</v>
      </c>
      <c r="D646" s="637" t="s">
        <v>831</v>
      </c>
      <c r="E646" s="637" t="s">
        <v>2270</v>
      </c>
      <c r="F646" s="636">
        <v>22219</v>
      </c>
      <c r="G646" s="637" t="s">
        <v>90</v>
      </c>
      <c r="H646" s="637" t="s">
        <v>1163</v>
      </c>
      <c r="I646" s="637" t="s">
        <v>58</v>
      </c>
      <c r="J646" s="636">
        <v>562212</v>
      </c>
      <c r="K646" s="636">
        <v>4</v>
      </c>
      <c r="L646" s="637" t="s">
        <v>406</v>
      </c>
      <c r="M646" s="637" t="s">
        <v>42</v>
      </c>
      <c r="N646" s="637" t="s">
        <v>39</v>
      </c>
      <c r="O646" s="637" t="s">
        <v>39</v>
      </c>
      <c r="P646" s="637" t="s">
        <v>1020</v>
      </c>
      <c r="Q646" s="638">
        <v>7750</v>
      </c>
      <c r="R646" s="638">
        <v>7750</v>
      </c>
      <c r="S646" s="638">
        <v>7750</v>
      </c>
      <c r="T646" s="638">
        <v>7750</v>
      </c>
      <c r="U646" s="638">
        <v>146.33099999999999</v>
      </c>
      <c r="V646" s="636">
        <v>2022</v>
      </c>
      <c r="W646" s="640"/>
      <c r="X646" s="641" t="str">
        <f t="shared" si="27"/>
        <v/>
      </c>
      <c r="Y646" s="642" t="str">
        <f t="shared" si="28"/>
        <v/>
      </c>
      <c r="Z646" s="642" t="str">
        <f t="shared" si="29"/>
        <v/>
      </c>
    </row>
    <row r="647" spans="1:26" s="127" customFormat="1" ht="37.5" hidden="1">
      <c r="A647" s="636">
        <v>50041</v>
      </c>
      <c r="B647" s="637" t="s">
        <v>54</v>
      </c>
      <c r="C647" s="636" t="s">
        <v>2725</v>
      </c>
      <c r="D647" s="637" t="s">
        <v>832</v>
      </c>
      <c r="E647" s="637" t="s">
        <v>833</v>
      </c>
      <c r="F647" s="636">
        <v>16544</v>
      </c>
      <c r="G647" s="637" t="s">
        <v>81</v>
      </c>
      <c r="H647" s="637" t="s">
        <v>1163</v>
      </c>
      <c r="I647" s="637" t="s">
        <v>58</v>
      </c>
      <c r="J647" s="636">
        <v>327</v>
      </c>
      <c r="K647" s="636">
        <v>7</v>
      </c>
      <c r="L647" s="637" t="s">
        <v>403</v>
      </c>
      <c r="M647" s="637" t="s">
        <v>42</v>
      </c>
      <c r="N647" s="637" t="s">
        <v>43</v>
      </c>
      <c r="O647" s="637" t="s">
        <v>44</v>
      </c>
      <c r="P647" s="637" t="s">
        <v>45</v>
      </c>
      <c r="Q647" s="638">
        <v>0</v>
      </c>
      <c r="R647" s="638">
        <v>0</v>
      </c>
      <c r="S647" s="638">
        <v>0</v>
      </c>
      <c r="T647" s="638">
        <v>0</v>
      </c>
      <c r="U647" s="638">
        <v>0</v>
      </c>
      <c r="V647" s="636">
        <v>2022</v>
      </c>
      <c r="W647" s="640"/>
      <c r="X647" s="641" t="str">
        <f t="shared" si="27"/>
        <v/>
      </c>
      <c r="Y647" s="642" t="str">
        <f t="shared" si="28"/>
        <v/>
      </c>
      <c r="Z647" s="642" t="str">
        <f t="shared" si="29"/>
        <v/>
      </c>
    </row>
    <row r="648" spans="1:26" s="127" customFormat="1" ht="37.5" hidden="1">
      <c r="A648" s="636">
        <v>50041</v>
      </c>
      <c r="B648" s="637" t="s">
        <v>54</v>
      </c>
      <c r="C648" s="636" t="s">
        <v>2725</v>
      </c>
      <c r="D648" s="637" t="s">
        <v>832</v>
      </c>
      <c r="E648" s="637" t="s">
        <v>833</v>
      </c>
      <c r="F648" s="636">
        <v>16544</v>
      </c>
      <c r="G648" s="637" t="s">
        <v>81</v>
      </c>
      <c r="H648" s="637" t="s">
        <v>1163</v>
      </c>
      <c r="I648" s="637" t="s">
        <v>58</v>
      </c>
      <c r="J648" s="636">
        <v>327</v>
      </c>
      <c r="K648" s="636">
        <v>7</v>
      </c>
      <c r="L648" s="637" t="s">
        <v>403</v>
      </c>
      <c r="M648" s="637" t="s">
        <v>42</v>
      </c>
      <c r="N648" s="637" t="s">
        <v>39</v>
      </c>
      <c r="O648" s="637" t="s">
        <v>39</v>
      </c>
      <c r="P648" s="637" t="s">
        <v>1020</v>
      </c>
      <c r="Q648" s="638">
        <v>625163</v>
      </c>
      <c r="R648" s="638">
        <v>149879</v>
      </c>
      <c r="S648" s="638">
        <v>643917</v>
      </c>
      <c r="T648" s="638">
        <v>154375</v>
      </c>
      <c r="U648" s="638">
        <v>17591</v>
      </c>
      <c r="V648" s="636">
        <v>2022</v>
      </c>
      <c r="W648" s="640"/>
      <c r="X648" s="641" t="str">
        <f t="shared" ref="X648:X711" si="30">IF(OR(K648&gt;3,T648=0,NOT(U648&gt;0)),"",T648/U648)</f>
        <v/>
      </c>
      <c r="Y648" s="642" t="str">
        <f t="shared" ref="Y648:Y711" si="31">IF(AND($M648=$Y$2,$N648=$Y$3,NOT($Q648=$R648),NOT($U648=0)),IF($K648=5,$S648/($U648+(8/5)*$U648),IF($K648=7,$S648/($U648+(29/25)*$U648),"")),"")</f>
        <v/>
      </c>
      <c r="Z648" s="642" t="str">
        <f t="shared" si="29"/>
        <v/>
      </c>
    </row>
    <row r="649" spans="1:26" s="127" customFormat="1" ht="25">
      <c r="A649" s="636">
        <v>50047</v>
      </c>
      <c r="B649" s="637" t="s">
        <v>33</v>
      </c>
      <c r="C649" s="636" t="s">
        <v>2725</v>
      </c>
      <c r="D649" s="637" t="s">
        <v>834</v>
      </c>
      <c r="E649" s="637" t="s">
        <v>3025</v>
      </c>
      <c r="F649" s="636">
        <v>57280</v>
      </c>
      <c r="G649" s="637" t="s">
        <v>90</v>
      </c>
      <c r="H649" s="637" t="s">
        <v>1163</v>
      </c>
      <c r="I649" s="637" t="s">
        <v>58</v>
      </c>
      <c r="J649" s="636">
        <v>22</v>
      </c>
      <c r="K649" s="636">
        <v>2</v>
      </c>
      <c r="L649" s="637" t="s">
        <v>52</v>
      </c>
      <c r="M649" s="637" t="s">
        <v>35</v>
      </c>
      <c r="N649" s="637" t="s">
        <v>36</v>
      </c>
      <c r="O649" s="637" t="s">
        <v>37</v>
      </c>
      <c r="P649" s="637" t="s">
        <v>1156</v>
      </c>
      <c r="Q649" s="638">
        <v>0</v>
      </c>
      <c r="R649" s="638">
        <v>0</v>
      </c>
      <c r="S649" s="638">
        <v>47404</v>
      </c>
      <c r="T649" s="638">
        <v>47404</v>
      </c>
      <c r="U649" s="638">
        <v>13893</v>
      </c>
      <c r="V649" s="636">
        <v>2022</v>
      </c>
      <c r="W649" s="640"/>
      <c r="X649" s="641">
        <f t="shared" si="30"/>
        <v>3.4120780249046283</v>
      </c>
      <c r="Y649" s="642" t="str">
        <f t="shared" si="31"/>
        <v/>
      </c>
      <c r="Z649" s="642" t="str">
        <f t="shared" si="29"/>
        <v/>
      </c>
    </row>
    <row r="650" spans="1:26" s="127" customFormat="1" ht="37.5" hidden="1">
      <c r="A650" s="636">
        <v>50051</v>
      </c>
      <c r="B650" s="637" t="s">
        <v>33</v>
      </c>
      <c r="C650" s="636" t="s">
        <v>2725</v>
      </c>
      <c r="D650" s="637" t="s">
        <v>835</v>
      </c>
      <c r="E650" s="637" t="s">
        <v>836</v>
      </c>
      <c r="F650" s="636">
        <v>6036</v>
      </c>
      <c r="G650" s="637" t="s">
        <v>90</v>
      </c>
      <c r="H650" s="637" t="s">
        <v>1163</v>
      </c>
      <c r="I650" s="637" t="s">
        <v>58</v>
      </c>
      <c r="J650" s="636">
        <v>562212</v>
      </c>
      <c r="K650" s="636">
        <v>4</v>
      </c>
      <c r="L650" s="637" t="s">
        <v>406</v>
      </c>
      <c r="M650" s="637" t="s">
        <v>42</v>
      </c>
      <c r="N650" s="637" t="s">
        <v>46</v>
      </c>
      <c r="O650" s="637" t="s">
        <v>46</v>
      </c>
      <c r="P650" s="637" t="s">
        <v>47</v>
      </c>
      <c r="Q650" s="638">
        <v>2603</v>
      </c>
      <c r="R650" s="638">
        <v>2603</v>
      </c>
      <c r="S650" s="638">
        <v>15358</v>
      </c>
      <c r="T650" s="638">
        <v>15358</v>
      </c>
      <c r="U650" s="638">
        <v>706.351</v>
      </c>
      <c r="V650" s="636">
        <v>2022</v>
      </c>
      <c r="W650" s="640"/>
      <c r="X650" s="641" t="str">
        <f t="shared" si="30"/>
        <v/>
      </c>
      <c r="Y650" s="642" t="str">
        <f t="shared" si="31"/>
        <v/>
      </c>
      <c r="Z650" s="642" t="str">
        <f t="shared" si="29"/>
        <v/>
      </c>
    </row>
    <row r="651" spans="1:26" s="127" customFormat="1" ht="37.5" hidden="1">
      <c r="A651" s="636">
        <v>50051</v>
      </c>
      <c r="B651" s="637" t="s">
        <v>33</v>
      </c>
      <c r="C651" s="636" t="s">
        <v>2725</v>
      </c>
      <c r="D651" s="637" t="s">
        <v>835</v>
      </c>
      <c r="E651" s="637" t="s">
        <v>836</v>
      </c>
      <c r="F651" s="636">
        <v>6036</v>
      </c>
      <c r="G651" s="637" t="s">
        <v>90</v>
      </c>
      <c r="H651" s="637" t="s">
        <v>1163</v>
      </c>
      <c r="I651" s="637" t="s">
        <v>58</v>
      </c>
      <c r="J651" s="636">
        <v>562212</v>
      </c>
      <c r="K651" s="636">
        <v>4</v>
      </c>
      <c r="L651" s="637" t="s">
        <v>406</v>
      </c>
      <c r="M651" s="637" t="s">
        <v>42</v>
      </c>
      <c r="N651" s="637" t="s">
        <v>16</v>
      </c>
      <c r="O651" s="637" t="s">
        <v>64</v>
      </c>
      <c r="P651" s="637" t="s">
        <v>45</v>
      </c>
      <c r="Q651" s="638">
        <v>66803</v>
      </c>
      <c r="R651" s="638">
        <v>66803</v>
      </c>
      <c r="S651" s="638">
        <v>551935</v>
      </c>
      <c r="T651" s="638">
        <v>551935</v>
      </c>
      <c r="U651" s="638">
        <v>26110.55</v>
      </c>
      <c r="V651" s="636">
        <v>2022</v>
      </c>
      <c r="W651" s="640"/>
      <c r="X651" s="641" t="str">
        <f t="shared" si="30"/>
        <v/>
      </c>
      <c r="Y651" s="642" t="str">
        <f t="shared" si="31"/>
        <v/>
      </c>
      <c r="Z651" s="642" t="str">
        <f t="shared" si="29"/>
        <v/>
      </c>
    </row>
    <row r="652" spans="1:26" s="127" customFormat="1" ht="37.5" hidden="1">
      <c r="A652" s="636">
        <v>50051</v>
      </c>
      <c r="B652" s="637" t="s">
        <v>33</v>
      </c>
      <c r="C652" s="636" t="s">
        <v>2725</v>
      </c>
      <c r="D652" s="637" t="s">
        <v>835</v>
      </c>
      <c r="E652" s="637" t="s">
        <v>836</v>
      </c>
      <c r="F652" s="636">
        <v>6036</v>
      </c>
      <c r="G652" s="637" t="s">
        <v>90</v>
      </c>
      <c r="H652" s="637" t="s">
        <v>1163</v>
      </c>
      <c r="I652" s="637" t="s">
        <v>58</v>
      </c>
      <c r="J652" s="636">
        <v>562212</v>
      </c>
      <c r="K652" s="636">
        <v>4</v>
      </c>
      <c r="L652" s="637" t="s">
        <v>406</v>
      </c>
      <c r="M652" s="637" t="s">
        <v>42</v>
      </c>
      <c r="N652" s="637" t="s">
        <v>17</v>
      </c>
      <c r="O652" s="637" t="s">
        <v>82</v>
      </c>
      <c r="P652" s="637" t="s">
        <v>45</v>
      </c>
      <c r="Q652" s="638">
        <v>42709</v>
      </c>
      <c r="R652" s="638">
        <v>42709</v>
      </c>
      <c r="S652" s="638">
        <v>674592</v>
      </c>
      <c r="T652" s="638">
        <v>674592</v>
      </c>
      <c r="U652" s="638">
        <v>31913.098999999998</v>
      </c>
      <c r="V652" s="636">
        <v>2022</v>
      </c>
      <c r="W652" s="640"/>
      <c r="X652" s="641" t="str">
        <f t="shared" si="30"/>
        <v/>
      </c>
      <c r="Y652" s="642" t="str">
        <f t="shared" si="31"/>
        <v/>
      </c>
      <c r="Z652" s="642" t="str">
        <f t="shared" si="29"/>
        <v/>
      </c>
    </row>
    <row r="653" spans="1:26" s="127" customFormat="1" ht="37.5" hidden="1">
      <c r="A653" s="636">
        <v>50051</v>
      </c>
      <c r="B653" s="637" t="s">
        <v>33</v>
      </c>
      <c r="C653" s="636" t="s">
        <v>2725</v>
      </c>
      <c r="D653" s="637" t="s">
        <v>835</v>
      </c>
      <c r="E653" s="637" t="s">
        <v>836</v>
      </c>
      <c r="F653" s="636">
        <v>6036</v>
      </c>
      <c r="G653" s="637" t="s">
        <v>90</v>
      </c>
      <c r="H653" s="637" t="s">
        <v>1163</v>
      </c>
      <c r="I653" s="637" t="s">
        <v>58</v>
      </c>
      <c r="J653" s="636">
        <v>562212</v>
      </c>
      <c r="K653" s="636">
        <v>4</v>
      </c>
      <c r="L653" s="637" t="s">
        <v>406</v>
      </c>
      <c r="M653" s="637" t="s">
        <v>42</v>
      </c>
      <c r="N653" s="637" t="s">
        <v>69</v>
      </c>
      <c r="O653" s="637" t="s">
        <v>70</v>
      </c>
      <c r="P653" s="637" t="s">
        <v>45</v>
      </c>
      <c r="Q653" s="638">
        <v>0</v>
      </c>
      <c r="R653" s="638">
        <v>0</v>
      </c>
      <c r="S653" s="638">
        <v>0</v>
      </c>
      <c r="T653" s="638">
        <v>0</v>
      </c>
      <c r="U653" s="638">
        <v>0</v>
      </c>
      <c r="V653" s="636">
        <v>2022</v>
      </c>
      <c r="W653" s="640"/>
      <c r="X653" s="641" t="str">
        <f t="shared" si="30"/>
        <v/>
      </c>
      <c r="Y653" s="642" t="str">
        <f t="shared" si="31"/>
        <v/>
      </c>
      <c r="Z653" s="642" t="str">
        <f t="shared" si="29"/>
        <v/>
      </c>
    </row>
    <row r="654" spans="1:26" s="127" customFormat="1" ht="25">
      <c r="A654" s="636">
        <v>50079</v>
      </c>
      <c r="B654" s="637" t="s">
        <v>33</v>
      </c>
      <c r="C654" s="636" t="s">
        <v>2725</v>
      </c>
      <c r="D654" s="637" t="s">
        <v>837</v>
      </c>
      <c r="E654" s="637" t="s">
        <v>3029</v>
      </c>
      <c r="F654" s="636">
        <v>63985</v>
      </c>
      <c r="G654" s="637" t="s">
        <v>57</v>
      </c>
      <c r="H654" s="637" t="s">
        <v>1162</v>
      </c>
      <c r="I654" s="637" t="s">
        <v>58</v>
      </c>
      <c r="J654" s="636">
        <v>22</v>
      </c>
      <c r="K654" s="636">
        <v>2</v>
      </c>
      <c r="L654" s="637" t="s">
        <v>52</v>
      </c>
      <c r="M654" s="637" t="s">
        <v>35</v>
      </c>
      <c r="N654" s="637" t="s">
        <v>36</v>
      </c>
      <c r="O654" s="637" t="s">
        <v>37</v>
      </c>
      <c r="P654" s="637" t="s">
        <v>1156</v>
      </c>
      <c r="Q654" s="638">
        <v>0</v>
      </c>
      <c r="R654" s="638">
        <v>0</v>
      </c>
      <c r="S654" s="638">
        <v>3948</v>
      </c>
      <c r="T654" s="638">
        <v>3948</v>
      </c>
      <c r="U654" s="638">
        <v>1157</v>
      </c>
      <c r="V654" s="636">
        <v>2022</v>
      </c>
      <c r="W654" s="640"/>
      <c r="X654" s="641">
        <f t="shared" si="30"/>
        <v>3.4122731201382885</v>
      </c>
      <c r="Y654" s="642" t="str">
        <f t="shared" si="31"/>
        <v/>
      </c>
      <c r="Z654" s="642" t="str">
        <f t="shared" si="29"/>
        <v/>
      </c>
    </row>
    <row r="655" spans="1:26" s="127" customFormat="1" ht="25">
      <c r="A655" s="636">
        <v>50080</v>
      </c>
      <c r="B655" s="637" t="s">
        <v>33</v>
      </c>
      <c r="C655" s="636" t="s">
        <v>2725</v>
      </c>
      <c r="D655" s="637" t="s">
        <v>838</v>
      </c>
      <c r="E655" s="637" t="s">
        <v>3025</v>
      </c>
      <c r="F655" s="636">
        <v>57280</v>
      </c>
      <c r="G655" s="637" t="s">
        <v>90</v>
      </c>
      <c r="H655" s="637" t="s">
        <v>1163</v>
      </c>
      <c r="I655" s="637" t="s">
        <v>58</v>
      </c>
      <c r="J655" s="636">
        <v>22</v>
      </c>
      <c r="K655" s="636">
        <v>2</v>
      </c>
      <c r="L655" s="637" t="s">
        <v>52</v>
      </c>
      <c r="M655" s="637" t="s">
        <v>35</v>
      </c>
      <c r="N655" s="637" t="s">
        <v>36</v>
      </c>
      <c r="O655" s="637" t="s">
        <v>37</v>
      </c>
      <c r="P655" s="637" t="s">
        <v>1156</v>
      </c>
      <c r="Q655" s="638">
        <v>0</v>
      </c>
      <c r="R655" s="638">
        <v>0</v>
      </c>
      <c r="S655" s="638">
        <v>154130</v>
      </c>
      <c r="T655" s="638">
        <v>154130</v>
      </c>
      <c r="U655" s="638">
        <v>45173</v>
      </c>
      <c r="V655" s="636">
        <v>2022</v>
      </c>
      <c r="W655" s="640"/>
      <c r="X655" s="641">
        <f t="shared" si="30"/>
        <v>3.4119938901556242</v>
      </c>
      <c r="Y655" s="642" t="str">
        <f t="shared" si="31"/>
        <v/>
      </c>
      <c r="Z655" s="642" t="str">
        <f t="shared" si="29"/>
        <v/>
      </c>
    </row>
    <row r="656" spans="1:26" s="127" customFormat="1" ht="25">
      <c r="A656" s="636">
        <v>50081</v>
      </c>
      <c r="B656" s="637" t="s">
        <v>33</v>
      </c>
      <c r="C656" s="636" t="s">
        <v>2725</v>
      </c>
      <c r="D656" s="637" t="s">
        <v>839</v>
      </c>
      <c r="E656" s="637" t="s">
        <v>3025</v>
      </c>
      <c r="F656" s="636">
        <v>57280</v>
      </c>
      <c r="G656" s="637" t="s">
        <v>90</v>
      </c>
      <c r="H656" s="637" t="s">
        <v>1163</v>
      </c>
      <c r="I656" s="637" t="s">
        <v>58</v>
      </c>
      <c r="J656" s="636">
        <v>22</v>
      </c>
      <c r="K656" s="636">
        <v>2</v>
      </c>
      <c r="L656" s="637" t="s">
        <v>52</v>
      </c>
      <c r="M656" s="637" t="s">
        <v>35</v>
      </c>
      <c r="N656" s="637" t="s">
        <v>36</v>
      </c>
      <c r="O656" s="637" t="s">
        <v>37</v>
      </c>
      <c r="P656" s="637" t="s">
        <v>1156</v>
      </c>
      <c r="Q656" s="638">
        <v>0</v>
      </c>
      <c r="R656" s="638">
        <v>0</v>
      </c>
      <c r="S656" s="638">
        <v>74916</v>
      </c>
      <c r="T656" s="638">
        <v>74916</v>
      </c>
      <c r="U656" s="638">
        <v>21957</v>
      </c>
      <c r="V656" s="636">
        <v>2022</v>
      </c>
      <c r="W656" s="640"/>
      <c r="X656" s="641">
        <f t="shared" si="30"/>
        <v>3.411941522065856</v>
      </c>
      <c r="Y656" s="642" t="str">
        <f t="shared" si="31"/>
        <v/>
      </c>
      <c r="Z656" s="642" t="str">
        <f t="shared" ref="Z656:Z719" si="32">IF(AND($M656=$Y$2,$N656=$Y$4,NOT($Q656=$R656),NOT($U656=0)),IF($K656=5,$S656/($U656+(8/5)*$U656),IF($K656=7,$S656/($U656+(29/25)*$U656),"")),"")</f>
        <v/>
      </c>
    </row>
    <row r="657" spans="1:26" s="127" customFormat="1" ht="25">
      <c r="A657" s="636">
        <v>50082</v>
      </c>
      <c r="B657" s="637" t="s">
        <v>33</v>
      </c>
      <c r="C657" s="636" t="s">
        <v>2725</v>
      </c>
      <c r="D657" s="637" t="s">
        <v>840</v>
      </c>
      <c r="E657" s="637" t="s">
        <v>3025</v>
      </c>
      <c r="F657" s="636">
        <v>57280</v>
      </c>
      <c r="G657" s="637" t="s">
        <v>90</v>
      </c>
      <c r="H657" s="637" t="s">
        <v>1163</v>
      </c>
      <c r="I657" s="637" t="s">
        <v>58</v>
      </c>
      <c r="J657" s="636">
        <v>22</v>
      </c>
      <c r="K657" s="636">
        <v>2</v>
      </c>
      <c r="L657" s="637" t="s">
        <v>52</v>
      </c>
      <c r="M657" s="637" t="s">
        <v>35</v>
      </c>
      <c r="N657" s="637" t="s">
        <v>36</v>
      </c>
      <c r="O657" s="637" t="s">
        <v>37</v>
      </c>
      <c r="P657" s="637" t="s">
        <v>1156</v>
      </c>
      <c r="Q657" s="638">
        <v>0</v>
      </c>
      <c r="R657" s="638">
        <v>0</v>
      </c>
      <c r="S657" s="638">
        <v>115660</v>
      </c>
      <c r="T657" s="638">
        <v>115660</v>
      </c>
      <c r="U657" s="638">
        <v>33898</v>
      </c>
      <c r="V657" s="636">
        <v>2022</v>
      </c>
      <c r="W657" s="640"/>
      <c r="X657" s="641">
        <f t="shared" si="30"/>
        <v>3.4120007080063721</v>
      </c>
      <c r="Y657" s="642" t="str">
        <f t="shared" si="31"/>
        <v/>
      </c>
      <c r="Z657" s="642" t="str">
        <f t="shared" si="32"/>
        <v/>
      </c>
    </row>
    <row r="658" spans="1:26" s="127" customFormat="1" ht="37.5" hidden="1">
      <c r="A658" s="636">
        <v>50087</v>
      </c>
      <c r="B658" s="637" t="s">
        <v>54</v>
      </c>
      <c r="C658" s="636" t="s">
        <v>2725</v>
      </c>
      <c r="D658" s="637" t="s">
        <v>841</v>
      </c>
      <c r="E658" s="637" t="s">
        <v>842</v>
      </c>
      <c r="F658" s="636">
        <v>23955</v>
      </c>
      <c r="G658" s="637" t="s">
        <v>81</v>
      </c>
      <c r="H658" s="637" t="s">
        <v>1163</v>
      </c>
      <c r="I658" s="637" t="s">
        <v>58</v>
      </c>
      <c r="J658" s="636">
        <v>611</v>
      </c>
      <c r="K658" s="636">
        <v>5</v>
      </c>
      <c r="L658" s="637" t="s">
        <v>407</v>
      </c>
      <c r="M658" s="637" t="s">
        <v>50</v>
      </c>
      <c r="N658" s="637" t="s">
        <v>46</v>
      </c>
      <c r="O658" s="637" t="s">
        <v>46</v>
      </c>
      <c r="P658" s="637" t="s">
        <v>47</v>
      </c>
      <c r="Q658" s="638">
        <v>713</v>
      </c>
      <c r="R658" s="638">
        <v>464</v>
      </c>
      <c r="S658" s="638">
        <v>3924</v>
      </c>
      <c r="T658" s="638">
        <v>2545</v>
      </c>
      <c r="U658" s="638">
        <v>410.15899999999999</v>
      </c>
      <c r="V658" s="636">
        <v>2022</v>
      </c>
      <c r="W658" s="640"/>
      <c r="X658" s="641" t="str">
        <f t="shared" si="30"/>
        <v/>
      </c>
      <c r="Y658" s="642" t="str">
        <f t="shared" si="31"/>
        <v/>
      </c>
      <c r="Z658" s="642">
        <f t="shared" si="32"/>
        <v>3.6796236806476741</v>
      </c>
    </row>
    <row r="659" spans="1:26" s="127" customFormat="1" ht="37.5" hidden="1">
      <c r="A659" s="636">
        <v>50087</v>
      </c>
      <c r="B659" s="637" t="s">
        <v>54</v>
      </c>
      <c r="C659" s="636" t="s">
        <v>2725</v>
      </c>
      <c r="D659" s="637" t="s">
        <v>841</v>
      </c>
      <c r="E659" s="637" t="s">
        <v>842</v>
      </c>
      <c r="F659" s="636">
        <v>23955</v>
      </c>
      <c r="G659" s="637" t="s">
        <v>81</v>
      </c>
      <c r="H659" s="637" t="s">
        <v>1163</v>
      </c>
      <c r="I659" s="637" t="s">
        <v>58</v>
      </c>
      <c r="J659" s="636">
        <v>611</v>
      </c>
      <c r="K659" s="636">
        <v>5</v>
      </c>
      <c r="L659" s="637" t="s">
        <v>407</v>
      </c>
      <c r="M659" s="637" t="s">
        <v>50</v>
      </c>
      <c r="N659" s="637" t="s">
        <v>39</v>
      </c>
      <c r="O659" s="637" t="s">
        <v>39</v>
      </c>
      <c r="P659" s="637" t="s">
        <v>1020</v>
      </c>
      <c r="Q659" s="638">
        <v>581697</v>
      </c>
      <c r="R659" s="638">
        <v>377439</v>
      </c>
      <c r="S659" s="638">
        <v>465357</v>
      </c>
      <c r="T659" s="638">
        <v>301949</v>
      </c>
      <c r="U659" s="638">
        <v>48672.841</v>
      </c>
      <c r="V659" s="636">
        <v>2022</v>
      </c>
      <c r="W659" s="640"/>
      <c r="X659" s="641" t="str">
        <f t="shared" si="30"/>
        <v/>
      </c>
      <c r="Y659" s="642">
        <f t="shared" si="31"/>
        <v>3.6772758248991781</v>
      </c>
      <c r="Z659" s="642" t="str">
        <f t="shared" si="32"/>
        <v/>
      </c>
    </row>
    <row r="660" spans="1:26" s="127" customFormat="1" ht="37.5" hidden="1">
      <c r="A660" s="636">
        <v>50087</v>
      </c>
      <c r="B660" s="637" t="s">
        <v>54</v>
      </c>
      <c r="C660" s="636" t="s">
        <v>2725</v>
      </c>
      <c r="D660" s="637" t="s">
        <v>841</v>
      </c>
      <c r="E660" s="637" t="s">
        <v>842</v>
      </c>
      <c r="F660" s="636">
        <v>23955</v>
      </c>
      <c r="G660" s="637" t="s">
        <v>81</v>
      </c>
      <c r="H660" s="637" t="s">
        <v>1163</v>
      </c>
      <c r="I660" s="637" t="s">
        <v>58</v>
      </c>
      <c r="J660" s="636">
        <v>611</v>
      </c>
      <c r="K660" s="636">
        <v>5</v>
      </c>
      <c r="L660" s="637" t="s">
        <v>407</v>
      </c>
      <c r="M660" s="637" t="s">
        <v>42</v>
      </c>
      <c r="N660" s="637" t="s">
        <v>39</v>
      </c>
      <c r="O660" s="637" t="s">
        <v>39</v>
      </c>
      <c r="P660" s="637" t="s">
        <v>1020</v>
      </c>
      <c r="Q660" s="638">
        <v>906334</v>
      </c>
      <c r="R660" s="638">
        <v>300078</v>
      </c>
      <c r="S660" s="638">
        <v>725067</v>
      </c>
      <c r="T660" s="638">
        <v>240061</v>
      </c>
      <c r="U660" s="638">
        <v>15677.901</v>
      </c>
      <c r="V660" s="636">
        <v>2022</v>
      </c>
      <c r="W660" s="640"/>
      <c r="X660" s="641" t="str">
        <f t="shared" si="30"/>
        <v/>
      </c>
      <c r="Y660" s="642" t="str">
        <f t="shared" si="31"/>
        <v/>
      </c>
      <c r="Z660" s="642" t="str">
        <f t="shared" si="32"/>
        <v/>
      </c>
    </row>
    <row r="661" spans="1:26" s="127" customFormat="1" ht="37.5" hidden="1">
      <c r="A661" s="636">
        <v>50087</v>
      </c>
      <c r="B661" s="637" t="s">
        <v>54</v>
      </c>
      <c r="C661" s="636" t="s">
        <v>2725</v>
      </c>
      <c r="D661" s="637" t="s">
        <v>841</v>
      </c>
      <c r="E661" s="637" t="s">
        <v>842</v>
      </c>
      <c r="F661" s="636">
        <v>23955</v>
      </c>
      <c r="G661" s="637" t="s">
        <v>81</v>
      </c>
      <c r="H661" s="637" t="s">
        <v>1163</v>
      </c>
      <c r="I661" s="637" t="s">
        <v>58</v>
      </c>
      <c r="J661" s="636">
        <v>611</v>
      </c>
      <c r="K661" s="636">
        <v>5</v>
      </c>
      <c r="L661" s="637" t="s">
        <v>407</v>
      </c>
      <c r="M661" s="637" t="s">
        <v>42</v>
      </c>
      <c r="N661" s="637" t="s">
        <v>61</v>
      </c>
      <c r="O661" s="637" t="s">
        <v>61</v>
      </c>
      <c r="P661" s="637" t="s">
        <v>47</v>
      </c>
      <c r="Q661" s="638">
        <v>8251</v>
      </c>
      <c r="R661" s="638">
        <v>2153</v>
      </c>
      <c r="S661" s="638">
        <v>56107</v>
      </c>
      <c r="T661" s="638">
        <v>14641</v>
      </c>
      <c r="U661" s="638">
        <v>1101.0989999999999</v>
      </c>
      <c r="V661" s="636">
        <v>2022</v>
      </c>
      <c r="W661" s="640"/>
      <c r="X661" s="641" t="str">
        <f t="shared" si="30"/>
        <v/>
      </c>
      <c r="Y661" s="642" t="str">
        <f t="shared" si="31"/>
        <v/>
      </c>
      <c r="Z661" s="642" t="str">
        <f t="shared" si="32"/>
        <v/>
      </c>
    </row>
    <row r="662" spans="1:26" s="127" customFormat="1" ht="25">
      <c r="A662" s="636">
        <v>50093</v>
      </c>
      <c r="B662" s="637" t="s">
        <v>33</v>
      </c>
      <c r="C662" s="636" t="s">
        <v>2725</v>
      </c>
      <c r="D662" s="637" t="s">
        <v>843</v>
      </c>
      <c r="E662" s="637" t="s">
        <v>3029</v>
      </c>
      <c r="F662" s="636">
        <v>63985</v>
      </c>
      <c r="G662" s="637" t="s">
        <v>57</v>
      </c>
      <c r="H662" s="637" t="s">
        <v>1162</v>
      </c>
      <c r="I662" s="637" t="s">
        <v>58</v>
      </c>
      <c r="J662" s="636">
        <v>22</v>
      </c>
      <c r="K662" s="636">
        <v>2</v>
      </c>
      <c r="L662" s="637" t="s">
        <v>52</v>
      </c>
      <c r="M662" s="637" t="s">
        <v>35</v>
      </c>
      <c r="N662" s="637" t="s">
        <v>36</v>
      </c>
      <c r="O662" s="637" t="s">
        <v>37</v>
      </c>
      <c r="P662" s="637" t="s">
        <v>1156</v>
      </c>
      <c r="Q662" s="638">
        <v>0</v>
      </c>
      <c r="R662" s="638">
        <v>0</v>
      </c>
      <c r="S662" s="638">
        <v>8720</v>
      </c>
      <c r="T662" s="638">
        <v>8720</v>
      </c>
      <c r="U662" s="638">
        <v>2556</v>
      </c>
      <c r="V662" s="636">
        <v>2022</v>
      </c>
      <c r="W662" s="640"/>
      <c r="X662" s="641">
        <f t="shared" si="30"/>
        <v>3.4115805946791862</v>
      </c>
      <c r="Y662" s="642" t="str">
        <f t="shared" si="31"/>
        <v/>
      </c>
      <c r="Z662" s="642" t="str">
        <f t="shared" si="32"/>
        <v/>
      </c>
    </row>
    <row r="663" spans="1:26" s="127" customFormat="1" ht="25">
      <c r="A663" s="636">
        <v>50103</v>
      </c>
      <c r="B663" s="637" t="s">
        <v>33</v>
      </c>
      <c r="C663" s="636" t="s">
        <v>2725</v>
      </c>
      <c r="D663" s="637" t="s">
        <v>844</v>
      </c>
      <c r="E663" s="637" t="s">
        <v>845</v>
      </c>
      <c r="F663" s="636">
        <v>13442</v>
      </c>
      <c r="G663" s="637" t="s">
        <v>96</v>
      </c>
      <c r="H663" s="637" t="s">
        <v>1163</v>
      </c>
      <c r="I663" s="637" t="s">
        <v>58</v>
      </c>
      <c r="J663" s="636">
        <v>22</v>
      </c>
      <c r="K663" s="636">
        <v>2</v>
      </c>
      <c r="L663" s="637" t="s">
        <v>52</v>
      </c>
      <c r="M663" s="637" t="s">
        <v>35</v>
      </c>
      <c r="N663" s="637" t="s">
        <v>36</v>
      </c>
      <c r="O663" s="637" t="s">
        <v>37</v>
      </c>
      <c r="P663" s="637" t="s">
        <v>1156</v>
      </c>
      <c r="Q663" s="638">
        <v>0</v>
      </c>
      <c r="R663" s="638">
        <v>0</v>
      </c>
      <c r="S663" s="638">
        <v>11391</v>
      </c>
      <c r="T663" s="638">
        <v>11391</v>
      </c>
      <c r="U663" s="638">
        <v>3339</v>
      </c>
      <c r="V663" s="636">
        <v>2022</v>
      </c>
      <c r="W663" s="640"/>
      <c r="X663" s="641">
        <f t="shared" si="30"/>
        <v>3.4115004492362981</v>
      </c>
      <c r="Y663" s="642" t="str">
        <f t="shared" si="31"/>
        <v/>
      </c>
      <c r="Z663" s="642" t="str">
        <f t="shared" si="32"/>
        <v/>
      </c>
    </row>
    <row r="664" spans="1:26" s="127" customFormat="1" ht="25">
      <c r="A664" s="636">
        <v>50123</v>
      </c>
      <c r="B664" s="637" t="s">
        <v>33</v>
      </c>
      <c r="C664" s="636" t="s">
        <v>2725</v>
      </c>
      <c r="D664" s="637" t="s">
        <v>846</v>
      </c>
      <c r="E664" s="637" t="s">
        <v>847</v>
      </c>
      <c r="F664" s="636">
        <v>20148</v>
      </c>
      <c r="G664" s="637" t="s">
        <v>57</v>
      </c>
      <c r="H664" s="637" t="s">
        <v>1162</v>
      </c>
      <c r="I664" s="637" t="s">
        <v>58</v>
      </c>
      <c r="J664" s="636">
        <v>22</v>
      </c>
      <c r="K664" s="636">
        <v>2</v>
      </c>
      <c r="L664" s="637" t="s">
        <v>52</v>
      </c>
      <c r="M664" s="637" t="s">
        <v>35</v>
      </c>
      <c r="N664" s="637" t="s">
        <v>36</v>
      </c>
      <c r="O664" s="637" t="s">
        <v>37</v>
      </c>
      <c r="P664" s="637" t="s">
        <v>1156</v>
      </c>
      <c r="Q664" s="638">
        <v>0</v>
      </c>
      <c r="R664" s="638">
        <v>0</v>
      </c>
      <c r="S664" s="638">
        <v>4664</v>
      </c>
      <c r="T664" s="638">
        <v>4664</v>
      </c>
      <c r="U664" s="638">
        <v>1367</v>
      </c>
      <c r="V664" s="636">
        <v>2022</v>
      </c>
      <c r="W664" s="640"/>
      <c r="X664" s="641">
        <f t="shared" si="30"/>
        <v>3.41185076810534</v>
      </c>
      <c r="Y664" s="642" t="str">
        <f t="shared" si="31"/>
        <v/>
      </c>
      <c r="Z664" s="642" t="str">
        <f t="shared" si="32"/>
        <v/>
      </c>
    </row>
    <row r="665" spans="1:26" s="127" customFormat="1" ht="25">
      <c r="A665" s="636">
        <v>50126</v>
      </c>
      <c r="B665" s="637" t="s">
        <v>33</v>
      </c>
      <c r="C665" s="636" t="s">
        <v>2725</v>
      </c>
      <c r="D665" s="637" t="s">
        <v>848</v>
      </c>
      <c r="E665" s="637" t="s">
        <v>131</v>
      </c>
      <c r="F665" s="636">
        <v>7601</v>
      </c>
      <c r="G665" s="637" t="s">
        <v>89</v>
      </c>
      <c r="H665" s="637" t="s">
        <v>1163</v>
      </c>
      <c r="I665" s="637" t="s">
        <v>58</v>
      </c>
      <c r="J665" s="636">
        <v>22</v>
      </c>
      <c r="K665" s="636">
        <v>1</v>
      </c>
      <c r="L665" s="637" t="s">
        <v>34</v>
      </c>
      <c r="M665" s="637" t="s">
        <v>35</v>
      </c>
      <c r="N665" s="637" t="s">
        <v>36</v>
      </c>
      <c r="O665" s="637" t="s">
        <v>37</v>
      </c>
      <c r="P665" s="637" t="s">
        <v>1156</v>
      </c>
      <c r="Q665" s="638">
        <v>0</v>
      </c>
      <c r="R665" s="638">
        <v>0</v>
      </c>
      <c r="S665" s="638">
        <v>7616</v>
      </c>
      <c r="T665" s="638">
        <v>7616</v>
      </c>
      <c r="U665" s="638">
        <v>2232</v>
      </c>
      <c r="V665" s="636">
        <v>2022</v>
      </c>
      <c r="W665" s="640"/>
      <c r="X665" s="641">
        <f t="shared" si="30"/>
        <v>3.4121863799283152</v>
      </c>
      <c r="Y665" s="642" t="str">
        <f t="shared" si="31"/>
        <v/>
      </c>
      <c r="Z665" s="642" t="str">
        <f t="shared" si="32"/>
        <v/>
      </c>
    </row>
    <row r="666" spans="1:26" s="127" customFormat="1" ht="37.5" hidden="1">
      <c r="A666" s="636">
        <v>50136</v>
      </c>
      <c r="B666" s="637" t="s">
        <v>54</v>
      </c>
      <c r="C666" s="636" t="s">
        <v>2725</v>
      </c>
      <c r="D666" s="637" t="s">
        <v>849</v>
      </c>
      <c r="E666" s="637" t="s">
        <v>850</v>
      </c>
      <c r="F666" s="636">
        <v>17460</v>
      </c>
      <c r="G666" s="637" t="s">
        <v>57</v>
      </c>
      <c r="H666" s="637" t="s">
        <v>1162</v>
      </c>
      <c r="I666" s="637" t="s">
        <v>58</v>
      </c>
      <c r="J666" s="636">
        <v>622</v>
      </c>
      <c r="K666" s="636">
        <v>5</v>
      </c>
      <c r="L666" s="637" t="s">
        <v>407</v>
      </c>
      <c r="M666" s="637" t="s">
        <v>51</v>
      </c>
      <c r="N666" s="637" t="s">
        <v>39</v>
      </c>
      <c r="O666" s="637" t="s">
        <v>39</v>
      </c>
      <c r="P666" s="637" t="s">
        <v>1020</v>
      </c>
      <c r="Q666" s="638">
        <v>78489</v>
      </c>
      <c r="R666" s="638">
        <v>23747</v>
      </c>
      <c r="S666" s="638">
        <v>86337</v>
      </c>
      <c r="T666" s="638">
        <v>26121</v>
      </c>
      <c r="U666" s="638">
        <v>6288</v>
      </c>
      <c r="V666" s="636">
        <v>2022</v>
      </c>
      <c r="W666" s="640"/>
      <c r="X666" s="641" t="str">
        <f t="shared" si="30"/>
        <v/>
      </c>
      <c r="Y666" s="642" t="str">
        <f t="shared" si="31"/>
        <v/>
      </c>
      <c r="Z666" s="642" t="str">
        <f t="shared" si="32"/>
        <v/>
      </c>
    </row>
    <row r="667" spans="1:26" s="127" customFormat="1" ht="25">
      <c r="A667" s="636">
        <v>50166</v>
      </c>
      <c r="B667" s="637" t="s">
        <v>33</v>
      </c>
      <c r="C667" s="636" t="s">
        <v>2725</v>
      </c>
      <c r="D667" s="637" t="s">
        <v>2735</v>
      </c>
      <c r="E667" s="637" t="s">
        <v>3025</v>
      </c>
      <c r="F667" s="636">
        <v>57280</v>
      </c>
      <c r="G667" s="637" t="s">
        <v>81</v>
      </c>
      <c r="H667" s="637" t="s">
        <v>1163</v>
      </c>
      <c r="I667" s="637" t="s">
        <v>58</v>
      </c>
      <c r="J667" s="636">
        <v>22</v>
      </c>
      <c r="K667" s="636">
        <v>2</v>
      </c>
      <c r="L667" s="637" t="s">
        <v>52</v>
      </c>
      <c r="M667" s="637" t="s">
        <v>35</v>
      </c>
      <c r="N667" s="637" t="s">
        <v>36</v>
      </c>
      <c r="O667" s="637" t="s">
        <v>37</v>
      </c>
      <c r="P667" s="637" t="s">
        <v>1156</v>
      </c>
      <c r="Q667" s="638">
        <v>0</v>
      </c>
      <c r="R667" s="638">
        <v>0</v>
      </c>
      <c r="S667" s="638">
        <v>19418</v>
      </c>
      <c r="T667" s="638">
        <v>19418</v>
      </c>
      <c r="U667" s="638">
        <v>5691</v>
      </c>
      <c r="V667" s="636">
        <v>2022</v>
      </c>
      <c r="W667" s="640"/>
      <c r="X667" s="641">
        <f t="shared" si="30"/>
        <v>3.4120541205412054</v>
      </c>
      <c r="Y667" s="642" t="str">
        <f t="shared" si="31"/>
        <v/>
      </c>
      <c r="Z667" s="642" t="str">
        <f t="shared" si="32"/>
        <v/>
      </c>
    </row>
    <row r="668" spans="1:26" s="127" customFormat="1" ht="25">
      <c r="A668" s="636">
        <v>50176</v>
      </c>
      <c r="B668" s="637" t="s">
        <v>33</v>
      </c>
      <c r="C668" s="636" t="s">
        <v>2725</v>
      </c>
      <c r="D668" s="637" t="s">
        <v>851</v>
      </c>
      <c r="E668" s="637" t="s">
        <v>1037</v>
      </c>
      <c r="F668" s="636">
        <v>56842</v>
      </c>
      <c r="G668" s="637" t="s">
        <v>57</v>
      </c>
      <c r="H668" s="637" t="s">
        <v>1162</v>
      </c>
      <c r="I668" s="637" t="s">
        <v>58</v>
      </c>
      <c r="J668" s="636">
        <v>22</v>
      </c>
      <c r="K668" s="636">
        <v>2</v>
      </c>
      <c r="L668" s="637" t="s">
        <v>52</v>
      </c>
      <c r="M668" s="637" t="s">
        <v>35</v>
      </c>
      <c r="N668" s="637" t="s">
        <v>36</v>
      </c>
      <c r="O668" s="637" t="s">
        <v>37</v>
      </c>
      <c r="P668" s="637" t="s">
        <v>1156</v>
      </c>
      <c r="Q668" s="638">
        <v>0</v>
      </c>
      <c r="R668" s="638">
        <v>0</v>
      </c>
      <c r="S668" s="638">
        <v>38702</v>
      </c>
      <c r="T668" s="638">
        <v>38702</v>
      </c>
      <c r="U668" s="638">
        <v>11343</v>
      </c>
      <c r="V668" s="636">
        <v>2022</v>
      </c>
      <c r="W668" s="640"/>
      <c r="X668" s="641">
        <f t="shared" si="30"/>
        <v>3.4119721414087985</v>
      </c>
      <c r="Y668" s="642" t="str">
        <f t="shared" si="31"/>
        <v/>
      </c>
      <c r="Z668" s="642" t="str">
        <f t="shared" si="32"/>
        <v/>
      </c>
    </row>
    <row r="669" spans="1:26" s="127" customFormat="1" ht="25">
      <c r="A669" s="636">
        <v>50177</v>
      </c>
      <c r="B669" s="637" t="s">
        <v>33</v>
      </c>
      <c r="C669" s="636" t="s">
        <v>2725</v>
      </c>
      <c r="D669" s="637" t="s">
        <v>1038</v>
      </c>
      <c r="E669" s="637" t="s">
        <v>1039</v>
      </c>
      <c r="F669" s="636">
        <v>56844</v>
      </c>
      <c r="G669" s="637" t="s">
        <v>130</v>
      </c>
      <c r="H669" s="637" t="s">
        <v>1163</v>
      </c>
      <c r="I669" s="637" t="s">
        <v>58</v>
      </c>
      <c r="J669" s="636">
        <v>22</v>
      </c>
      <c r="K669" s="636">
        <v>2</v>
      </c>
      <c r="L669" s="637" t="s">
        <v>52</v>
      </c>
      <c r="M669" s="637" t="s">
        <v>35</v>
      </c>
      <c r="N669" s="637" t="s">
        <v>36</v>
      </c>
      <c r="O669" s="637" t="s">
        <v>37</v>
      </c>
      <c r="P669" s="637" t="s">
        <v>1156</v>
      </c>
      <c r="Q669" s="638">
        <v>0</v>
      </c>
      <c r="R669" s="638">
        <v>0</v>
      </c>
      <c r="S669" s="638">
        <v>10608</v>
      </c>
      <c r="T669" s="638">
        <v>10608</v>
      </c>
      <c r="U669" s="638">
        <v>3109</v>
      </c>
      <c r="V669" s="636">
        <v>2022</v>
      </c>
      <c r="W669" s="640"/>
      <c r="X669" s="641">
        <f t="shared" si="30"/>
        <v>3.4120295915085235</v>
      </c>
      <c r="Y669" s="642" t="str">
        <f t="shared" si="31"/>
        <v/>
      </c>
      <c r="Z669" s="642" t="str">
        <f t="shared" si="32"/>
        <v/>
      </c>
    </row>
    <row r="670" spans="1:26" s="127" customFormat="1" ht="37.5" hidden="1">
      <c r="A670" s="636">
        <v>50203</v>
      </c>
      <c r="B670" s="637" t="s">
        <v>54</v>
      </c>
      <c r="C670" s="636" t="s">
        <v>2725</v>
      </c>
      <c r="D670" s="637" t="s">
        <v>852</v>
      </c>
      <c r="E670" s="637" t="s">
        <v>853</v>
      </c>
      <c r="F670" s="636">
        <v>19351</v>
      </c>
      <c r="G670" s="637" t="s">
        <v>57</v>
      </c>
      <c r="H670" s="637" t="s">
        <v>1162</v>
      </c>
      <c r="I670" s="637" t="s">
        <v>58</v>
      </c>
      <c r="J670" s="636">
        <v>322</v>
      </c>
      <c r="K670" s="636">
        <v>7</v>
      </c>
      <c r="L670" s="637" t="s">
        <v>403</v>
      </c>
      <c r="M670" s="637" t="s">
        <v>50</v>
      </c>
      <c r="N670" s="637" t="s">
        <v>39</v>
      </c>
      <c r="O670" s="637" t="s">
        <v>39</v>
      </c>
      <c r="P670" s="637" t="s">
        <v>1020</v>
      </c>
      <c r="Q670" s="638">
        <v>399866</v>
      </c>
      <c r="R670" s="638">
        <v>138138</v>
      </c>
      <c r="S670" s="638">
        <v>429856</v>
      </c>
      <c r="T670" s="638">
        <v>148498</v>
      </c>
      <c r="U670" s="638">
        <v>27296.92</v>
      </c>
      <c r="V670" s="636">
        <v>2022</v>
      </c>
      <c r="W670" s="640"/>
      <c r="X670" s="641" t="str">
        <f t="shared" si="30"/>
        <v/>
      </c>
      <c r="Y670" s="642">
        <f t="shared" si="31"/>
        <v>7.2904711376744133</v>
      </c>
      <c r="Z670" s="642" t="str">
        <f t="shared" si="32"/>
        <v/>
      </c>
    </row>
    <row r="671" spans="1:26" s="127" customFormat="1" ht="25">
      <c r="A671" s="636">
        <v>50208</v>
      </c>
      <c r="B671" s="637" t="s">
        <v>33</v>
      </c>
      <c r="C671" s="636" t="s">
        <v>2725</v>
      </c>
      <c r="D671" s="637" t="s">
        <v>3604</v>
      </c>
      <c r="E671" s="637" t="s">
        <v>3604</v>
      </c>
      <c r="F671" s="636">
        <v>65548</v>
      </c>
      <c r="G671" s="637" t="s">
        <v>96</v>
      </c>
      <c r="H671" s="637" t="s">
        <v>1163</v>
      </c>
      <c r="I671" s="637" t="s">
        <v>58</v>
      </c>
      <c r="J671" s="636">
        <v>22</v>
      </c>
      <c r="K671" s="636">
        <v>2</v>
      </c>
      <c r="L671" s="637" t="s">
        <v>52</v>
      </c>
      <c r="M671" s="637" t="s">
        <v>42</v>
      </c>
      <c r="N671" s="637" t="s">
        <v>69</v>
      </c>
      <c r="O671" s="637" t="s">
        <v>70</v>
      </c>
      <c r="P671" s="637" t="s">
        <v>45</v>
      </c>
      <c r="Q671" s="638">
        <v>0</v>
      </c>
      <c r="R671" s="638">
        <v>0</v>
      </c>
      <c r="S671" s="638">
        <v>0</v>
      </c>
      <c r="T671" s="638">
        <v>0</v>
      </c>
      <c r="U671" s="638">
        <v>0</v>
      </c>
      <c r="V671" s="636">
        <v>2022</v>
      </c>
      <c r="W671" s="640"/>
      <c r="X671" s="641" t="str">
        <f t="shared" si="30"/>
        <v/>
      </c>
      <c r="Y671" s="642" t="str">
        <f t="shared" si="31"/>
        <v/>
      </c>
      <c r="Z671" s="642" t="str">
        <f t="shared" si="32"/>
        <v/>
      </c>
    </row>
    <row r="672" spans="1:26" s="127" customFormat="1" ht="25">
      <c r="A672" s="636">
        <v>50225</v>
      </c>
      <c r="B672" s="637" t="s">
        <v>33</v>
      </c>
      <c r="C672" s="636" t="s">
        <v>2725</v>
      </c>
      <c r="D672" s="637" t="s">
        <v>854</v>
      </c>
      <c r="E672" s="637" t="s">
        <v>855</v>
      </c>
      <c r="F672" s="636">
        <v>15824</v>
      </c>
      <c r="G672" s="637" t="s">
        <v>90</v>
      </c>
      <c r="H672" s="637" t="s">
        <v>1163</v>
      </c>
      <c r="I672" s="637" t="s">
        <v>58</v>
      </c>
      <c r="J672" s="636">
        <v>22</v>
      </c>
      <c r="K672" s="636">
        <v>2</v>
      </c>
      <c r="L672" s="637" t="s">
        <v>52</v>
      </c>
      <c r="M672" s="637" t="s">
        <v>42</v>
      </c>
      <c r="N672" s="637" t="s">
        <v>16</v>
      </c>
      <c r="O672" s="637" t="s">
        <v>64</v>
      </c>
      <c r="P672" s="637" t="s">
        <v>45</v>
      </c>
      <c r="Q672" s="638">
        <v>57122</v>
      </c>
      <c r="R672" s="638">
        <v>57122</v>
      </c>
      <c r="S672" s="638">
        <v>421396</v>
      </c>
      <c r="T672" s="638">
        <v>421396</v>
      </c>
      <c r="U672" s="638">
        <v>17450.768</v>
      </c>
      <c r="V672" s="636">
        <v>2022</v>
      </c>
      <c r="W672" s="640"/>
      <c r="X672" s="641">
        <f t="shared" si="30"/>
        <v>24.147705132519096</v>
      </c>
      <c r="Y672" s="642" t="str">
        <f t="shared" si="31"/>
        <v/>
      </c>
      <c r="Z672" s="642" t="str">
        <f t="shared" si="32"/>
        <v/>
      </c>
    </row>
    <row r="673" spans="1:26" s="127" customFormat="1" ht="25">
      <c r="A673" s="636">
        <v>50225</v>
      </c>
      <c r="B673" s="637" t="s">
        <v>33</v>
      </c>
      <c r="C673" s="636" t="s">
        <v>2725</v>
      </c>
      <c r="D673" s="637" t="s">
        <v>854</v>
      </c>
      <c r="E673" s="637" t="s">
        <v>855</v>
      </c>
      <c r="F673" s="636">
        <v>15824</v>
      </c>
      <c r="G673" s="637" t="s">
        <v>90</v>
      </c>
      <c r="H673" s="637" t="s">
        <v>1163</v>
      </c>
      <c r="I673" s="637" t="s">
        <v>58</v>
      </c>
      <c r="J673" s="636">
        <v>22</v>
      </c>
      <c r="K673" s="636">
        <v>2</v>
      </c>
      <c r="L673" s="637" t="s">
        <v>52</v>
      </c>
      <c r="M673" s="637" t="s">
        <v>42</v>
      </c>
      <c r="N673" s="637" t="s">
        <v>17</v>
      </c>
      <c r="O673" s="637" t="s">
        <v>82</v>
      </c>
      <c r="P673" s="637" t="s">
        <v>45</v>
      </c>
      <c r="Q673" s="638">
        <v>36522</v>
      </c>
      <c r="R673" s="638">
        <v>36522</v>
      </c>
      <c r="S673" s="638">
        <v>515047</v>
      </c>
      <c r="T673" s="638">
        <v>515047</v>
      </c>
      <c r="U673" s="638">
        <v>21329.087</v>
      </c>
      <c r="V673" s="636">
        <v>2022</v>
      </c>
      <c r="W673" s="640"/>
      <c r="X673" s="641">
        <f t="shared" si="30"/>
        <v>24.147634636212981</v>
      </c>
      <c r="Y673" s="642" t="str">
        <f t="shared" si="31"/>
        <v/>
      </c>
      <c r="Z673" s="642" t="str">
        <f t="shared" si="32"/>
        <v/>
      </c>
    </row>
    <row r="674" spans="1:26" s="127" customFormat="1" ht="25">
      <c r="A674" s="636">
        <v>50225</v>
      </c>
      <c r="B674" s="637" t="s">
        <v>33</v>
      </c>
      <c r="C674" s="636" t="s">
        <v>2725</v>
      </c>
      <c r="D674" s="637" t="s">
        <v>854</v>
      </c>
      <c r="E674" s="637" t="s">
        <v>855</v>
      </c>
      <c r="F674" s="636">
        <v>15824</v>
      </c>
      <c r="G674" s="637" t="s">
        <v>90</v>
      </c>
      <c r="H674" s="637" t="s">
        <v>1163</v>
      </c>
      <c r="I674" s="637" t="s">
        <v>58</v>
      </c>
      <c r="J674" s="636">
        <v>22</v>
      </c>
      <c r="K674" s="636">
        <v>2</v>
      </c>
      <c r="L674" s="637" t="s">
        <v>52</v>
      </c>
      <c r="M674" s="637" t="s">
        <v>42</v>
      </c>
      <c r="N674" s="637" t="s">
        <v>39</v>
      </c>
      <c r="O674" s="637" t="s">
        <v>39</v>
      </c>
      <c r="P674" s="637" t="s">
        <v>1020</v>
      </c>
      <c r="Q674" s="638">
        <v>15150</v>
      </c>
      <c r="R674" s="638">
        <v>15150</v>
      </c>
      <c r="S674" s="638">
        <v>15150</v>
      </c>
      <c r="T674" s="638">
        <v>15150</v>
      </c>
      <c r="U674" s="638">
        <v>474.14499999999998</v>
      </c>
      <c r="V674" s="636">
        <v>2022</v>
      </c>
      <c r="W674" s="640"/>
      <c r="X674" s="641">
        <f t="shared" si="30"/>
        <v>31.952250893713948</v>
      </c>
      <c r="Y674" s="642" t="str">
        <f t="shared" si="31"/>
        <v/>
      </c>
      <c r="Z674" s="642" t="str">
        <f t="shared" si="32"/>
        <v/>
      </c>
    </row>
    <row r="675" spans="1:26" s="127" customFormat="1" ht="37.5" hidden="1">
      <c r="A675" s="636">
        <v>50230</v>
      </c>
      <c r="B675" s="637" t="s">
        <v>54</v>
      </c>
      <c r="C675" s="636" t="s">
        <v>2725</v>
      </c>
      <c r="D675" s="637" t="s">
        <v>856</v>
      </c>
      <c r="E675" s="637" t="s">
        <v>857</v>
      </c>
      <c r="F675" s="636">
        <v>16191</v>
      </c>
      <c r="G675" s="637" t="s">
        <v>90</v>
      </c>
      <c r="H675" s="637" t="s">
        <v>1163</v>
      </c>
      <c r="I675" s="637" t="s">
        <v>58</v>
      </c>
      <c r="J675" s="636">
        <v>321</v>
      </c>
      <c r="K675" s="636">
        <v>7</v>
      </c>
      <c r="L675" s="637" t="s">
        <v>403</v>
      </c>
      <c r="M675" s="637" t="s">
        <v>51</v>
      </c>
      <c r="N675" s="637" t="s">
        <v>46</v>
      </c>
      <c r="O675" s="637" t="s">
        <v>46</v>
      </c>
      <c r="P675" s="637" t="s">
        <v>47</v>
      </c>
      <c r="Q675" s="638">
        <v>149</v>
      </c>
      <c r="R675" s="638">
        <v>129</v>
      </c>
      <c r="S675" s="638">
        <v>908</v>
      </c>
      <c r="T675" s="638">
        <v>795</v>
      </c>
      <c r="U675" s="638">
        <v>117</v>
      </c>
      <c r="V675" s="636">
        <v>2022</v>
      </c>
      <c r="W675" s="640"/>
      <c r="X675" s="641" t="str">
        <f t="shared" si="30"/>
        <v/>
      </c>
      <c r="Y675" s="642" t="str">
        <f t="shared" si="31"/>
        <v/>
      </c>
      <c r="Z675" s="642" t="str">
        <f t="shared" si="32"/>
        <v/>
      </c>
    </row>
    <row r="676" spans="1:26" s="127" customFormat="1" ht="37.5" hidden="1">
      <c r="A676" s="636">
        <v>50230</v>
      </c>
      <c r="B676" s="637" t="s">
        <v>54</v>
      </c>
      <c r="C676" s="636" t="s">
        <v>2725</v>
      </c>
      <c r="D676" s="637" t="s">
        <v>856</v>
      </c>
      <c r="E676" s="637" t="s">
        <v>857</v>
      </c>
      <c r="F676" s="636">
        <v>16191</v>
      </c>
      <c r="G676" s="637" t="s">
        <v>90</v>
      </c>
      <c r="H676" s="637" t="s">
        <v>1163</v>
      </c>
      <c r="I676" s="637" t="s">
        <v>58</v>
      </c>
      <c r="J676" s="636">
        <v>321</v>
      </c>
      <c r="K676" s="636">
        <v>7</v>
      </c>
      <c r="L676" s="637" t="s">
        <v>403</v>
      </c>
      <c r="M676" s="637" t="s">
        <v>42</v>
      </c>
      <c r="N676" s="637" t="s">
        <v>413</v>
      </c>
      <c r="O676" s="637" t="s">
        <v>49</v>
      </c>
      <c r="P676" s="637" t="s">
        <v>45</v>
      </c>
      <c r="Q676" s="638">
        <v>0</v>
      </c>
      <c r="R676" s="638">
        <v>0</v>
      </c>
      <c r="S676" s="638">
        <v>0</v>
      </c>
      <c r="T676" s="638">
        <v>0</v>
      </c>
      <c r="U676" s="638">
        <v>0</v>
      </c>
      <c r="V676" s="636">
        <v>2022</v>
      </c>
      <c r="W676" s="640"/>
      <c r="X676" s="641" t="str">
        <f t="shared" si="30"/>
        <v/>
      </c>
      <c r="Y676" s="642" t="str">
        <f t="shared" si="31"/>
        <v/>
      </c>
      <c r="Z676" s="642" t="str">
        <f t="shared" si="32"/>
        <v/>
      </c>
    </row>
    <row r="677" spans="1:26" s="127" customFormat="1" ht="37.5" hidden="1">
      <c r="A677" s="636">
        <v>50230</v>
      </c>
      <c r="B677" s="637" t="s">
        <v>54</v>
      </c>
      <c r="C677" s="636" t="s">
        <v>2725</v>
      </c>
      <c r="D677" s="637" t="s">
        <v>856</v>
      </c>
      <c r="E677" s="637" t="s">
        <v>857</v>
      </c>
      <c r="F677" s="636">
        <v>16191</v>
      </c>
      <c r="G677" s="637" t="s">
        <v>90</v>
      </c>
      <c r="H677" s="637" t="s">
        <v>1163</v>
      </c>
      <c r="I677" s="637" t="s">
        <v>58</v>
      </c>
      <c r="J677" s="636">
        <v>321</v>
      </c>
      <c r="K677" s="636">
        <v>7</v>
      </c>
      <c r="L677" s="637" t="s">
        <v>403</v>
      </c>
      <c r="M677" s="637" t="s">
        <v>42</v>
      </c>
      <c r="N677" s="637" t="s">
        <v>69</v>
      </c>
      <c r="O677" s="637" t="s">
        <v>70</v>
      </c>
      <c r="P677" s="637" t="s">
        <v>45</v>
      </c>
      <c r="Q677" s="638">
        <v>0</v>
      </c>
      <c r="R677" s="638">
        <v>0</v>
      </c>
      <c r="S677" s="638">
        <v>0</v>
      </c>
      <c r="T677" s="638">
        <v>0</v>
      </c>
      <c r="U677" s="638">
        <v>0</v>
      </c>
      <c r="V677" s="636">
        <v>2022</v>
      </c>
      <c r="W677" s="640"/>
      <c r="X677" s="641" t="str">
        <f t="shared" si="30"/>
        <v/>
      </c>
      <c r="Y677" s="642" t="str">
        <f t="shared" si="31"/>
        <v/>
      </c>
      <c r="Z677" s="642" t="str">
        <f t="shared" si="32"/>
        <v/>
      </c>
    </row>
    <row r="678" spans="1:26" s="127" customFormat="1" ht="25">
      <c r="A678" s="636">
        <v>50243</v>
      </c>
      <c r="B678" s="637" t="s">
        <v>33</v>
      </c>
      <c r="C678" s="636" t="s">
        <v>2725</v>
      </c>
      <c r="D678" s="637" t="s">
        <v>1657</v>
      </c>
      <c r="E678" s="637" t="s">
        <v>1657</v>
      </c>
      <c r="F678" s="636">
        <v>9303</v>
      </c>
      <c r="G678" s="637" t="s">
        <v>90</v>
      </c>
      <c r="H678" s="637" t="s">
        <v>1163</v>
      </c>
      <c r="I678" s="637" t="s">
        <v>58</v>
      </c>
      <c r="J678" s="636">
        <v>22</v>
      </c>
      <c r="K678" s="636">
        <v>2</v>
      </c>
      <c r="L678" s="637" t="s">
        <v>52</v>
      </c>
      <c r="M678" s="637" t="s">
        <v>50</v>
      </c>
      <c r="N678" s="637" t="s">
        <v>43</v>
      </c>
      <c r="O678" s="637" t="s">
        <v>44</v>
      </c>
      <c r="P678" s="637" t="s">
        <v>45</v>
      </c>
      <c r="Q678" s="638">
        <v>0</v>
      </c>
      <c r="R678" s="638">
        <v>0</v>
      </c>
      <c r="S678" s="638">
        <v>0</v>
      </c>
      <c r="T678" s="638">
        <v>0</v>
      </c>
      <c r="U678" s="638">
        <v>0</v>
      </c>
      <c r="V678" s="636">
        <v>2022</v>
      </c>
      <c r="W678" s="640" t="s">
        <v>3934</v>
      </c>
      <c r="X678" s="641" t="str">
        <f t="shared" si="30"/>
        <v/>
      </c>
      <c r="Y678" s="642" t="str">
        <f t="shared" si="31"/>
        <v/>
      </c>
      <c r="Z678" s="642" t="str">
        <f t="shared" si="32"/>
        <v/>
      </c>
    </row>
    <row r="679" spans="1:26" s="127" customFormat="1" ht="25">
      <c r="A679" s="636">
        <v>50243</v>
      </c>
      <c r="B679" s="637" t="s">
        <v>33</v>
      </c>
      <c r="C679" s="636" t="s">
        <v>2725</v>
      </c>
      <c r="D679" s="637" t="s">
        <v>1657</v>
      </c>
      <c r="E679" s="637" t="s">
        <v>1657</v>
      </c>
      <c r="F679" s="636">
        <v>9303</v>
      </c>
      <c r="G679" s="637" t="s">
        <v>90</v>
      </c>
      <c r="H679" s="637" t="s">
        <v>1163</v>
      </c>
      <c r="I679" s="637" t="s">
        <v>58</v>
      </c>
      <c r="J679" s="636">
        <v>22</v>
      </c>
      <c r="K679" s="636">
        <v>2</v>
      </c>
      <c r="L679" s="637" t="s">
        <v>52</v>
      </c>
      <c r="M679" s="637" t="s">
        <v>50</v>
      </c>
      <c r="N679" s="637" t="s">
        <v>46</v>
      </c>
      <c r="O679" s="637" t="s">
        <v>46</v>
      </c>
      <c r="P679" s="637" t="s">
        <v>47</v>
      </c>
      <c r="Q679" s="638">
        <v>4524</v>
      </c>
      <c r="R679" s="638">
        <v>4524</v>
      </c>
      <c r="S679" s="638">
        <v>26330</v>
      </c>
      <c r="T679" s="638">
        <v>26330</v>
      </c>
      <c r="U679" s="638">
        <v>2097.9940000000001</v>
      </c>
      <c r="V679" s="636">
        <v>2022</v>
      </c>
      <c r="W679" s="640" t="s">
        <v>3934</v>
      </c>
      <c r="X679" s="641">
        <f t="shared" si="30"/>
        <v>12.550083556006356</v>
      </c>
      <c r="Y679" s="642" t="str">
        <f t="shared" si="31"/>
        <v/>
      </c>
      <c r="Z679" s="642" t="str">
        <f t="shared" si="32"/>
        <v/>
      </c>
    </row>
    <row r="680" spans="1:26" s="127" customFormat="1" ht="25">
      <c r="A680" s="636">
        <v>50243</v>
      </c>
      <c r="B680" s="637" t="s">
        <v>33</v>
      </c>
      <c r="C680" s="636" t="s">
        <v>2725</v>
      </c>
      <c r="D680" s="637" t="s">
        <v>1657</v>
      </c>
      <c r="E680" s="637" t="s">
        <v>1657</v>
      </c>
      <c r="F680" s="636">
        <v>9303</v>
      </c>
      <c r="G680" s="637" t="s">
        <v>90</v>
      </c>
      <c r="H680" s="637" t="s">
        <v>1163</v>
      </c>
      <c r="I680" s="637" t="s">
        <v>58</v>
      </c>
      <c r="J680" s="636">
        <v>22</v>
      </c>
      <c r="K680" s="636">
        <v>2</v>
      </c>
      <c r="L680" s="637" t="s">
        <v>52</v>
      </c>
      <c r="M680" s="637" t="s">
        <v>50</v>
      </c>
      <c r="N680" s="637" t="s">
        <v>39</v>
      </c>
      <c r="O680" s="637" t="s">
        <v>39</v>
      </c>
      <c r="P680" s="637" t="s">
        <v>1020</v>
      </c>
      <c r="Q680" s="638">
        <v>81463</v>
      </c>
      <c r="R680" s="638">
        <v>81463</v>
      </c>
      <c r="S680" s="638">
        <v>84509</v>
      </c>
      <c r="T680" s="638">
        <v>84509</v>
      </c>
      <c r="U680" s="638">
        <v>6915.0060000000003</v>
      </c>
      <c r="V680" s="636">
        <v>2022</v>
      </c>
      <c r="W680" s="640" t="s">
        <v>3934</v>
      </c>
      <c r="X680" s="641">
        <f t="shared" si="30"/>
        <v>12.221102917336585</v>
      </c>
      <c r="Y680" s="642" t="str">
        <f t="shared" si="31"/>
        <v/>
      </c>
      <c r="Z680" s="642" t="str">
        <f t="shared" si="32"/>
        <v/>
      </c>
    </row>
    <row r="681" spans="1:26" s="127" customFormat="1" ht="25">
      <c r="A681" s="636">
        <v>50243</v>
      </c>
      <c r="B681" s="637" t="s">
        <v>33</v>
      </c>
      <c r="C681" s="636" t="s">
        <v>2725</v>
      </c>
      <c r="D681" s="637" t="s">
        <v>1657</v>
      </c>
      <c r="E681" s="637" t="s">
        <v>1657</v>
      </c>
      <c r="F681" s="636">
        <v>9303</v>
      </c>
      <c r="G681" s="637" t="s">
        <v>90</v>
      </c>
      <c r="H681" s="637" t="s">
        <v>1163</v>
      </c>
      <c r="I681" s="637" t="s">
        <v>58</v>
      </c>
      <c r="J681" s="636">
        <v>22</v>
      </c>
      <c r="K681" s="636">
        <v>2</v>
      </c>
      <c r="L681" s="637" t="s">
        <v>52</v>
      </c>
      <c r="M681" s="637" t="s">
        <v>50</v>
      </c>
      <c r="N681" s="637" t="s">
        <v>61</v>
      </c>
      <c r="O681" s="637" t="s">
        <v>61</v>
      </c>
      <c r="P681" s="637" t="s">
        <v>47</v>
      </c>
      <c r="Q681" s="638">
        <v>0</v>
      </c>
      <c r="R681" s="638">
        <v>0</v>
      </c>
      <c r="S681" s="638">
        <v>0</v>
      </c>
      <c r="T681" s="638">
        <v>0</v>
      </c>
      <c r="U681" s="638">
        <v>0</v>
      </c>
      <c r="V681" s="636">
        <v>2022</v>
      </c>
      <c r="W681" s="640" t="s">
        <v>3934</v>
      </c>
      <c r="X681" s="641" t="str">
        <f t="shared" si="30"/>
        <v/>
      </c>
      <c r="Y681" s="642" t="str">
        <f t="shared" si="31"/>
        <v/>
      </c>
      <c r="Z681" s="642" t="str">
        <f t="shared" si="32"/>
        <v/>
      </c>
    </row>
    <row r="682" spans="1:26" s="127" customFormat="1" ht="25">
      <c r="A682" s="636">
        <v>50268</v>
      </c>
      <c r="B682" s="637" t="s">
        <v>33</v>
      </c>
      <c r="C682" s="636" t="s">
        <v>2725</v>
      </c>
      <c r="D682" s="637" t="s">
        <v>858</v>
      </c>
      <c r="E682" s="637" t="s">
        <v>118</v>
      </c>
      <c r="F682" s="636">
        <v>5914</v>
      </c>
      <c r="G682" s="637" t="s">
        <v>57</v>
      </c>
      <c r="H682" s="637" t="s">
        <v>1162</v>
      </c>
      <c r="I682" s="637" t="s">
        <v>58</v>
      </c>
      <c r="J682" s="636">
        <v>22</v>
      </c>
      <c r="K682" s="636">
        <v>2</v>
      </c>
      <c r="L682" s="637" t="s">
        <v>52</v>
      </c>
      <c r="M682" s="637" t="s">
        <v>35</v>
      </c>
      <c r="N682" s="637" t="s">
        <v>36</v>
      </c>
      <c r="O682" s="637" t="s">
        <v>37</v>
      </c>
      <c r="P682" s="637" t="s">
        <v>1156</v>
      </c>
      <c r="Q682" s="638">
        <v>0</v>
      </c>
      <c r="R682" s="638">
        <v>0</v>
      </c>
      <c r="S682" s="638">
        <v>49767</v>
      </c>
      <c r="T682" s="638">
        <v>49767</v>
      </c>
      <c r="U682" s="638">
        <v>14586</v>
      </c>
      <c r="V682" s="636">
        <v>2022</v>
      </c>
      <c r="W682" s="640"/>
      <c r="X682" s="641">
        <f t="shared" si="30"/>
        <v>3.4119703825586178</v>
      </c>
      <c r="Y682" s="642" t="str">
        <f t="shared" si="31"/>
        <v/>
      </c>
      <c r="Z682" s="642" t="str">
        <f t="shared" si="32"/>
        <v/>
      </c>
    </row>
    <row r="683" spans="1:26" s="127" customFormat="1" ht="25">
      <c r="A683" s="636">
        <v>50269</v>
      </c>
      <c r="B683" s="637" t="s">
        <v>33</v>
      </c>
      <c r="C683" s="636" t="s">
        <v>2725</v>
      </c>
      <c r="D683" s="637" t="s">
        <v>859</v>
      </c>
      <c r="E683" s="637" t="s">
        <v>118</v>
      </c>
      <c r="F683" s="636">
        <v>5914</v>
      </c>
      <c r="G683" s="637" t="s">
        <v>57</v>
      </c>
      <c r="H683" s="637" t="s">
        <v>1162</v>
      </c>
      <c r="I683" s="637" t="s">
        <v>58</v>
      </c>
      <c r="J683" s="636">
        <v>22</v>
      </c>
      <c r="K683" s="636">
        <v>2</v>
      </c>
      <c r="L683" s="637" t="s">
        <v>52</v>
      </c>
      <c r="M683" s="637" t="s">
        <v>35</v>
      </c>
      <c r="N683" s="637" t="s">
        <v>36</v>
      </c>
      <c r="O683" s="637" t="s">
        <v>37</v>
      </c>
      <c r="P683" s="637" t="s">
        <v>1156</v>
      </c>
      <c r="Q683" s="638">
        <v>0</v>
      </c>
      <c r="R683" s="638">
        <v>0</v>
      </c>
      <c r="S683" s="638">
        <v>46664</v>
      </c>
      <c r="T683" s="638">
        <v>46664</v>
      </c>
      <c r="U683" s="638">
        <v>13677</v>
      </c>
      <c r="V683" s="636">
        <v>2022</v>
      </c>
      <c r="W683" s="640"/>
      <c r="X683" s="641">
        <f t="shared" si="30"/>
        <v>3.4118593258755574</v>
      </c>
      <c r="Y683" s="642" t="str">
        <f t="shared" si="31"/>
        <v/>
      </c>
      <c r="Z683" s="642" t="str">
        <f t="shared" si="32"/>
        <v/>
      </c>
    </row>
    <row r="684" spans="1:26" s="127" customFormat="1" ht="37.5" hidden="1">
      <c r="A684" s="636">
        <v>50273</v>
      </c>
      <c r="B684" s="637" t="s">
        <v>33</v>
      </c>
      <c r="C684" s="636" t="s">
        <v>2725</v>
      </c>
      <c r="D684" s="637" t="s">
        <v>860</v>
      </c>
      <c r="E684" s="637" t="s">
        <v>2736</v>
      </c>
      <c r="F684" s="636">
        <v>56125</v>
      </c>
      <c r="G684" s="637" t="s">
        <v>81</v>
      </c>
      <c r="H684" s="637" t="s">
        <v>1163</v>
      </c>
      <c r="I684" s="637" t="s">
        <v>58</v>
      </c>
      <c r="J684" s="636">
        <v>562212</v>
      </c>
      <c r="K684" s="636">
        <v>4</v>
      </c>
      <c r="L684" s="637" t="s">
        <v>406</v>
      </c>
      <c r="M684" s="637" t="s">
        <v>42</v>
      </c>
      <c r="N684" s="637" t="s">
        <v>46</v>
      </c>
      <c r="O684" s="637" t="s">
        <v>46</v>
      </c>
      <c r="P684" s="637" t="s">
        <v>47</v>
      </c>
      <c r="Q684" s="638">
        <v>0</v>
      </c>
      <c r="R684" s="638">
        <v>0</v>
      </c>
      <c r="S684" s="638">
        <v>0</v>
      </c>
      <c r="T684" s="638">
        <v>0</v>
      </c>
      <c r="U684" s="638">
        <v>0</v>
      </c>
      <c r="V684" s="636">
        <v>2022</v>
      </c>
      <c r="W684" s="640"/>
      <c r="X684" s="641" t="str">
        <f t="shared" si="30"/>
        <v/>
      </c>
      <c r="Y684" s="642" t="str">
        <f t="shared" si="31"/>
        <v/>
      </c>
      <c r="Z684" s="642" t="str">
        <f t="shared" si="32"/>
        <v/>
      </c>
    </row>
    <row r="685" spans="1:26" s="127" customFormat="1" ht="37.5" hidden="1">
      <c r="A685" s="636">
        <v>50273</v>
      </c>
      <c r="B685" s="637" t="s">
        <v>33</v>
      </c>
      <c r="C685" s="636" t="s">
        <v>2725</v>
      </c>
      <c r="D685" s="637" t="s">
        <v>860</v>
      </c>
      <c r="E685" s="637" t="s">
        <v>2736</v>
      </c>
      <c r="F685" s="636">
        <v>56125</v>
      </c>
      <c r="G685" s="637" t="s">
        <v>81</v>
      </c>
      <c r="H685" s="637" t="s">
        <v>1163</v>
      </c>
      <c r="I685" s="637" t="s">
        <v>58</v>
      </c>
      <c r="J685" s="636">
        <v>562212</v>
      </c>
      <c r="K685" s="636">
        <v>4</v>
      </c>
      <c r="L685" s="637" t="s">
        <v>406</v>
      </c>
      <c r="M685" s="637" t="s">
        <v>42</v>
      </c>
      <c r="N685" s="637" t="s">
        <v>16</v>
      </c>
      <c r="O685" s="637" t="s">
        <v>64</v>
      </c>
      <c r="P685" s="637" t="s">
        <v>45</v>
      </c>
      <c r="Q685" s="638">
        <v>15279</v>
      </c>
      <c r="R685" s="638">
        <v>15279</v>
      </c>
      <c r="S685" s="638">
        <v>101437</v>
      </c>
      <c r="T685" s="638">
        <v>101437</v>
      </c>
      <c r="U685" s="638">
        <v>2203.9450000000002</v>
      </c>
      <c r="V685" s="636">
        <v>2022</v>
      </c>
      <c r="W685" s="640"/>
      <c r="X685" s="641" t="str">
        <f t="shared" si="30"/>
        <v/>
      </c>
      <c r="Y685" s="642" t="str">
        <f t="shared" si="31"/>
        <v/>
      </c>
      <c r="Z685" s="642" t="str">
        <f t="shared" si="32"/>
        <v/>
      </c>
    </row>
    <row r="686" spans="1:26" s="127" customFormat="1" ht="37.5" hidden="1">
      <c r="A686" s="636">
        <v>50273</v>
      </c>
      <c r="B686" s="637" t="s">
        <v>33</v>
      </c>
      <c r="C686" s="636" t="s">
        <v>2725</v>
      </c>
      <c r="D686" s="637" t="s">
        <v>860</v>
      </c>
      <c r="E686" s="637" t="s">
        <v>2736</v>
      </c>
      <c r="F686" s="636">
        <v>56125</v>
      </c>
      <c r="G686" s="637" t="s">
        <v>81</v>
      </c>
      <c r="H686" s="637" t="s">
        <v>1163</v>
      </c>
      <c r="I686" s="637" t="s">
        <v>58</v>
      </c>
      <c r="J686" s="636">
        <v>562212</v>
      </c>
      <c r="K686" s="636">
        <v>4</v>
      </c>
      <c r="L686" s="637" t="s">
        <v>406</v>
      </c>
      <c r="M686" s="637" t="s">
        <v>42</v>
      </c>
      <c r="N686" s="637" t="s">
        <v>17</v>
      </c>
      <c r="O686" s="637" t="s">
        <v>82</v>
      </c>
      <c r="P686" s="637" t="s">
        <v>45</v>
      </c>
      <c r="Q686" s="638">
        <v>9769</v>
      </c>
      <c r="R686" s="638">
        <v>9769</v>
      </c>
      <c r="S686" s="638">
        <v>123988</v>
      </c>
      <c r="T686" s="638">
        <v>123988</v>
      </c>
      <c r="U686" s="638">
        <v>2693.9110000000001</v>
      </c>
      <c r="V686" s="636">
        <v>2022</v>
      </c>
      <c r="W686" s="640"/>
      <c r="X686" s="641" t="str">
        <f t="shared" si="30"/>
        <v/>
      </c>
      <c r="Y686" s="642" t="str">
        <f t="shared" si="31"/>
        <v/>
      </c>
      <c r="Z686" s="642" t="str">
        <f t="shared" si="32"/>
        <v/>
      </c>
    </row>
    <row r="687" spans="1:26" s="127" customFormat="1" ht="37.5" hidden="1">
      <c r="A687" s="636">
        <v>50273</v>
      </c>
      <c r="B687" s="637" t="s">
        <v>33</v>
      </c>
      <c r="C687" s="636" t="s">
        <v>2725</v>
      </c>
      <c r="D687" s="637" t="s">
        <v>860</v>
      </c>
      <c r="E687" s="637" t="s">
        <v>2736</v>
      </c>
      <c r="F687" s="636">
        <v>56125</v>
      </c>
      <c r="G687" s="637" t="s">
        <v>81</v>
      </c>
      <c r="H687" s="637" t="s">
        <v>1163</v>
      </c>
      <c r="I687" s="637" t="s">
        <v>58</v>
      </c>
      <c r="J687" s="636">
        <v>562212</v>
      </c>
      <c r="K687" s="636">
        <v>4</v>
      </c>
      <c r="L687" s="637" t="s">
        <v>406</v>
      </c>
      <c r="M687" s="637" t="s">
        <v>42</v>
      </c>
      <c r="N687" s="637" t="s">
        <v>39</v>
      </c>
      <c r="O687" s="637" t="s">
        <v>39</v>
      </c>
      <c r="P687" s="637" t="s">
        <v>1020</v>
      </c>
      <c r="Q687" s="638">
        <v>6610</v>
      </c>
      <c r="R687" s="638">
        <v>6610</v>
      </c>
      <c r="S687" s="638">
        <v>6610</v>
      </c>
      <c r="T687" s="638">
        <v>6610</v>
      </c>
      <c r="U687" s="638">
        <v>143.61699999999999</v>
      </c>
      <c r="V687" s="636">
        <v>2022</v>
      </c>
      <c r="W687" s="640"/>
      <c r="X687" s="641" t="str">
        <f t="shared" si="30"/>
        <v/>
      </c>
      <c r="Y687" s="642" t="str">
        <f t="shared" si="31"/>
        <v/>
      </c>
      <c r="Z687" s="642" t="str">
        <f t="shared" si="32"/>
        <v/>
      </c>
    </row>
    <row r="688" spans="1:26" s="127" customFormat="1" ht="37.5" hidden="1">
      <c r="A688" s="636">
        <v>50273</v>
      </c>
      <c r="B688" s="637" t="s">
        <v>33</v>
      </c>
      <c r="C688" s="636" t="s">
        <v>2725</v>
      </c>
      <c r="D688" s="637" t="s">
        <v>860</v>
      </c>
      <c r="E688" s="637" t="s">
        <v>2736</v>
      </c>
      <c r="F688" s="636">
        <v>56125</v>
      </c>
      <c r="G688" s="637" t="s">
        <v>81</v>
      </c>
      <c r="H688" s="637" t="s">
        <v>1163</v>
      </c>
      <c r="I688" s="637" t="s">
        <v>58</v>
      </c>
      <c r="J688" s="636">
        <v>562212</v>
      </c>
      <c r="K688" s="636">
        <v>4</v>
      </c>
      <c r="L688" s="637" t="s">
        <v>406</v>
      </c>
      <c r="M688" s="637" t="s">
        <v>42</v>
      </c>
      <c r="N688" s="637" t="s">
        <v>396</v>
      </c>
      <c r="O688" s="637" t="s">
        <v>82</v>
      </c>
      <c r="P688" s="637" t="s">
        <v>45</v>
      </c>
      <c r="Q688" s="638">
        <v>27</v>
      </c>
      <c r="R688" s="638">
        <v>27</v>
      </c>
      <c r="S688" s="638">
        <v>648</v>
      </c>
      <c r="T688" s="638">
        <v>648</v>
      </c>
      <c r="U688" s="638">
        <v>14.079000000000001</v>
      </c>
      <c r="V688" s="636">
        <v>2022</v>
      </c>
      <c r="W688" s="640"/>
      <c r="X688" s="641" t="str">
        <f t="shared" si="30"/>
        <v/>
      </c>
      <c r="Y688" s="642" t="str">
        <f t="shared" si="31"/>
        <v/>
      </c>
      <c r="Z688" s="642" t="str">
        <f t="shared" si="32"/>
        <v/>
      </c>
    </row>
    <row r="689" spans="1:26" s="127" customFormat="1" ht="37.5" hidden="1">
      <c r="A689" s="636">
        <v>50273</v>
      </c>
      <c r="B689" s="637" t="s">
        <v>33</v>
      </c>
      <c r="C689" s="636" t="s">
        <v>2725</v>
      </c>
      <c r="D689" s="637" t="s">
        <v>860</v>
      </c>
      <c r="E689" s="637" t="s">
        <v>2736</v>
      </c>
      <c r="F689" s="636">
        <v>56125</v>
      </c>
      <c r="G689" s="637" t="s">
        <v>81</v>
      </c>
      <c r="H689" s="637" t="s">
        <v>1163</v>
      </c>
      <c r="I689" s="637" t="s">
        <v>58</v>
      </c>
      <c r="J689" s="636">
        <v>562212</v>
      </c>
      <c r="K689" s="636">
        <v>4</v>
      </c>
      <c r="L689" s="637" t="s">
        <v>406</v>
      </c>
      <c r="M689" s="637" t="s">
        <v>42</v>
      </c>
      <c r="N689" s="637" t="s">
        <v>69</v>
      </c>
      <c r="O689" s="637" t="s">
        <v>70</v>
      </c>
      <c r="P689" s="637" t="s">
        <v>45</v>
      </c>
      <c r="Q689" s="638">
        <v>232</v>
      </c>
      <c r="R689" s="638">
        <v>232</v>
      </c>
      <c r="S689" s="638">
        <v>2552</v>
      </c>
      <c r="T689" s="638">
        <v>2552</v>
      </c>
      <c r="U689" s="638">
        <v>55.448</v>
      </c>
      <c r="V689" s="636">
        <v>2022</v>
      </c>
      <c r="W689" s="640"/>
      <c r="X689" s="641" t="str">
        <f t="shared" si="30"/>
        <v/>
      </c>
      <c r="Y689" s="642" t="str">
        <f t="shared" si="31"/>
        <v/>
      </c>
      <c r="Z689" s="642" t="str">
        <f t="shared" si="32"/>
        <v/>
      </c>
    </row>
    <row r="690" spans="1:26" s="127" customFormat="1" ht="25">
      <c r="A690" s="636">
        <v>50278</v>
      </c>
      <c r="B690" s="637" t="s">
        <v>33</v>
      </c>
      <c r="C690" s="636" t="s">
        <v>2725</v>
      </c>
      <c r="D690" s="637" t="s">
        <v>861</v>
      </c>
      <c r="E690" s="637" t="s">
        <v>3025</v>
      </c>
      <c r="F690" s="636">
        <v>57280</v>
      </c>
      <c r="G690" s="637" t="s">
        <v>90</v>
      </c>
      <c r="H690" s="637" t="s">
        <v>1163</v>
      </c>
      <c r="I690" s="637" t="s">
        <v>58</v>
      </c>
      <c r="J690" s="636">
        <v>22</v>
      </c>
      <c r="K690" s="636">
        <v>2</v>
      </c>
      <c r="L690" s="637" t="s">
        <v>52</v>
      </c>
      <c r="M690" s="637" t="s">
        <v>35</v>
      </c>
      <c r="N690" s="637" t="s">
        <v>36</v>
      </c>
      <c r="O690" s="637" t="s">
        <v>37</v>
      </c>
      <c r="P690" s="637" t="s">
        <v>1156</v>
      </c>
      <c r="Q690" s="638">
        <v>0</v>
      </c>
      <c r="R690" s="638">
        <v>0</v>
      </c>
      <c r="S690" s="638">
        <v>273826</v>
      </c>
      <c r="T690" s="638">
        <v>273826</v>
      </c>
      <c r="U690" s="638">
        <v>80254</v>
      </c>
      <c r="V690" s="636">
        <v>2022</v>
      </c>
      <c r="W690" s="640"/>
      <c r="X690" s="641">
        <f t="shared" si="30"/>
        <v>3.4119919256361055</v>
      </c>
      <c r="Y690" s="642" t="str">
        <f t="shared" si="31"/>
        <v/>
      </c>
      <c r="Z690" s="642" t="str">
        <f t="shared" si="32"/>
        <v/>
      </c>
    </row>
    <row r="691" spans="1:26" s="127" customFormat="1" ht="25">
      <c r="A691" s="636">
        <v>50280</v>
      </c>
      <c r="B691" s="637" t="s">
        <v>33</v>
      </c>
      <c r="C691" s="636" t="s">
        <v>2725</v>
      </c>
      <c r="D691" s="637" t="s">
        <v>862</v>
      </c>
      <c r="E691" s="637" t="s">
        <v>2737</v>
      </c>
      <c r="F691" s="636">
        <v>63070</v>
      </c>
      <c r="G691" s="637" t="s">
        <v>57</v>
      </c>
      <c r="H691" s="637" t="s">
        <v>1162</v>
      </c>
      <c r="I691" s="637" t="s">
        <v>58</v>
      </c>
      <c r="J691" s="636">
        <v>22</v>
      </c>
      <c r="K691" s="636">
        <v>2</v>
      </c>
      <c r="L691" s="637" t="s">
        <v>52</v>
      </c>
      <c r="M691" s="637" t="s">
        <v>35</v>
      </c>
      <c r="N691" s="637" t="s">
        <v>36</v>
      </c>
      <c r="O691" s="637" t="s">
        <v>37</v>
      </c>
      <c r="P691" s="637" t="s">
        <v>1156</v>
      </c>
      <c r="Q691" s="638">
        <v>0</v>
      </c>
      <c r="R691" s="638">
        <v>0</v>
      </c>
      <c r="S691" s="638">
        <v>23728</v>
      </c>
      <c r="T691" s="638">
        <v>23728</v>
      </c>
      <c r="U691" s="638">
        <v>6954</v>
      </c>
      <c r="V691" s="636">
        <v>2022</v>
      </c>
      <c r="W691" s="640"/>
      <c r="X691" s="641">
        <f t="shared" si="30"/>
        <v>3.4121368996261143</v>
      </c>
      <c r="Y691" s="642" t="str">
        <f t="shared" si="31"/>
        <v/>
      </c>
      <c r="Z691" s="642" t="str">
        <f t="shared" si="32"/>
        <v/>
      </c>
    </row>
    <row r="692" spans="1:26" s="127" customFormat="1" ht="25">
      <c r="A692" s="636">
        <v>50285</v>
      </c>
      <c r="B692" s="637" t="s">
        <v>33</v>
      </c>
      <c r="C692" s="636" t="s">
        <v>2725</v>
      </c>
      <c r="D692" s="637" t="s">
        <v>1658</v>
      </c>
      <c r="E692" s="637" t="s">
        <v>2087</v>
      </c>
      <c r="F692" s="636">
        <v>60832</v>
      </c>
      <c r="G692" s="637" t="s">
        <v>96</v>
      </c>
      <c r="H692" s="637" t="s">
        <v>1163</v>
      </c>
      <c r="I692" s="637" t="s">
        <v>58</v>
      </c>
      <c r="J692" s="636">
        <v>22</v>
      </c>
      <c r="K692" s="636">
        <v>2</v>
      </c>
      <c r="L692" s="637" t="s">
        <v>52</v>
      </c>
      <c r="M692" s="637" t="s">
        <v>35</v>
      </c>
      <c r="N692" s="637" t="s">
        <v>36</v>
      </c>
      <c r="O692" s="637" t="s">
        <v>37</v>
      </c>
      <c r="P692" s="637" t="s">
        <v>1156</v>
      </c>
      <c r="Q692" s="638">
        <v>0</v>
      </c>
      <c r="R692" s="638">
        <v>0</v>
      </c>
      <c r="S692" s="638">
        <v>11807</v>
      </c>
      <c r="T692" s="638">
        <v>11807</v>
      </c>
      <c r="U692" s="638">
        <v>3461</v>
      </c>
      <c r="V692" s="636">
        <v>2022</v>
      </c>
      <c r="W692" s="640"/>
      <c r="X692" s="641">
        <f t="shared" si="30"/>
        <v>3.4114417798324186</v>
      </c>
      <c r="Y692" s="642" t="str">
        <f t="shared" si="31"/>
        <v/>
      </c>
      <c r="Z692" s="642" t="str">
        <f t="shared" si="32"/>
        <v/>
      </c>
    </row>
    <row r="693" spans="1:26" s="127" customFormat="1" ht="37.5" hidden="1">
      <c r="A693" s="636">
        <v>50290</v>
      </c>
      <c r="B693" s="637" t="s">
        <v>33</v>
      </c>
      <c r="C693" s="636" t="s">
        <v>2725</v>
      </c>
      <c r="D693" s="637" t="s">
        <v>0</v>
      </c>
      <c r="E693" s="637" t="s">
        <v>1</v>
      </c>
      <c r="F693" s="636">
        <v>16929</v>
      </c>
      <c r="G693" s="637" t="s">
        <v>81</v>
      </c>
      <c r="H693" s="637" t="s">
        <v>1163</v>
      </c>
      <c r="I693" s="637" t="s">
        <v>58</v>
      </c>
      <c r="J693" s="636">
        <v>562213</v>
      </c>
      <c r="K693" s="636">
        <v>4</v>
      </c>
      <c r="L693" s="637" t="s">
        <v>406</v>
      </c>
      <c r="M693" s="637" t="s">
        <v>42</v>
      </c>
      <c r="N693" s="637" t="s">
        <v>46</v>
      </c>
      <c r="O693" s="637" t="s">
        <v>46</v>
      </c>
      <c r="P693" s="637" t="s">
        <v>47</v>
      </c>
      <c r="Q693" s="638">
        <v>1123</v>
      </c>
      <c r="R693" s="638">
        <v>1123</v>
      </c>
      <c r="S693" s="638">
        <v>6513</v>
      </c>
      <c r="T693" s="638">
        <v>6513</v>
      </c>
      <c r="U693" s="638">
        <v>362.16</v>
      </c>
      <c r="V693" s="636">
        <v>2022</v>
      </c>
      <c r="W693" s="640"/>
      <c r="X693" s="641" t="str">
        <f t="shared" si="30"/>
        <v/>
      </c>
      <c r="Y693" s="642" t="str">
        <f t="shared" si="31"/>
        <v/>
      </c>
      <c r="Z693" s="642" t="str">
        <f t="shared" si="32"/>
        <v/>
      </c>
    </row>
    <row r="694" spans="1:26" s="127" customFormat="1" ht="37.5" hidden="1">
      <c r="A694" s="636">
        <v>50290</v>
      </c>
      <c r="B694" s="637" t="s">
        <v>33</v>
      </c>
      <c r="C694" s="636" t="s">
        <v>2725</v>
      </c>
      <c r="D694" s="637" t="s">
        <v>0</v>
      </c>
      <c r="E694" s="637" t="s">
        <v>1</v>
      </c>
      <c r="F694" s="636">
        <v>16929</v>
      </c>
      <c r="G694" s="637" t="s">
        <v>81</v>
      </c>
      <c r="H694" s="637" t="s">
        <v>1163</v>
      </c>
      <c r="I694" s="637" t="s">
        <v>58</v>
      </c>
      <c r="J694" s="636">
        <v>562213</v>
      </c>
      <c r="K694" s="636">
        <v>4</v>
      </c>
      <c r="L694" s="637" t="s">
        <v>406</v>
      </c>
      <c r="M694" s="637" t="s">
        <v>42</v>
      </c>
      <c r="N694" s="637" t="s">
        <v>16</v>
      </c>
      <c r="O694" s="637" t="s">
        <v>64</v>
      </c>
      <c r="P694" s="637" t="s">
        <v>45</v>
      </c>
      <c r="Q694" s="638">
        <v>640698</v>
      </c>
      <c r="R694" s="638">
        <v>640698</v>
      </c>
      <c r="S694" s="638">
        <v>4726430</v>
      </c>
      <c r="T694" s="638">
        <v>4726430</v>
      </c>
      <c r="U694" s="638">
        <v>263096.52</v>
      </c>
      <c r="V694" s="636">
        <v>2022</v>
      </c>
      <c r="W694" s="640"/>
      <c r="X694" s="641" t="str">
        <f t="shared" si="30"/>
        <v/>
      </c>
      <c r="Y694" s="642" t="str">
        <f t="shared" si="31"/>
        <v/>
      </c>
      <c r="Z694" s="642" t="str">
        <f t="shared" si="32"/>
        <v/>
      </c>
    </row>
    <row r="695" spans="1:26" s="127" customFormat="1" ht="37.5" hidden="1">
      <c r="A695" s="636">
        <v>50290</v>
      </c>
      <c r="B695" s="637" t="s">
        <v>33</v>
      </c>
      <c r="C695" s="636" t="s">
        <v>2725</v>
      </c>
      <c r="D695" s="637" t="s">
        <v>0</v>
      </c>
      <c r="E695" s="637" t="s">
        <v>1</v>
      </c>
      <c r="F695" s="636">
        <v>16929</v>
      </c>
      <c r="G695" s="637" t="s">
        <v>81</v>
      </c>
      <c r="H695" s="637" t="s">
        <v>1163</v>
      </c>
      <c r="I695" s="637" t="s">
        <v>58</v>
      </c>
      <c r="J695" s="636">
        <v>562213</v>
      </c>
      <c r="K695" s="636">
        <v>4</v>
      </c>
      <c r="L695" s="637" t="s">
        <v>406</v>
      </c>
      <c r="M695" s="637" t="s">
        <v>42</v>
      </c>
      <c r="N695" s="637" t="s">
        <v>17</v>
      </c>
      <c r="O695" s="637" t="s">
        <v>82</v>
      </c>
      <c r="P695" s="637" t="s">
        <v>45</v>
      </c>
      <c r="Q695" s="638">
        <v>409624</v>
      </c>
      <c r="R695" s="638">
        <v>409624</v>
      </c>
      <c r="S695" s="638">
        <v>5776852</v>
      </c>
      <c r="T695" s="638">
        <v>5776852</v>
      </c>
      <c r="U695" s="638">
        <v>321568.15999999997</v>
      </c>
      <c r="V695" s="636">
        <v>2022</v>
      </c>
      <c r="W695" s="640"/>
      <c r="X695" s="641" t="str">
        <f t="shared" si="30"/>
        <v/>
      </c>
      <c r="Y695" s="642" t="str">
        <f t="shared" si="31"/>
        <v/>
      </c>
      <c r="Z695" s="642" t="str">
        <f t="shared" si="32"/>
        <v/>
      </c>
    </row>
    <row r="696" spans="1:26" s="127" customFormat="1" ht="37.5" hidden="1">
      <c r="A696" s="636">
        <v>50290</v>
      </c>
      <c r="B696" s="637" t="s">
        <v>33</v>
      </c>
      <c r="C696" s="636" t="s">
        <v>2725</v>
      </c>
      <c r="D696" s="637" t="s">
        <v>0</v>
      </c>
      <c r="E696" s="637" t="s">
        <v>1</v>
      </c>
      <c r="F696" s="636">
        <v>16929</v>
      </c>
      <c r="G696" s="637" t="s">
        <v>81</v>
      </c>
      <c r="H696" s="637" t="s">
        <v>1163</v>
      </c>
      <c r="I696" s="637" t="s">
        <v>58</v>
      </c>
      <c r="J696" s="636">
        <v>562213</v>
      </c>
      <c r="K696" s="636">
        <v>4</v>
      </c>
      <c r="L696" s="637" t="s">
        <v>406</v>
      </c>
      <c r="M696" s="637" t="s">
        <v>42</v>
      </c>
      <c r="N696" s="637" t="s">
        <v>39</v>
      </c>
      <c r="O696" s="637" t="s">
        <v>39</v>
      </c>
      <c r="P696" s="637" t="s">
        <v>1020</v>
      </c>
      <c r="Q696" s="638">
        <v>94675</v>
      </c>
      <c r="R696" s="638">
        <v>94675</v>
      </c>
      <c r="S696" s="638">
        <v>94675</v>
      </c>
      <c r="T696" s="638">
        <v>94675</v>
      </c>
      <c r="U696" s="638">
        <v>5244.1540000000005</v>
      </c>
      <c r="V696" s="636">
        <v>2022</v>
      </c>
      <c r="W696" s="640"/>
      <c r="X696" s="641" t="str">
        <f t="shared" si="30"/>
        <v/>
      </c>
      <c r="Y696" s="642" t="str">
        <f t="shared" si="31"/>
        <v/>
      </c>
      <c r="Z696" s="642" t="str">
        <f t="shared" si="32"/>
        <v/>
      </c>
    </row>
    <row r="697" spans="1:26" s="127" customFormat="1" ht="25">
      <c r="A697" s="636">
        <v>50292</v>
      </c>
      <c r="B697" s="637" t="s">
        <v>33</v>
      </c>
      <c r="C697" s="636" t="s">
        <v>2725</v>
      </c>
      <c r="D697" s="637" t="s">
        <v>2</v>
      </c>
      <c r="E697" s="637" t="s">
        <v>3</v>
      </c>
      <c r="F697" s="636">
        <v>24457</v>
      </c>
      <c r="G697" s="637" t="s">
        <v>57</v>
      </c>
      <c r="H697" s="637" t="s">
        <v>1162</v>
      </c>
      <c r="I697" s="637" t="s">
        <v>58</v>
      </c>
      <c r="J697" s="636">
        <v>22</v>
      </c>
      <c r="K697" s="636">
        <v>2</v>
      </c>
      <c r="L697" s="637" t="s">
        <v>52</v>
      </c>
      <c r="M697" s="637" t="s">
        <v>38</v>
      </c>
      <c r="N697" s="637" t="s">
        <v>46</v>
      </c>
      <c r="O697" s="637" t="s">
        <v>46</v>
      </c>
      <c r="P697" s="637" t="s">
        <v>47</v>
      </c>
      <c r="Q697" s="638">
        <v>0</v>
      </c>
      <c r="R697" s="638">
        <v>0</v>
      </c>
      <c r="S697" s="638">
        <v>0</v>
      </c>
      <c r="T697" s="638">
        <v>0</v>
      </c>
      <c r="U697" s="638">
        <v>0</v>
      </c>
      <c r="V697" s="636">
        <v>2022</v>
      </c>
      <c r="W697" s="640" t="s">
        <v>3934</v>
      </c>
      <c r="X697" s="641" t="str">
        <f t="shared" si="30"/>
        <v/>
      </c>
      <c r="Y697" s="642" t="str">
        <f t="shared" si="31"/>
        <v/>
      </c>
      <c r="Z697" s="642" t="str">
        <f t="shared" si="32"/>
        <v/>
      </c>
    </row>
    <row r="698" spans="1:26" s="127" customFormat="1" ht="25">
      <c r="A698" s="636">
        <v>50292</v>
      </c>
      <c r="B698" s="637" t="s">
        <v>33</v>
      </c>
      <c r="C698" s="636" t="s">
        <v>2725</v>
      </c>
      <c r="D698" s="637" t="s">
        <v>2</v>
      </c>
      <c r="E698" s="637" t="s">
        <v>3</v>
      </c>
      <c r="F698" s="636">
        <v>24457</v>
      </c>
      <c r="G698" s="637" t="s">
        <v>57</v>
      </c>
      <c r="H698" s="637" t="s">
        <v>1162</v>
      </c>
      <c r="I698" s="637" t="s">
        <v>58</v>
      </c>
      <c r="J698" s="636">
        <v>22</v>
      </c>
      <c r="K698" s="636">
        <v>2</v>
      </c>
      <c r="L698" s="637" t="s">
        <v>52</v>
      </c>
      <c r="M698" s="637" t="s">
        <v>38</v>
      </c>
      <c r="N698" s="637" t="s">
        <v>39</v>
      </c>
      <c r="O698" s="637" t="s">
        <v>39</v>
      </c>
      <c r="P698" s="637" t="s">
        <v>1020</v>
      </c>
      <c r="Q698" s="638">
        <v>31305</v>
      </c>
      <c r="R698" s="638">
        <v>31305</v>
      </c>
      <c r="S698" s="638">
        <v>32242</v>
      </c>
      <c r="T698" s="638">
        <v>32242</v>
      </c>
      <c r="U698" s="638">
        <v>38203</v>
      </c>
      <c r="V698" s="636">
        <v>2022</v>
      </c>
      <c r="W698" s="640" t="s">
        <v>3934</v>
      </c>
      <c r="X698" s="641">
        <f t="shared" si="30"/>
        <v>0.8439651336282491</v>
      </c>
      <c r="Y698" s="642" t="str">
        <f t="shared" si="31"/>
        <v/>
      </c>
      <c r="Z698" s="642" t="str">
        <f t="shared" si="32"/>
        <v/>
      </c>
    </row>
    <row r="699" spans="1:26" s="127" customFormat="1" ht="25">
      <c r="A699" s="636">
        <v>50292</v>
      </c>
      <c r="B699" s="637" t="s">
        <v>33</v>
      </c>
      <c r="C699" s="636" t="s">
        <v>2725</v>
      </c>
      <c r="D699" s="637" t="s">
        <v>2</v>
      </c>
      <c r="E699" s="637" t="s">
        <v>3</v>
      </c>
      <c r="F699" s="636">
        <v>24457</v>
      </c>
      <c r="G699" s="637" t="s">
        <v>57</v>
      </c>
      <c r="H699" s="637" t="s">
        <v>1162</v>
      </c>
      <c r="I699" s="637" t="s">
        <v>58</v>
      </c>
      <c r="J699" s="636">
        <v>22</v>
      </c>
      <c r="K699" s="636">
        <v>2</v>
      </c>
      <c r="L699" s="637" t="s">
        <v>52</v>
      </c>
      <c r="M699" s="637" t="s">
        <v>41</v>
      </c>
      <c r="N699" s="637" t="s">
        <v>46</v>
      </c>
      <c r="O699" s="637" t="s">
        <v>46</v>
      </c>
      <c r="P699" s="637" t="s">
        <v>47</v>
      </c>
      <c r="Q699" s="638">
        <v>0</v>
      </c>
      <c r="R699" s="638">
        <v>0</v>
      </c>
      <c r="S699" s="638">
        <v>0</v>
      </c>
      <c r="T699" s="638">
        <v>0</v>
      </c>
      <c r="U699" s="638">
        <v>0</v>
      </c>
      <c r="V699" s="636">
        <v>2022</v>
      </c>
      <c r="W699" s="640" t="s">
        <v>3934</v>
      </c>
      <c r="X699" s="641" t="str">
        <f t="shared" si="30"/>
        <v/>
      </c>
      <c r="Y699" s="642" t="str">
        <f t="shared" si="31"/>
        <v/>
      </c>
      <c r="Z699" s="642" t="str">
        <f t="shared" si="32"/>
        <v/>
      </c>
    </row>
    <row r="700" spans="1:26" s="127" customFormat="1" ht="25">
      <c r="A700" s="636">
        <v>50292</v>
      </c>
      <c r="B700" s="637" t="s">
        <v>33</v>
      </c>
      <c r="C700" s="636" t="s">
        <v>2725</v>
      </c>
      <c r="D700" s="637" t="s">
        <v>2</v>
      </c>
      <c r="E700" s="637" t="s">
        <v>3</v>
      </c>
      <c r="F700" s="636">
        <v>24457</v>
      </c>
      <c r="G700" s="637" t="s">
        <v>57</v>
      </c>
      <c r="H700" s="637" t="s">
        <v>1162</v>
      </c>
      <c r="I700" s="637" t="s">
        <v>58</v>
      </c>
      <c r="J700" s="636">
        <v>22</v>
      </c>
      <c r="K700" s="636">
        <v>2</v>
      </c>
      <c r="L700" s="637" t="s">
        <v>52</v>
      </c>
      <c r="M700" s="637" t="s">
        <v>41</v>
      </c>
      <c r="N700" s="637" t="s">
        <v>39</v>
      </c>
      <c r="O700" s="637" t="s">
        <v>39</v>
      </c>
      <c r="P700" s="637" t="s">
        <v>1020</v>
      </c>
      <c r="Q700" s="638">
        <v>2325125</v>
      </c>
      <c r="R700" s="638">
        <v>2325125</v>
      </c>
      <c r="S700" s="638">
        <v>2394455</v>
      </c>
      <c r="T700" s="638">
        <v>2394455</v>
      </c>
      <c r="U700" s="638">
        <v>215191</v>
      </c>
      <c r="V700" s="636">
        <v>2022</v>
      </c>
      <c r="W700" s="640" t="s">
        <v>3934</v>
      </c>
      <c r="X700" s="641">
        <f t="shared" si="30"/>
        <v>11.127114981574508</v>
      </c>
      <c r="Y700" s="642" t="str">
        <f t="shared" si="31"/>
        <v/>
      </c>
      <c r="Z700" s="642" t="str">
        <f t="shared" si="32"/>
        <v/>
      </c>
    </row>
    <row r="701" spans="1:26" s="127" customFormat="1" ht="25">
      <c r="A701" s="636">
        <v>50292</v>
      </c>
      <c r="B701" s="637" t="s">
        <v>33</v>
      </c>
      <c r="C701" s="636" t="s">
        <v>2725</v>
      </c>
      <c r="D701" s="637" t="s">
        <v>2</v>
      </c>
      <c r="E701" s="637" t="s">
        <v>3</v>
      </c>
      <c r="F701" s="636">
        <v>24457</v>
      </c>
      <c r="G701" s="637" t="s">
        <v>57</v>
      </c>
      <c r="H701" s="637" t="s">
        <v>1162</v>
      </c>
      <c r="I701" s="637" t="s">
        <v>58</v>
      </c>
      <c r="J701" s="636">
        <v>22</v>
      </c>
      <c r="K701" s="636">
        <v>2</v>
      </c>
      <c r="L701" s="637" t="s">
        <v>52</v>
      </c>
      <c r="M701" s="637" t="s">
        <v>50</v>
      </c>
      <c r="N701" s="637" t="s">
        <v>39</v>
      </c>
      <c r="O701" s="637" t="s">
        <v>39</v>
      </c>
      <c r="P701" s="637" t="s">
        <v>1020</v>
      </c>
      <c r="Q701" s="638">
        <v>1864970</v>
      </c>
      <c r="R701" s="638">
        <v>1864970</v>
      </c>
      <c r="S701" s="638">
        <v>1920918</v>
      </c>
      <c r="T701" s="638">
        <v>1920918</v>
      </c>
      <c r="U701" s="638">
        <v>185661</v>
      </c>
      <c r="V701" s="636">
        <v>2022</v>
      </c>
      <c r="W701" s="640" t="s">
        <v>3934</v>
      </c>
      <c r="X701" s="641">
        <f t="shared" si="30"/>
        <v>10.346373228626367</v>
      </c>
      <c r="Y701" s="642" t="str">
        <f t="shared" si="31"/>
        <v/>
      </c>
      <c r="Z701" s="642" t="str">
        <f t="shared" si="32"/>
        <v/>
      </c>
    </row>
    <row r="702" spans="1:26" s="127" customFormat="1" ht="25">
      <c r="A702" s="636">
        <v>50292</v>
      </c>
      <c r="B702" s="637" t="s">
        <v>33</v>
      </c>
      <c r="C702" s="636" t="s">
        <v>2725</v>
      </c>
      <c r="D702" s="637" t="s">
        <v>2</v>
      </c>
      <c r="E702" s="637" t="s">
        <v>3</v>
      </c>
      <c r="F702" s="636">
        <v>24457</v>
      </c>
      <c r="G702" s="637" t="s">
        <v>57</v>
      </c>
      <c r="H702" s="637" t="s">
        <v>1162</v>
      </c>
      <c r="I702" s="637" t="s">
        <v>58</v>
      </c>
      <c r="J702" s="636">
        <v>22</v>
      </c>
      <c r="K702" s="636">
        <v>2</v>
      </c>
      <c r="L702" s="637" t="s">
        <v>52</v>
      </c>
      <c r="M702" s="637" t="s">
        <v>51</v>
      </c>
      <c r="N702" s="637" t="s">
        <v>46</v>
      </c>
      <c r="O702" s="637" t="s">
        <v>46</v>
      </c>
      <c r="P702" s="637" t="s">
        <v>47</v>
      </c>
      <c r="Q702" s="638">
        <v>0</v>
      </c>
      <c r="R702" s="638">
        <v>0</v>
      </c>
      <c r="S702" s="638">
        <v>0</v>
      </c>
      <c r="T702" s="638">
        <v>0</v>
      </c>
      <c r="U702" s="638">
        <v>0</v>
      </c>
      <c r="V702" s="636">
        <v>2022</v>
      </c>
      <c r="W702" s="640"/>
      <c r="X702" s="641" t="str">
        <f t="shared" si="30"/>
        <v/>
      </c>
      <c r="Y702" s="642" t="str">
        <f t="shared" si="31"/>
        <v/>
      </c>
      <c r="Z702" s="642" t="str">
        <f t="shared" si="32"/>
        <v/>
      </c>
    </row>
    <row r="703" spans="1:26" s="127" customFormat="1" ht="25">
      <c r="A703" s="636">
        <v>50312</v>
      </c>
      <c r="B703" s="637" t="s">
        <v>33</v>
      </c>
      <c r="C703" s="636" t="s">
        <v>2725</v>
      </c>
      <c r="D703" s="637" t="s">
        <v>863</v>
      </c>
      <c r="E703" s="637" t="s">
        <v>3025</v>
      </c>
      <c r="F703" s="636">
        <v>57280</v>
      </c>
      <c r="G703" s="637" t="s">
        <v>96</v>
      </c>
      <c r="H703" s="637" t="s">
        <v>1163</v>
      </c>
      <c r="I703" s="637" t="s">
        <v>58</v>
      </c>
      <c r="J703" s="636">
        <v>22</v>
      </c>
      <c r="K703" s="636">
        <v>2</v>
      </c>
      <c r="L703" s="637" t="s">
        <v>52</v>
      </c>
      <c r="M703" s="637" t="s">
        <v>35</v>
      </c>
      <c r="N703" s="637" t="s">
        <v>36</v>
      </c>
      <c r="O703" s="637" t="s">
        <v>37</v>
      </c>
      <c r="P703" s="637" t="s">
        <v>1156</v>
      </c>
      <c r="Q703" s="638">
        <v>0</v>
      </c>
      <c r="R703" s="638">
        <v>0</v>
      </c>
      <c r="S703" s="638">
        <v>28860</v>
      </c>
      <c r="T703" s="638">
        <v>28860</v>
      </c>
      <c r="U703" s="638">
        <v>8459</v>
      </c>
      <c r="V703" s="636">
        <v>2022</v>
      </c>
      <c r="W703" s="640"/>
      <c r="X703" s="641">
        <f t="shared" si="30"/>
        <v>3.4117507979666626</v>
      </c>
      <c r="Y703" s="642" t="str">
        <f t="shared" si="31"/>
        <v/>
      </c>
      <c r="Z703" s="642" t="str">
        <f t="shared" si="32"/>
        <v/>
      </c>
    </row>
    <row r="704" spans="1:26" s="127" customFormat="1" ht="25">
      <c r="A704" s="636">
        <v>50315</v>
      </c>
      <c r="B704" s="637" t="s">
        <v>33</v>
      </c>
      <c r="C704" s="636" t="s">
        <v>2725</v>
      </c>
      <c r="D704" s="637" t="s">
        <v>864</v>
      </c>
      <c r="E704" s="637" t="s">
        <v>1867</v>
      </c>
      <c r="F704" s="636">
        <v>24979</v>
      </c>
      <c r="G704" s="637" t="s">
        <v>57</v>
      </c>
      <c r="H704" s="637" t="s">
        <v>1162</v>
      </c>
      <c r="I704" s="637" t="s">
        <v>58</v>
      </c>
      <c r="J704" s="636">
        <v>22</v>
      </c>
      <c r="K704" s="636">
        <v>2</v>
      </c>
      <c r="L704" s="637" t="s">
        <v>52</v>
      </c>
      <c r="M704" s="637" t="s">
        <v>35</v>
      </c>
      <c r="N704" s="637" t="s">
        <v>36</v>
      </c>
      <c r="O704" s="637" t="s">
        <v>37</v>
      </c>
      <c r="P704" s="637" t="s">
        <v>1156</v>
      </c>
      <c r="Q704" s="638">
        <v>0</v>
      </c>
      <c r="R704" s="638">
        <v>0</v>
      </c>
      <c r="S704" s="638">
        <v>2939</v>
      </c>
      <c r="T704" s="638">
        <v>2939</v>
      </c>
      <c r="U704" s="638">
        <v>862</v>
      </c>
      <c r="V704" s="636">
        <v>2022</v>
      </c>
      <c r="W704" s="640"/>
      <c r="X704" s="641">
        <f t="shared" si="30"/>
        <v>3.4095127610208817</v>
      </c>
      <c r="Y704" s="642" t="str">
        <f t="shared" si="31"/>
        <v/>
      </c>
      <c r="Z704" s="642" t="str">
        <f t="shared" si="32"/>
        <v/>
      </c>
    </row>
    <row r="705" spans="1:26" s="127" customFormat="1" ht="25">
      <c r="A705" s="636">
        <v>50324</v>
      </c>
      <c r="B705" s="637" t="s">
        <v>33</v>
      </c>
      <c r="C705" s="636" t="s">
        <v>2725</v>
      </c>
      <c r="D705" s="637" t="s">
        <v>865</v>
      </c>
      <c r="E705" s="637" t="s">
        <v>3025</v>
      </c>
      <c r="F705" s="636">
        <v>57280</v>
      </c>
      <c r="G705" s="637" t="s">
        <v>96</v>
      </c>
      <c r="H705" s="637" t="s">
        <v>1163</v>
      </c>
      <c r="I705" s="637" t="s">
        <v>58</v>
      </c>
      <c r="J705" s="636">
        <v>22</v>
      </c>
      <c r="K705" s="636">
        <v>2</v>
      </c>
      <c r="L705" s="637" t="s">
        <v>52</v>
      </c>
      <c r="M705" s="637" t="s">
        <v>35</v>
      </c>
      <c r="N705" s="637" t="s">
        <v>36</v>
      </c>
      <c r="O705" s="637" t="s">
        <v>37</v>
      </c>
      <c r="P705" s="637" t="s">
        <v>1156</v>
      </c>
      <c r="Q705" s="638">
        <v>0</v>
      </c>
      <c r="R705" s="638">
        <v>0</v>
      </c>
      <c r="S705" s="638">
        <v>14410</v>
      </c>
      <c r="T705" s="638">
        <v>14410</v>
      </c>
      <c r="U705" s="638">
        <v>4223</v>
      </c>
      <c r="V705" s="636">
        <v>2022</v>
      </c>
      <c r="W705" s="640"/>
      <c r="X705" s="641">
        <f t="shared" si="30"/>
        <v>3.4122661614965666</v>
      </c>
      <c r="Y705" s="642" t="str">
        <f t="shared" si="31"/>
        <v/>
      </c>
      <c r="Z705" s="642" t="str">
        <f t="shared" si="32"/>
        <v/>
      </c>
    </row>
    <row r="706" spans="1:26" s="127" customFormat="1" ht="25">
      <c r="A706" s="636">
        <v>50351</v>
      </c>
      <c r="B706" s="637" t="s">
        <v>33</v>
      </c>
      <c r="C706" s="636" t="s">
        <v>2725</v>
      </c>
      <c r="D706" s="637" t="s">
        <v>866</v>
      </c>
      <c r="E706" s="637" t="s">
        <v>867</v>
      </c>
      <c r="F706" s="636">
        <v>24793</v>
      </c>
      <c r="G706" s="637" t="s">
        <v>96</v>
      </c>
      <c r="H706" s="637" t="s">
        <v>1163</v>
      </c>
      <c r="I706" s="637" t="s">
        <v>58</v>
      </c>
      <c r="J706" s="636">
        <v>22</v>
      </c>
      <c r="K706" s="636">
        <v>2</v>
      </c>
      <c r="L706" s="637" t="s">
        <v>52</v>
      </c>
      <c r="M706" s="637" t="s">
        <v>35</v>
      </c>
      <c r="N706" s="637" t="s">
        <v>36</v>
      </c>
      <c r="O706" s="637" t="s">
        <v>37</v>
      </c>
      <c r="P706" s="637" t="s">
        <v>1156</v>
      </c>
      <c r="Q706" s="638">
        <v>0</v>
      </c>
      <c r="R706" s="638">
        <v>0</v>
      </c>
      <c r="S706" s="638">
        <v>65114</v>
      </c>
      <c r="T706" s="638">
        <v>65114</v>
      </c>
      <c r="U706" s="638">
        <v>19084</v>
      </c>
      <c r="V706" s="636">
        <v>2022</v>
      </c>
      <c r="W706" s="640"/>
      <c r="X706" s="641">
        <f t="shared" si="30"/>
        <v>3.4119681408509748</v>
      </c>
      <c r="Y706" s="642" t="str">
        <f t="shared" si="31"/>
        <v/>
      </c>
      <c r="Z706" s="642" t="str">
        <f t="shared" si="32"/>
        <v/>
      </c>
    </row>
    <row r="707" spans="1:26" s="127" customFormat="1" ht="25">
      <c r="A707" s="636">
        <v>50353</v>
      </c>
      <c r="B707" s="637" t="s">
        <v>33</v>
      </c>
      <c r="C707" s="636" t="s">
        <v>2725</v>
      </c>
      <c r="D707" s="637" t="s">
        <v>868</v>
      </c>
      <c r="E707" s="637" t="s">
        <v>867</v>
      </c>
      <c r="F707" s="636">
        <v>24793</v>
      </c>
      <c r="G707" s="637" t="s">
        <v>96</v>
      </c>
      <c r="H707" s="637" t="s">
        <v>1163</v>
      </c>
      <c r="I707" s="637" t="s">
        <v>58</v>
      </c>
      <c r="J707" s="636">
        <v>22</v>
      </c>
      <c r="K707" s="636">
        <v>2</v>
      </c>
      <c r="L707" s="637" t="s">
        <v>52</v>
      </c>
      <c r="M707" s="637" t="s">
        <v>35</v>
      </c>
      <c r="N707" s="637" t="s">
        <v>36</v>
      </c>
      <c r="O707" s="637" t="s">
        <v>37</v>
      </c>
      <c r="P707" s="637" t="s">
        <v>1156</v>
      </c>
      <c r="Q707" s="638">
        <v>0</v>
      </c>
      <c r="R707" s="638">
        <v>0</v>
      </c>
      <c r="S707" s="638">
        <v>63422</v>
      </c>
      <c r="T707" s="638">
        <v>63422</v>
      </c>
      <c r="U707" s="638">
        <v>18588</v>
      </c>
      <c r="V707" s="636">
        <v>2022</v>
      </c>
      <c r="W707" s="640"/>
      <c r="X707" s="641">
        <f t="shared" si="30"/>
        <v>3.411986227673768</v>
      </c>
      <c r="Y707" s="642" t="str">
        <f t="shared" si="31"/>
        <v/>
      </c>
      <c r="Z707" s="642" t="str">
        <f t="shared" si="32"/>
        <v/>
      </c>
    </row>
    <row r="708" spans="1:26" s="127" customFormat="1" ht="25">
      <c r="A708" s="636">
        <v>50354</v>
      </c>
      <c r="B708" s="637" t="s">
        <v>33</v>
      </c>
      <c r="C708" s="636" t="s">
        <v>2725</v>
      </c>
      <c r="D708" s="637" t="s">
        <v>869</v>
      </c>
      <c r="E708" s="637" t="s">
        <v>3025</v>
      </c>
      <c r="F708" s="636">
        <v>57280</v>
      </c>
      <c r="G708" s="637" t="s">
        <v>57</v>
      </c>
      <c r="H708" s="637" t="s">
        <v>1162</v>
      </c>
      <c r="I708" s="637" t="s">
        <v>58</v>
      </c>
      <c r="J708" s="636">
        <v>22</v>
      </c>
      <c r="K708" s="636">
        <v>2</v>
      </c>
      <c r="L708" s="637" t="s">
        <v>52</v>
      </c>
      <c r="M708" s="637" t="s">
        <v>35</v>
      </c>
      <c r="N708" s="637" t="s">
        <v>36</v>
      </c>
      <c r="O708" s="637" t="s">
        <v>37</v>
      </c>
      <c r="P708" s="637" t="s">
        <v>1156</v>
      </c>
      <c r="Q708" s="638">
        <v>0</v>
      </c>
      <c r="R708" s="638">
        <v>0</v>
      </c>
      <c r="S708" s="638">
        <v>18957</v>
      </c>
      <c r="T708" s="638">
        <v>18957</v>
      </c>
      <c r="U708" s="638">
        <v>5556</v>
      </c>
      <c r="V708" s="636">
        <v>2022</v>
      </c>
      <c r="W708" s="640"/>
      <c r="X708" s="641">
        <f t="shared" si="30"/>
        <v>3.411987041036717</v>
      </c>
      <c r="Y708" s="642" t="str">
        <f t="shared" si="31"/>
        <v/>
      </c>
      <c r="Z708" s="642" t="str">
        <f t="shared" si="32"/>
        <v/>
      </c>
    </row>
    <row r="709" spans="1:26" s="127" customFormat="1" ht="25">
      <c r="A709" s="636">
        <v>50365</v>
      </c>
      <c r="B709" s="637" t="s">
        <v>33</v>
      </c>
      <c r="C709" s="636" t="s">
        <v>2725</v>
      </c>
      <c r="D709" s="637" t="s">
        <v>870</v>
      </c>
      <c r="E709" s="637" t="s">
        <v>1040</v>
      </c>
      <c r="F709" s="636">
        <v>56889</v>
      </c>
      <c r="G709" s="637" t="s">
        <v>130</v>
      </c>
      <c r="H709" s="637" t="s">
        <v>1163</v>
      </c>
      <c r="I709" s="637" t="s">
        <v>58</v>
      </c>
      <c r="J709" s="636">
        <v>22</v>
      </c>
      <c r="K709" s="636">
        <v>2</v>
      </c>
      <c r="L709" s="637" t="s">
        <v>52</v>
      </c>
      <c r="M709" s="637" t="s">
        <v>51</v>
      </c>
      <c r="N709" s="637" t="s">
        <v>63</v>
      </c>
      <c r="O709" s="637" t="s">
        <v>64</v>
      </c>
      <c r="P709" s="637" t="s">
        <v>1020</v>
      </c>
      <c r="Q709" s="638">
        <v>7219</v>
      </c>
      <c r="R709" s="638">
        <v>7219</v>
      </c>
      <c r="S709" s="638">
        <v>3249</v>
      </c>
      <c r="T709" s="638">
        <v>3249</v>
      </c>
      <c r="U709" s="638">
        <v>323</v>
      </c>
      <c r="V709" s="636">
        <v>2022</v>
      </c>
      <c r="W709" s="640"/>
      <c r="X709" s="641">
        <f t="shared" si="30"/>
        <v>10.058823529411764</v>
      </c>
      <c r="Y709" s="642" t="str">
        <f t="shared" si="31"/>
        <v/>
      </c>
      <c r="Z709" s="642" t="str">
        <f t="shared" si="32"/>
        <v/>
      </c>
    </row>
    <row r="710" spans="1:26" s="127" customFormat="1" ht="37.5" hidden="1">
      <c r="A710" s="636">
        <v>50368</v>
      </c>
      <c r="B710" s="637" t="s">
        <v>54</v>
      </c>
      <c r="C710" s="636" t="s">
        <v>2725</v>
      </c>
      <c r="D710" s="637" t="s">
        <v>414</v>
      </c>
      <c r="E710" s="637" t="s">
        <v>415</v>
      </c>
      <c r="F710" s="636">
        <v>21508</v>
      </c>
      <c r="G710" s="637" t="s">
        <v>57</v>
      </c>
      <c r="H710" s="637" t="s">
        <v>1162</v>
      </c>
      <c r="I710" s="637" t="s">
        <v>58</v>
      </c>
      <c r="J710" s="636">
        <v>611</v>
      </c>
      <c r="K710" s="636">
        <v>5</v>
      </c>
      <c r="L710" s="637" t="s">
        <v>407</v>
      </c>
      <c r="M710" s="637" t="s">
        <v>38</v>
      </c>
      <c r="N710" s="637" t="s">
        <v>46</v>
      </c>
      <c r="O710" s="637" t="s">
        <v>46</v>
      </c>
      <c r="P710" s="637" t="s">
        <v>47</v>
      </c>
      <c r="Q710" s="638">
        <v>466</v>
      </c>
      <c r="R710" s="638">
        <v>26</v>
      </c>
      <c r="S710" s="638">
        <v>2656</v>
      </c>
      <c r="T710" s="638">
        <v>152</v>
      </c>
      <c r="U710" s="638">
        <v>33.265999999999998</v>
      </c>
      <c r="V710" s="636">
        <v>2022</v>
      </c>
      <c r="W710" s="640"/>
      <c r="X710" s="641" t="str">
        <f t="shared" si="30"/>
        <v/>
      </c>
      <c r="Y710" s="642" t="str">
        <f t="shared" si="31"/>
        <v/>
      </c>
      <c r="Z710" s="642" t="str">
        <f t="shared" si="32"/>
        <v/>
      </c>
    </row>
    <row r="711" spans="1:26" s="127" customFormat="1" ht="37.5" hidden="1">
      <c r="A711" s="636">
        <v>50368</v>
      </c>
      <c r="B711" s="637" t="s">
        <v>54</v>
      </c>
      <c r="C711" s="636" t="s">
        <v>2725</v>
      </c>
      <c r="D711" s="637" t="s">
        <v>414</v>
      </c>
      <c r="E711" s="637" t="s">
        <v>415</v>
      </c>
      <c r="F711" s="636">
        <v>21508</v>
      </c>
      <c r="G711" s="637" t="s">
        <v>57</v>
      </c>
      <c r="H711" s="637" t="s">
        <v>1162</v>
      </c>
      <c r="I711" s="637" t="s">
        <v>58</v>
      </c>
      <c r="J711" s="636">
        <v>611</v>
      </c>
      <c r="K711" s="636">
        <v>5</v>
      </c>
      <c r="L711" s="637" t="s">
        <v>407</v>
      </c>
      <c r="M711" s="637" t="s">
        <v>38</v>
      </c>
      <c r="N711" s="637" t="s">
        <v>39</v>
      </c>
      <c r="O711" s="637" t="s">
        <v>39</v>
      </c>
      <c r="P711" s="637" t="s">
        <v>1020</v>
      </c>
      <c r="Q711" s="638">
        <v>525452</v>
      </c>
      <c r="R711" s="638">
        <v>126893</v>
      </c>
      <c r="S711" s="638">
        <v>541215</v>
      </c>
      <c r="T711" s="638">
        <v>130701</v>
      </c>
      <c r="U711" s="638">
        <v>28729.734</v>
      </c>
      <c r="V711" s="636">
        <v>2022</v>
      </c>
      <c r="W711" s="640"/>
      <c r="X711" s="641" t="str">
        <f t="shared" si="30"/>
        <v/>
      </c>
      <c r="Y711" s="642" t="str">
        <f t="shared" si="31"/>
        <v/>
      </c>
      <c r="Z711" s="642" t="str">
        <f t="shared" si="32"/>
        <v/>
      </c>
    </row>
    <row r="712" spans="1:26" s="127" customFormat="1" ht="37.5" hidden="1">
      <c r="A712" s="636">
        <v>50368</v>
      </c>
      <c r="B712" s="637" t="s">
        <v>54</v>
      </c>
      <c r="C712" s="636" t="s">
        <v>2725</v>
      </c>
      <c r="D712" s="637" t="s">
        <v>414</v>
      </c>
      <c r="E712" s="637" t="s">
        <v>415</v>
      </c>
      <c r="F712" s="636">
        <v>21508</v>
      </c>
      <c r="G712" s="637" t="s">
        <v>57</v>
      </c>
      <c r="H712" s="637" t="s">
        <v>1162</v>
      </c>
      <c r="I712" s="637" t="s">
        <v>58</v>
      </c>
      <c r="J712" s="636">
        <v>611</v>
      </c>
      <c r="K712" s="636">
        <v>5</v>
      </c>
      <c r="L712" s="637" t="s">
        <v>407</v>
      </c>
      <c r="M712" s="637" t="s">
        <v>41</v>
      </c>
      <c r="N712" s="637" t="s">
        <v>43</v>
      </c>
      <c r="O712" s="637" t="s">
        <v>44</v>
      </c>
      <c r="P712" s="637" t="s">
        <v>45</v>
      </c>
      <c r="Q712" s="638">
        <v>0</v>
      </c>
      <c r="R712" s="638">
        <v>0</v>
      </c>
      <c r="S712" s="638">
        <v>0</v>
      </c>
      <c r="T712" s="638">
        <v>0</v>
      </c>
      <c r="U712" s="638">
        <v>0</v>
      </c>
      <c r="V712" s="636">
        <v>2022</v>
      </c>
      <c r="W712" s="640"/>
      <c r="X712" s="641" t="str">
        <f t="shared" ref="X712:X775" si="33">IF(OR(K712&gt;3,T712=0,NOT(U712&gt;0)),"",T712/U712)</f>
        <v/>
      </c>
      <c r="Y712" s="642" t="str">
        <f t="shared" ref="Y712:Y775" si="34">IF(AND($M712=$Y$2,$N712=$Y$3,NOT($Q712=$R712),NOT($U712=0)),IF($K712=5,$S712/($U712+(8/5)*$U712),IF($K712=7,$S712/($U712+(29/25)*$U712),"")),"")</f>
        <v/>
      </c>
      <c r="Z712" s="642" t="str">
        <f t="shared" si="32"/>
        <v/>
      </c>
    </row>
    <row r="713" spans="1:26" s="127" customFormat="1" ht="37.5" hidden="1">
      <c r="A713" s="636">
        <v>50368</v>
      </c>
      <c r="B713" s="637" t="s">
        <v>54</v>
      </c>
      <c r="C713" s="636" t="s">
        <v>2725</v>
      </c>
      <c r="D713" s="637" t="s">
        <v>414</v>
      </c>
      <c r="E713" s="637" t="s">
        <v>415</v>
      </c>
      <c r="F713" s="636">
        <v>21508</v>
      </c>
      <c r="G713" s="637" t="s">
        <v>57</v>
      </c>
      <c r="H713" s="637" t="s">
        <v>1162</v>
      </c>
      <c r="I713" s="637" t="s">
        <v>58</v>
      </c>
      <c r="J713" s="636">
        <v>611</v>
      </c>
      <c r="K713" s="636">
        <v>5</v>
      </c>
      <c r="L713" s="637" t="s">
        <v>407</v>
      </c>
      <c r="M713" s="637" t="s">
        <v>41</v>
      </c>
      <c r="N713" s="637" t="s">
        <v>46</v>
      </c>
      <c r="O713" s="637" t="s">
        <v>46</v>
      </c>
      <c r="P713" s="637" t="s">
        <v>47</v>
      </c>
      <c r="Q713" s="638">
        <v>54</v>
      </c>
      <c r="R713" s="638">
        <v>21</v>
      </c>
      <c r="S713" s="638">
        <v>308</v>
      </c>
      <c r="T713" s="638">
        <v>124</v>
      </c>
      <c r="U713" s="638">
        <v>27.253</v>
      </c>
      <c r="V713" s="636">
        <v>2022</v>
      </c>
      <c r="W713" s="640"/>
      <c r="X713" s="641" t="str">
        <f t="shared" si="33"/>
        <v/>
      </c>
      <c r="Y713" s="642" t="str">
        <f t="shared" si="34"/>
        <v/>
      </c>
      <c r="Z713" s="642" t="str">
        <f t="shared" si="32"/>
        <v/>
      </c>
    </row>
    <row r="714" spans="1:26" s="127" customFormat="1" ht="37.5" hidden="1">
      <c r="A714" s="636">
        <v>50368</v>
      </c>
      <c r="B714" s="637" t="s">
        <v>54</v>
      </c>
      <c r="C714" s="636" t="s">
        <v>2725</v>
      </c>
      <c r="D714" s="637" t="s">
        <v>414</v>
      </c>
      <c r="E714" s="637" t="s">
        <v>415</v>
      </c>
      <c r="F714" s="636">
        <v>21508</v>
      </c>
      <c r="G714" s="637" t="s">
        <v>57</v>
      </c>
      <c r="H714" s="637" t="s">
        <v>1162</v>
      </c>
      <c r="I714" s="637" t="s">
        <v>58</v>
      </c>
      <c r="J714" s="636">
        <v>611</v>
      </c>
      <c r="K714" s="636">
        <v>5</v>
      </c>
      <c r="L714" s="637" t="s">
        <v>407</v>
      </c>
      <c r="M714" s="637" t="s">
        <v>41</v>
      </c>
      <c r="N714" s="637" t="s">
        <v>39</v>
      </c>
      <c r="O714" s="637" t="s">
        <v>39</v>
      </c>
      <c r="P714" s="637" t="s">
        <v>1020</v>
      </c>
      <c r="Q714" s="638">
        <v>1959776</v>
      </c>
      <c r="R714" s="638">
        <v>810788</v>
      </c>
      <c r="S714" s="638">
        <v>2018569</v>
      </c>
      <c r="T714" s="638">
        <v>835111</v>
      </c>
      <c r="U714" s="638">
        <v>178728.75</v>
      </c>
      <c r="V714" s="636">
        <v>2022</v>
      </c>
      <c r="W714" s="640"/>
      <c r="X714" s="641" t="str">
        <f t="shared" si="33"/>
        <v/>
      </c>
      <c r="Y714" s="642" t="str">
        <f t="shared" si="34"/>
        <v/>
      </c>
      <c r="Z714" s="642" t="str">
        <f t="shared" si="32"/>
        <v/>
      </c>
    </row>
    <row r="715" spans="1:26" s="127" customFormat="1" ht="37.5" hidden="1">
      <c r="A715" s="636">
        <v>50368</v>
      </c>
      <c r="B715" s="637" t="s">
        <v>54</v>
      </c>
      <c r="C715" s="636" t="s">
        <v>2725</v>
      </c>
      <c r="D715" s="637" t="s">
        <v>414</v>
      </c>
      <c r="E715" s="637" t="s">
        <v>415</v>
      </c>
      <c r="F715" s="636">
        <v>21508</v>
      </c>
      <c r="G715" s="637" t="s">
        <v>57</v>
      </c>
      <c r="H715" s="637" t="s">
        <v>1162</v>
      </c>
      <c r="I715" s="637" t="s">
        <v>58</v>
      </c>
      <c r="J715" s="636">
        <v>611</v>
      </c>
      <c r="K715" s="636">
        <v>5</v>
      </c>
      <c r="L715" s="637" t="s">
        <v>407</v>
      </c>
      <c r="M715" s="637" t="s">
        <v>41</v>
      </c>
      <c r="N715" s="637" t="s">
        <v>61</v>
      </c>
      <c r="O715" s="637" t="s">
        <v>61</v>
      </c>
      <c r="P715" s="637" t="s">
        <v>47</v>
      </c>
      <c r="Q715" s="638">
        <v>0</v>
      </c>
      <c r="R715" s="638">
        <v>0</v>
      </c>
      <c r="S715" s="638">
        <v>0</v>
      </c>
      <c r="T715" s="638">
        <v>0</v>
      </c>
      <c r="U715" s="638">
        <v>0</v>
      </c>
      <c r="V715" s="636">
        <v>2022</v>
      </c>
      <c r="W715" s="640"/>
      <c r="X715" s="641" t="str">
        <f t="shared" si="33"/>
        <v/>
      </c>
      <c r="Y715" s="642" t="str">
        <f t="shared" si="34"/>
        <v/>
      </c>
      <c r="Z715" s="642" t="str">
        <f t="shared" si="32"/>
        <v/>
      </c>
    </row>
    <row r="716" spans="1:26" s="127" customFormat="1" ht="37.5" hidden="1">
      <c r="A716" s="636">
        <v>50368</v>
      </c>
      <c r="B716" s="637" t="s">
        <v>54</v>
      </c>
      <c r="C716" s="636" t="s">
        <v>2725</v>
      </c>
      <c r="D716" s="637" t="s">
        <v>414</v>
      </c>
      <c r="E716" s="637" t="s">
        <v>415</v>
      </c>
      <c r="F716" s="636">
        <v>21508</v>
      </c>
      <c r="G716" s="637" t="s">
        <v>57</v>
      </c>
      <c r="H716" s="637" t="s">
        <v>1162</v>
      </c>
      <c r="I716" s="637" t="s">
        <v>58</v>
      </c>
      <c r="J716" s="636">
        <v>611</v>
      </c>
      <c r="K716" s="636">
        <v>5</v>
      </c>
      <c r="L716" s="637" t="s">
        <v>407</v>
      </c>
      <c r="M716" s="637" t="s">
        <v>51</v>
      </c>
      <c r="N716" s="637" t="s">
        <v>46</v>
      </c>
      <c r="O716" s="637" t="s">
        <v>46</v>
      </c>
      <c r="P716" s="637" t="s">
        <v>47</v>
      </c>
      <c r="Q716" s="638">
        <v>63</v>
      </c>
      <c r="R716" s="638">
        <v>28</v>
      </c>
      <c r="S716" s="638">
        <v>360</v>
      </c>
      <c r="T716" s="638">
        <v>157</v>
      </c>
      <c r="U716" s="638">
        <v>35</v>
      </c>
      <c r="V716" s="636">
        <v>2022</v>
      </c>
      <c r="W716" s="640"/>
      <c r="X716" s="641" t="str">
        <f t="shared" si="33"/>
        <v/>
      </c>
      <c r="Y716" s="642" t="str">
        <f t="shared" si="34"/>
        <v/>
      </c>
      <c r="Z716" s="642" t="str">
        <f t="shared" si="32"/>
        <v/>
      </c>
    </row>
    <row r="717" spans="1:26" s="127" customFormat="1" ht="25">
      <c r="A717" s="636">
        <v>50384</v>
      </c>
      <c r="B717" s="637" t="s">
        <v>33</v>
      </c>
      <c r="C717" s="636" t="s">
        <v>2725</v>
      </c>
      <c r="D717" s="637" t="s">
        <v>871</v>
      </c>
      <c r="E717" s="637" t="s">
        <v>3025</v>
      </c>
      <c r="F717" s="636">
        <v>57280</v>
      </c>
      <c r="G717" s="637" t="s">
        <v>96</v>
      </c>
      <c r="H717" s="637" t="s">
        <v>1163</v>
      </c>
      <c r="I717" s="637" t="s">
        <v>58</v>
      </c>
      <c r="J717" s="636">
        <v>22</v>
      </c>
      <c r="K717" s="636">
        <v>2</v>
      </c>
      <c r="L717" s="637" t="s">
        <v>52</v>
      </c>
      <c r="M717" s="637" t="s">
        <v>35</v>
      </c>
      <c r="N717" s="637" t="s">
        <v>36</v>
      </c>
      <c r="O717" s="637" t="s">
        <v>37</v>
      </c>
      <c r="P717" s="637" t="s">
        <v>1156</v>
      </c>
      <c r="Q717" s="638">
        <v>0</v>
      </c>
      <c r="R717" s="638">
        <v>0</v>
      </c>
      <c r="S717" s="638">
        <v>32144</v>
      </c>
      <c r="T717" s="638">
        <v>32144</v>
      </c>
      <c r="U717" s="638">
        <v>9421</v>
      </c>
      <c r="V717" s="636">
        <v>2022</v>
      </c>
      <c r="W717" s="640"/>
      <c r="X717" s="641">
        <f t="shared" si="33"/>
        <v>3.4119520220783355</v>
      </c>
      <c r="Y717" s="642" t="str">
        <f t="shared" si="34"/>
        <v/>
      </c>
      <c r="Z717" s="642" t="str">
        <f t="shared" si="32"/>
        <v/>
      </c>
    </row>
    <row r="718" spans="1:26" s="127" customFormat="1" ht="37.5" hidden="1">
      <c r="A718" s="636">
        <v>50406</v>
      </c>
      <c r="B718" s="637" t="s">
        <v>54</v>
      </c>
      <c r="C718" s="636" t="s">
        <v>2725</v>
      </c>
      <c r="D718" s="637" t="s">
        <v>416</v>
      </c>
      <c r="E718" s="637" t="s">
        <v>417</v>
      </c>
      <c r="F718" s="636">
        <v>16190</v>
      </c>
      <c r="G718" s="637" t="s">
        <v>90</v>
      </c>
      <c r="H718" s="637" t="s">
        <v>1163</v>
      </c>
      <c r="I718" s="637" t="s">
        <v>58</v>
      </c>
      <c r="J718" s="636">
        <v>322122</v>
      </c>
      <c r="K718" s="636">
        <v>7</v>
      </c>
      <c r="L718" s="637" t="s">
        <v>403</v>
      </c>
      <c r="M718" s="637" t="s">
        <v>42</v>
      </c>
      <c r="N718" s="637" t="s">
        <v>151</v>
      </c>
      <c r="O718" s="637" t="s">
        <v>70</v>
      </c>
      <c r="P718" s="637" t="s">
        <v>45</v>
      </c>
      <c r="Q718" s="638">
        <v>883182</v>
      </c>
      <c r="R718" s="638">
        <v>111435</v>
      </c>
      <c r="S718" s="638">
        <v>10022699</v>
      </c>
      <c r="T718" s="638">
        <v>1265684</v>
      </c>
      <c r="U718" s="638">
        <v>263641.21999999997</v>
      </c>
      <c r="V718" s="636">
        <v>2022</v>
      </c>
      <c r="W718" s="640"/>
      <c r="X718" s="641" t="str">
        <f t="shared" si="33"/>
        <v/>
      </c>
      <c r="Y718" s="642" t="str">
        <f t="shared" si="34"/>
        <v/>
      </c>
      <c r="Z718" s="642" t="str">
        <f t="shared" si="32"/>
        <v/>
      </c>
    </row>
    <row r="719" spans="1:26" s="127" customFormat="1" ht="37.5" hidden="1">
      <c r="A719" s="636">
        <v>50406</v>
      </c>
      <c r="B719" s="637" t="s">
        <v>54</v>
      </c>
      <c r="C719" s="636" t="s">
        <v>2725</v>
      </c>
      <c r="D719" s="637" t="s">
        <v>416</v>
      </c>
      <c r="E719" s="637" t="s">
        <v>417</v>
      </c>
      <c r="F719" s="636">
        <v>16190</v>
      </c>
      <c r="G719" s="637" t="s">
        <v>90</v>
      </c>
      <c r="H719" s="637" t="s">
        <v>1163</v>
      </c>
      <c r="I719" s="637" t="s">
        <v>58</v>
      </c>
      <c r="J719" s="636">
        <v>322122</v>
      </c>
      <c r="K719" s="636">
        <v>7</v>
      </c>
      <c r="L719" s="637" t="s">
        <v>403</v>
      </c>
      <c r="M719" s="637" t="s">
        <v>42</v>
      </c>
      <c r="N719" s="637" t="s">
        <v>46</v>
      </c>
      <c r="O719" s="637" t="s">
        <v>46</v>
      </c>
      <c r="P719" s="637" t="s">
        <v>47</v>
      </c>
      <c r="Q719" s="638">
        <v>3267</v>
      </c>
      <c r="R719" s="638">
        <v>408</v>
      </c>
      <c r="S719" s="638">
        <v>19111</v>
      </c>
      <c r="T719" s="638">
        <v>2387</v>
      </c>
      <c r="U719" s="638">
        <v>501.375</v>
      </c>
      <c r="V719" s="636">
        <v>2022</v>
      </c>
      <c r="W719" s="640"/>
      <c r="X719" s="641" t="str">
        <f t="shared" si="33"/>
        <v/>
      </c>
      <c r="Y719" s="642" t="str">
        <f t="shared" si="34"/>
        <v/>
      </c>
      <c r="Z719" s="642" t="str">
        <f t="shared" si="32"/>
        <v/>
      </c>
    </row>
    <row r="720" spans="1:26" s="127" customFormat="1" ht="37.5" hidden="1">
      <c r="A720" s="636">
        <v>50406</v>
      </c>
      <c r="B720" s="637" t="s">
        <v>54</v>
      </c>
      <c r="C720" s="636" t="s">
        <v>2725</v>
      </c>
      <c r="D720" s="637" t="s">
        <v>416</v>
      </c>
      <c r="E720" s="637" t="s">
        <v>417</v>
      </c>
      <c r="F720" s="636">
        <v>16190</v>
      </c>
      <c r="G720" s="637" t="s">
        <v>90</v>
      </c>
      <c r="H720" s="637" t="s">
        <v>1163</v>
      </c>
      <c r="I720" s="637" t="s">
        <v>58</v>
      </c>
      <c r="J720" s="636">
        <v>322122</v>
      </c>
      <c r="K720" s="636">
        <v>7</v>
      </c>
      <c r="L720" s="637" t="s">
        <v>403</v>
      </c>
      <c r="M720" s="637" t="s">
        <v>42</v>
      </c>
      <c r="N720" s="637" t="s">
        <v>39</v>
      </c>
      <c r="O720" s="637" t="s">
        <v>39</v>
      </c>
      <c r="P720" s="637" t="s">
        <v>1020</v>
      </c>
      <c r="Q720" s="638">
        <v>700312</v>
      </c>
      <c r="R720" s="638">
        <v>85167</v>
      </c>
      <c r="S720" s="638">
        <v>729247</v>
      </c>
      <c r="T720" s="638">
        <v>88678</v>
      </c>
      <c r="U720" s="638">
        <v>18478.089</v>
      </c>
      <c r="V720" s="636">
        <v>2022</v>
      </c>
      <c r="W720" s="640"/>
      <c r="X720" s="641" t="str">
        <f t="shared" si="33"/>
        <v/>
      </c>
      <c r="Y720" s="642" t="str">
        <f t="shared" si="34"/>
        <v/>
      </c>
      <c r="Z720" s="642" t="str">
        <f t="shared" ref="Z720:Z783" si="35">IF(AND($M720=$Y$2,$N720=$Y$4,NOT($Q720=$R720),NOT($U720=0)),IF($K720=5,$S720/($U720+(8/5)*$U720),IF($K720=7,$S720/($U720+(29/25)*$U720),"")),"")</f>
        <v/>
      </c>
    </row>
    <row r="721" spans="1:26" s="127" customFormat="1" ht="37.5" hidden="1">
      <c r="A721" s="636">
        <v>50406</v>
      </c>
      <c r="B721" s="637" t="s">
        <v>54</v>
      </c>
      <c r="C721" s="636" t="s">
        <v>2725</v>
      </c>
      <c r="D721" s="637" t="s">
        <v>416</v>
      </c>
      <c r="E721" s="637" t="s">
        <v>417</v>
      </c>
      <c r="F721" s="636">
        <v>16190</v>
      </c>
      <c r="G721" s="637" t="s">
        <v>90</v>
      </c>
      <c r="H721" s="637" t="s">
        <v>1163</v>
      </c>
      <c r="I721" s="637" t="s">
        <v>58</v>
      </c>
      <c r="J721" s="636">
        <v>322122</v>
      </c>
      <c r="K721" s="636">
        <v>7</v>
      </c>
      <c r="L721" s="637" t="s">
        <v>403</v>
      </c>
      <c r="M721" s="637" t="s">
        <v>42</v>
      </c>
      <c r="N721" s="637" t="s">
        <v>418</v>
      </c>
      <c r="O721" s="637" t="s">
        <v>49</v>
      </c>
      <c r="P721" s="637" t="s">
        <v>47</v>
      </c>
      <c r="Q721" s="638">
        <v>12839</v>
      </c>
      <c r="R721" s="638">
        <v>1629</v>
      </c>
      <c r="S721" s="638">
        <v>25834</v>
      </c>
      <c r="T721" s="638">
        <v>3277</v>
      </c>
      <c r="U721" s="638">
        <v>683.52300000000002</v>
      </c>
      <c r="V721" s="636">
        <v>2022</v>
      </c>
      <c r="W721" s="640"/>
      <c r="X721" s="641" t="str">
        <f t="shared" si="33"/>
        <v/>
      </c>
      <c r="Y721" s="642" t="str">
        <f t="shared" si="34"/>
        <v/>
      </c>
      <c r="Z721" s="642" t="str">
        <f t="shared" si="35"/>
        <v/>
      </c>
    </row>
    <row r="722" spans="1:26" s="127" customFormat="1" ht="37.5" hidden="1">
      <c r="A722" s="636">
        <v>50406</v>
      </c>
      <c r="B722" s="637" t="s">
        <v>54</v>
      </c>
      <c r="C722" s="636" t="s">
        <v>2725</v>
      </c>
      <c r="D722" s="637" t="s">
        <v>416</v>
      </c>
      <c r="E722" s="637" t="s">
        <v>417</v>
      </c>
      <c r="F722" s="636">
        <v>16190</v>
      </c>
      <c r="G722" s="637" t="s">
        <v>90</v>
      </c>
      <c r="H722" s="637" t="s">
        <v>1163</v>
      </c>
      <c r="I722" s="637" t="s">
        <v>58</v>
      </c>
      <c r="J722" s="636">
        <v>322122</v>
      </c>
      <c r="K722" s="636">
        <v>7</v>
      </c>
      <c r="L722" s="637" t="s">
        <v>403</v>
      </c>
      <c r="M722" s="637" t="s">
        <v>42</v>
      </c>
      <c r="N722" s="637" t="s">
        <v>61</v>
      </c>
      <c r="O722" s="637" t="s">
        <v>61</v>
      </c>
      <c r="P722" s="637" t="s">
        <v>47</v>
      </c>
      <c r="Q722" s="638">
        <v>84050</v>
      </c>
      <c r="R722" s="638">
        <v>10727</v>
      </c>
      <c r="S722" s="638">
        <v>532036</v>
      </c>
      <c r="T722" s="638">
        <v>67905</v>
      </c>
      <c r="U722" s="638">
        <v>14221.681</v>
      </c>
      <c r="V722" s="636">
        <v>2022</v>
      </c>
      <c r="W722" s="640"/>
      <c r="X722" s="641" t="str">
        <f t="shared" si="33"/>
        <v/>
      </c>
      <c r="Y722" s="642" t="str">
        <f t="shared" si="34"/>
        <v/>
      </c>
      <c r="Z722" s="642" t="str">
        <f t="shared" si="35"/>
        <v/>
      </c>
    </row>
    <row r="723" spans="1:26" s="127" customFormat="1" ht="37.5" hidden="1">
      <c r="A723" s="636">
        <v>50406</v>
      </c>
      <c r="B723" s="637" t="s">
        <v>54</v>
      </c>
      <c r="C723" s="636" t="s">
        <v>2725</v>
      </c>
      <c r="D723" s="637" t="s">
        <v>416</v>
      </c>
      <c r="E723" s="637" t="s">
        <v>417</v>
      </c>
      <c r="F723" s="636">
        <v>16190</v>
      </c>
      <c r="G723" s="637" t="s">
        <v>90</v>
      </c>
      <c r="H723" s="637" t="s">
        <v>1163</v>
      </c>
      <c r="I723" s="637" t="s">
        <v>58</v>
      </c>
      <c r="J723" s="636">
        <v>322122</v>
      </c>
      <c r="K723" s="636">
        <v>7</v>
      </c>
      <c r="L723" s="637" t="s">
        <v>403</v>
      </c>
      <c r="M723" s="637" t="s">
        <v>42</v>
      </c>
      <c r="N723" s="637" t="s">
        <v>152</v>
      </c>
      <c r="O723" s="637" t="s">
        <v>49</v>
      </c>
      <c r="P723" s="637" t="s">
        <v>45</v>
      </c>
      <c r="Q723" s="638">
        <v>42935</v>
      </c>
      <c r="R723" s="638">
        <v>5403</v>
      </c>
      <c r="S723" s="638">
        <v>188485</v>
      </c>
      <c r="T723" s="638">
        <v>23721</v>
      </c>
      <c r="U723" s="638">
        <v>4940.1779999999999</v>
      </c>
      <c r="V723" s="636">
        <v>2022</v>
      </c>
      <c r="W723" s="640"/>
      <c r="X723" s="641" t="str">
        <f t="shared" si="33"/>
        <v/>
      </c>
      <c r="Y723" s="642" t="str">
        <f t="shared" si="34"/>
        <v/>
      </c>
      <c r="Z723" s="642" t="str">
        <f t="shared" si="35"/>
        <v/>
      </c>
    </row>
    <row r="724" spans="1:26" s="127" customFormat="1" ht="37.5" hidden="1">
      <c r="A724" s="636">
        <v>50406</v>
      </c>
      <c r="B724" s="637" t="s">
        <v>54</v>
      </c>
      <c r="C724" s="636" t="s">
        <v>2725</v>
      </c>
      <c r="D724" s="637" t="s">
        <v>416</v>
      </c>
      <c r="E724" s="637" t="s">
        <v>417</v>
      </c>
      <c r="F724" s="636">
        <v>16190</v>
      </c>
      <c r="G724" s="637" t="s">
        <v>90</v>
      </c>
      <c r="H724" s="637" t="s">
        <v>1163</v>
      </c>
      <c r="I724" s="637" t="s">
        <v>58</v>
      </c>
      <c r="J724" s="636">
        <v>322122</v>
      </c>
      <c r="K724" s="636">
        <v>7</v>
      </c>
      <c r="L724" s="637" t="s">
        <v>403</v>
      </c>
      <c r="M724" s="637" t="s">
        <v>42</v>
      </c>
      <c r="N724" s="637" t="s">
        <v>396</v>
      </c>
      <c r="O724" s="637" t="s">
        <v>82</v>
      </c>
      <c r="P724" s="637" t="s">
        <v>45</v>
      </c>
      <c r="Q724" s="638">
        <v>50241</v>
      </c>
      <c r="R724" s="638">
        <v>6359</v>
      </c>
      <c r="S724" s="638">
        <v>1588143</v>
      </c>
      <c r="T724" s="638">
        <v>201049</v>
      </c>
      <c r="U724" s="638">
        <v>41885.326000000001</v>
      </c>
      <c r="V724" s="636">
        <v>2022</v>
      </c>
      <c r="W724" s="640"/>
      <c r="X724" s="641" t="str">
        <f t="shared" si="33"/>
        <v/>
      </c>
      <c r="Y724" s="642" t="str">
        <f t="shared" si="34"/>
        <v/>
      </c>
      <c r="Z724" s="642" t="str">
        <f t="shared" si="35"/>
        <v/>
      </c>
    </row>
    <row r="725" spans="1:26" s="127" customFormat="1" ht="37.5" hidden="1">
      <c r="A725" s="636">
        <v>50406</v>
      </c>
      <c r="B725" s="637" t="s">
        <v>54</v>
      </c>
      <c r="C725" s="636" t="s">
        <v>2725</v>
      </c>
      <c r="D725" s="637" t="s">
        <v>416</v>
      </c>
      <c r="E725" s="637" t="s">
        <v>417</v>
      </c>
      <c r="F725" s="636">
        <v>16190</v>
      </c>
      <c r="G725" s="637" t="s">
        <v>90</v>
      </c>
      <c r="H725" s="637" t="s">
        <v>1163</v>
      </c>
      <c r="I725" s="637" t="s">
        <v>58</v>
      </c>
      <c r="J725" s="636">
        <v>322122</v>
      </c>
      <c r="K725" s="636">
        <v>7</v>
      </c>
      <c r="L725" s="637" t="s">
        <v>403</v>
      </c>
      <c r="M725" s="637" t="s">
        <v>42</v>
      </c>
      <c r="N725" s="637" t="s">
        <v>69</v>
      </c>
      <c r="O725" s="637" t="s">
        <v>70</v>
      </c>
      <c r="P725" s="637" t="s">
        <v>45</v>
      </c>
      <c r="Q725" s="638">
        <v>720586</v>
      </c>
      <c r="R725" s="638">
        <v>92729</v>
      </c>
      <c r="S725" s="638">
        <v>6348361</v>
      </c>
      <c r="T725" s="638">
        <v>816946</v>
      </c>
      <c r="U725" s="638">
        <v>170313.61</v>
      </c>
      <c r="V725" s="636">
        <v>2022</v>
      </c>
      <c r="W725" s="640"/>
      <c r="X725" s="641" t="str">
        <f t="shared" si="33"/>
        <v/>
      </c>
      <c r="Y725" s="642" t="str">
        <f t="shared" si="34"/>
        <v/>
      </c>
      <c r="Z725" s="642" t="str">
        <f t="shared" si="35"/>
        <v/>
      </c>
    </row>
    <row r="726" spans="1:26" s="127" customFormat="1" ht="25">
      <c r="A726" s="636">
        <v>50414</v>
      </c>
      <c r="B726" s="637" t="s">
        <v>33</v>
      </c>
      <c r="C726" s="636" t="s">
        <v>2725</v>
      </c>
      <c r="D726" s="637" t="s">
        <v>872</v>
      </c>
      <c r="E726" s="637" t="s">
        <v>867</v>
      </c>
      <c r="F726" s="636">
        <v>24793</v>
      </c>
      <c r="G726" s="637" t="s">
        <v>96</v>
      </c>
      <c r="H726" s="637" t="s">
        <v>1163</v>
      </c>
      <c r="I726" s="637" t="s">
        <v>58</v>
      </c>
      <c r="J726" s="636">
        <v>22</v>
      </c>
      <c r="K726" s="636">
        <v>2</v>
      </c>
      <c r="L726" s="637" t="s">
        <v>52</v>
      </c>
      <c r="M726" s="637" t="s">
        <v>35</v>
      </c>
      <c r="N726" s="637" t="s">
        <v>36</v>
      </c>
      <c r="O726" s="637" t="s">
        <v>37</v>
      </c>
      <c r="P726" s="637" t="s">
        <v>1156</v>
      </c>
      <c r="Q726" s="638">
        <v>0</v>
      </c>
      <c r="R726" s="638">
        <v>0</v>
      </c>
      <c r="S726" s="638">
        <v>40265</v>
      </c>
      <c r="T726" s="638">
        <v>40265</v>
      </c>
      <c r="U726" s="638">
        <v>11801</v>
      </c>
      <c r="V726" s="636">
        <v>2022</v>
      </c>
      <c r="W726" s="640"/>
      <c r="X726" s="641">
        <f t="shared" si="33"/>
        <v>3.4119989831370221</v>
      </c>
      <c r="Y726" s="642" t="str">
        <f t="shared" si="34"/>
        <v/>
      </c>
      <c r="Z726" s="642" t="str">
        <f t="shared" si="35"/>
        <v/>
      </c>
    </row>
    <row r="727" spans="1:26" s="127" customFormat="1" ht="25">
      <c r="A727" s="636">
        <v>50416</v>
      </c>
      <c r="B727" s="637" t="s">
        <v>33</v>
      </c>
      <c r="C727" s="636" t="s">
        <v>2725</v>
      </c>
      <c r="D727" s="637" t="s">
        <v>873</v>
      </c>
      <c r="E727" s="637" t="s">
        <v>3605</v>
      </c>
      <c r="F727" s="636">
        <v>65466</v>
      </c>
      <c r="G727" s="637" t="s">
        <v>57</v>
      </c>
      <c r="H727" s="637" t="s">
        <v>1162</v>
      </c>
      <c r="I727" s="637" t="s">
        <v>58</v>
      </c>
      <c r="J727" s="636">
        <v>22</v>
      </c>
      <c r="K727" s="636">
        <v>2</v>
      </c>
      <c r="L727" s="637" t="s">
        <v>52</v>
      </c>
      <c r="M727" s="637" t="s">
        <v>35</v>
      </c>
      <c r="N727" s="637" t="s">
        <v>36</v>
      </c>
      <c r="O727" s="637" t="s">
        <v>37</v>
      </c>
      <c r="P727" s="637" t="s">
        <v>1156</v>
      </c>
      <c r="Q727" s="638">
        <v>0</v>
      </c>
      <c r="R727" s="638">
        <v>0</v>
      </c>
      <c r="S727" s="638">
        <v>18388</v>
      </c>
      <c r="T727" s="638">
        <v>18388</v>
      </c>
      <c r="U727" s="638">
        <v>5389</v>
      </c>
      <c r="V727" s="636">
        <v>2022</v>
      </c>
      <c r="W727" s="640"/>
      <c r="X727" s="641">
        <f t="shared" si="33"/>
        <v>3.4121358322508812</v>
      </c>
      <c r="Y727" s="642" t="str">
        <f t="shared" si="34"/>
        <v/>
      </c>
      <c r="Z727" s="642" t="str">
        <f t="shared" si="35"/>
        <v/>
      </c>
    </row>
    <row r="728" spans="1:26" s="127" customFormat="1" ht="37.5" hidden="1">
      <c r="A728" s="636">
        <v>50427</v>
      </c>
      <c r="B728" s="637" t="s">
        <v>54</v>
      </c>
      <c r="C728" s="636" t="s">
        <v>2725</v>
      </c>
      <c r="D728" s="637" t="s">
        <v>874</v>
      </c>
      <c r="E728" s="637" t="s">
        <v>875</v>
      </c>
      <c r="F728" s="636">
        <v>13487</v>
      </c>
      <c r="G728" s="637" t="s">
        <v>57</v>
      </c>
      <c r="H728" s="637" t="s">
        <v>1162</v>
      </c>
      <c r="I728" s="637" t="s">
        <v>58</v>
      </c>
      <c r="J728" s="636">
        <v>712</v>
      </c>
      <c r="K728" s="636">
        <v>5</v>
      </c>
      <c r="L728" s="637" t="s">
        <v>407</v>
      </c>
      <c r="M728" s="637" t="s">
        <v>51</v>
      </c>
      <c r="N728" s="637" t="s">
        <v>46</v>
      </c>
      <c r="O728" s="637" t="s">
        <v>46</v>
      </c>
      <c r="P728" s="637" t="s">
        <v>47</v>
      </c>
      <c r="Q728" s="638">
        <v>0</v>
      </c>
      <c r="R728" s="638">
        <v>0</v>
      </c>
      <c r="S728" s="638">
        <v>0</v>
      </c>
      <c r="T728" s="638">
        <v>0</v>
      </c>
      <c r="U728" s="638">
        <v>0</v>
      </c>
      <c r="V728" s="636">
        <v>2022</v>
      </c>
      <c r="W728" s="640"/>
      <c r="X728" s="641" t="str">
        <f t="shared" si="33"/>
        <v/>
      </c>
      <c r="Y728" s="642" t="str">
        <f t="shared" si="34"/>
        <v/>
      </c>
      <c r="Z728" s="642" t="str">
        <f t="shared" si="35"/>
        <v/>
      </c>
    </row>
    <row r="729" spans="1:26" s="127" customFormat="1" ht="37.5" hidden="1">
      <c r="A729" s="636">
        <v>50427</v>
      </c>
      <c r="B729" s="637" t="s">
        <v>54</v>
      </c>
      <c r="C729" s="636" t="s">
        <v>2725</v>
      </c>
      <c r="D729" s="637" t="s">
        <v>874</v>
      </c>
      <c r="E729" s="637" t="s">
        <v>875</v>
      </c>
      <c r="F729" s="636">
        <v>13487</v>
      </c>
      <c r="G729" s="637" t="s">
        <v>57</v>
      </c>
      <c r="H729" s="637" t="s">
        <v>1162</v>
      </c>
      <c r="I729" s="637" t="s">
        <v>58</v>
      </c>
      <c r="J729" s="636">
        <v>712</v>
      </c>
      <c r="K729" s="636">
        <v>5</v>
      </c>
      <c r="L729" s="637" t="s">
        <v>407</v>
      </c>
      <c r="M729" s="637" t="s">
        <v>51</v>
      </c>
      <c r="N729" s="637" t="s">
        <v>39</v>
      </c>
      <c r="O729" s="637" t="s">
        <v>39</v>
      </c>
      <c r="P729" s="637" t="s">
        <v>1020</v>
      </c>
      <c r="Q729" s="638">
        <v>218577</v>
      </c>
      <c r="R729" s="638">
        <v>97778</v>
      </c>
      <c r="S729" s="638">
        <v>240435</v>
      </c>
      <c r="T729" s="638">
        <v>107556</v>
      </c>
      <c r="U729" s="638">
        <v>17653</v>
      </c>
      <c r="V729" s="636">
        <v>2022</v>
      </c>
      <c r="W729" s="640"/>
      <c r="X729" s="641" t="str">
        <f t="shared" si="33"/>
        <v/>
      </c>
      <c r="Y729" s="642" t="str">
        <f t="shared" si="34"/>
        <v/>
      </c>
      <c r="Z729" s="642" t="str">
        <f t="shared" si="35"/>
        <v/>
      </c>
    </row>
    <row r="730" spans="1:26" s="127" customFormat="1" ht="37.5" hidden="1">
      <c r="A730" s="636">
        <v>50447</v>
      </c>
      <c r="B730" s="637" t="s">
        <v>54</v>
      </c>
      <c r="C730" s="636" t="s">
        <v>2725</v>
      </c>
      <c r="D730" s="637" t="s">
        <v>419</v>
      </c>
      <c r="E730" s="637" t="s">
        <v>3605</v>
      </c>
      <c r="F730" s="636">
        <v>65466</v>
      </c>
      <c r="G730" s="637" t="s">
        <v>90</v>
      </c>
      <c r="H730" s="637" t="s">
        <v>1163</v>
      </c>
      <c r="I730" s="637" t="s">
        <v>58</v>
      </c>
      <c r="J730" s="636">
        <v>322122</v>
      </c>
      <c r="K730" s="636">
        <v>7</v>
      </c>
      <c r="L730" s="637" t="s">
        <v>403</v>
      </c>
      <c r="M730" s="637" t="s">
        <v>35</v>
      </c>
      <c r="N730" s="637" t="s">
        <v>36</v>
      </c>
      <c r="O730" s="637" t="s">
        <v>37</v>
      </c>
      <c r="P730" s="637" t="s">
        <v>1156</v>
      </c>
      <c r="Q730" s="638">
        <v>0</v>
      </c>
      <c r="R730" s="638">
        <v>0</v>
      </c>
      <c r="S730" s="638">
        <v>53769</v>
      </c>
      <c r="T730" s="638">
        <v>53769</v>
      </c>
      <c r="U730" s="638">
        <v>15759</v>
      </c>
      <c r="V730" s="636">
        <v>2022</v>
      </c>
      <c r="W730" s="640"/>
      <c r="X730" s="641" t="str">
        <f t="shared" si="33"/>
        <v/>
      </c>
      <c r="Y730" s="642" t="str">
        <f t="shared" si="34"/>
        <v/>
      </c>
      <c r="Z730" s="642" t="str">
        <f t="shared" si="35"/>
        <v/>
      </c>
    </row>
    <row r="731" spans="1:26" s="127" customFormat="1" ht="37.5" hidden="1">
      <c r="A731" s="636">
        <v>50447</v>
      </c>
      <c r="B731" s="637" t="s">
        <v>54</v>
      </c>
      <c r="C731" s="636" t="s">
        <v>2725</v>
      </c>
      <c r="D731" s="637" t="s">
        <v>419</v>
      </c>
      <c r="E731" s="637" t="s">
        <v>3605</v>
      </c>
      <c r="F731" s="636">
        <v>65466</v>
      </c>
      <c r="G731" s="637" t="s">
        <v>90</v>
      </c>
      <c r="H731" s="637" t="s">
        <v>1163</v>
      </c>
      <c r="I731" s="637" t="s">
        <v>58</v>
      </c>
      <c r="J731" s="636">
        <v>322122</v>
      </c>
      <c r="K731" s="636">
        <v>7</v>
      </c>
      <c r="L731" s="637" t="s">
        <v>403</v>
      </c>
      <c r="M731" s="637" t="s">
        <v>42</v>
      </c>
      <c r="N731" s="637" t="s">
        <v>43</v>
      </c>
      <c r="O731" s="637" t="s">
        <v>44</v>
      </c>
      <c r="P731" s="637" t="s">
        <v>45</v>
      </c>
      <c r="Q731" s="638">
        <v>0</v>
      </c>
      <c r="R731" s="638">
        <v>0</v>
      </c>
      <c r="S731" s="638">
        <v>0</v>
      </c>
      <c r="T731" s="638">
        <v>0</v>
      </c>
      <c r="U731" s="638">
        <v>0</v>
      </c>
      <c r="V731" s="636">
        <v>2022</v>
      </c>
      <c r="W731" s="640"/>
      <c r="X731" s="641" t="str">
        <f t="shared" si="33"/>
        <v/>
      </c>
      <c r="Y731" s="642" t="str">
        <f t="shared" si="34"/>
        <v/>
      </c>
      <c r="Z731" s="642" t="str">
        <f t="shared" si="35"/>
        <v/>
      </c>
    </row>
    <row r="732" spans="1:26" s="127" customFormat="1" ht="37.5" hidden="1">
      <c r="A732" s="636">
        <v>50447</v>
      </c>
      <c r="B732" s="637" t="s">
        <v>54</v>
      </c>
      <c r="C732" s="636" t="s">
        <v>2725</v>
      </c>
      <c r="D732" s="637" t="s">
        <v>419</v>
      </c>
      <c r="E732" s="637" t="s">
        <v>3605</v>
      </c>
      <c r="F732" s="636">
        <v>65466</v>
      </c>
      <c r="G732" s="637" t="s">
        <v>90</v>
      </c>
      <c r="H732" s="637" t="s">
        <v>1163</v>
      </c>
      <c r="I732" s="637" t="s">
        <v>58</v>
      </c>
      <c r="J732" s="636">
        <v>322122</v>
      </c>
      <c r="K732" s="636">
        <v>7</v>
      </c>
      <c r="L732" s="637" t="s">
        <v>403</v>
      </c>
      <c r="M732" s="637" t="s">
        <v>42</v>
      </c>
      <c r="N732" s="637" t="s">
        <v>46</v>
      </c>
      <c r="O732" s="637" t="s">
        <v>46</v>
      </c>
      <c r="P732" s="637" t="s">
        <v>47</v>
      </c>
      <c r="Q732" s="638">
        <v>0</v>
      </c>
      <c r="R732" s="638">
        <v>0</v>
      </c>
      <c r="S732" s="638">
        <v>0</v>
      </c>
      <c r="T732" s="638">
        <v>0</v>
      </c>
      <c r="U732" s="638">
        <v>0</v>
      </c>
      <c r="V732" s="636">
        <v>2022</v>
      </c>
      <c r="W732" s="640"/>
      <c r="X732" s="641" t="str">
        <f t="shared" si="33"/>
        <v/>
      </c>
      <c r="Y732" s="642" t="str">
        <f t="shared" si="34"/>
        <v/>
      </c>
      <c r="Z732" s="642" t="str">
        <f t="shared" si="35"/>
        <v/>
      </c>
    </row>
    <row r="733" spans="1:26" s="127" customFormat="1" ht="37.5" hidden="1">
      <c r="A733" s="636">
        <v>50447</v>
      </c>
      <c r="B733" s="637" t="s">
        <v>54</v>
      </c>
      <c r="C733" s="636" t="s">
        <v>2725</v>
      </c>
      <c r="D733" s="637" t="s">
        <v>419</v>
      </c>
      <c r="E733" s="637" t="s">
        <v>3605</v>
      </c>
      <c r="F733" s="636">
        <v>65466</v>
      </c>
      <c r="G733" s="637" t="s">
        <v>90</v>
      </c>
      <c r="H733" s="637" t="s">
        <v>1163</v>
      </c>
      <c r="I733" s="637" t="s">
        <v>58</v>
      </c>
      <c r="J733" s="636">
        <v>322122</v>
      </c>
      <c r="K733" s="636">
        <v>7</v>
      </c>
      <c r="L733" s="637" t="s">
        <v>403</v>
      </c>
      <c r="M733" s="637" t="s">
        <v>42</v>
      </c>
      <c r="N733" s="637" t="s">
        <v>61</v>
      </c>
      <c r="O733" s="637" t="s">
        <v>61</v>
      </c>
      <c r="P733" s="637" t="s">
        <v>47</v>
      </c>
      <c r="Q733" s="638">
        <v>0</v>
      </c>
      <c r="R733" s="638">
        <v>0</v>
      </c>
      <c r="S733" s="638">
        <v>0</v>
      </c>
      <c r="T733" s="638">
        <v>0</v>
      </c>
      <c r="U733" s="638">
        <v>0</v>
      </c>
      <c r="V733" s="636">
        <v>2022</v>
      </c>
      <c r="W733" s="640"/>
      <c r="X733" s="641" t="str">
        <f t="shared" si="33"/>
        <v/>
      </c>
      <c r="Y733" s="642" t="str">
        <f t="shared" si="34"/>
        <v/>
      </c>
      <c r="Z733" s="642" t="str">
        <f t="shared" si="35"/>
        <v/>
      </c>
    </row>
    <row r="734" spans="1:26" s="127" customFormat="1" ht="37.5" hidden="1">
      <c r="A734" s="636">
        <v>50447</v>
      </c>
      <c r="B734" s="637" t="s">
        <v>54</v>
      </c>
      <c r="C734" s="636" t="s">
        <v>2725</v>
      </c>
      <c r="D734" s="637" t="s">
        <v>419</v>
      </c>
      <c r="E734" s="637" t="s">
        <v>3605</v>
      </c>
      <c r="F734" s="636">
        <v>65466</v>
      </c>
      <c r="G734" s="637" t="s">
        <v>90</v>
      </c>
      <c r="H734" s="637" t="s">
        <v>1163</v>
      </c>
      <c r="I734" s="637" t="s">
        <v>58</v>
      </c>
      <c r="J734" s="636">
        <v>322122</v>
      </c>
      <c r="K734" s="636">
        <v>7</v>
      </c>
      <c r="L734" s="637" t="s">
        <v>403</v>
      </c>
      <c r="M734" s="637" t="s">
        <v>42</v>
      </c>
      <c r="N734" s="637" t="s">
        <v>69</v>
      </c>
      <c r="O734" s="637" t="s">
        <v>70</v>
      </c>
      <c r="P734" s="637" t="s">
        <v>45</v>
      </c>
      <c r="Q734" s="638">
        <v>0</v>
      </c>
      <c r="R734" s="638">
        <v>0</v>
      </c>
      <c r="S734" s="638">
        <v>0</v>
      </c>
      <c r="T734" s="638">
        <v>0</v>
      </c>
      <c r="U734" s="638">
        <v>0</v>
      </c>
      <c r="V734" s="636">
        <v>2022</v>
      </c>
      <c r="W734" s="640"/>
      <c r="X734" s="641" t="str">
        <f t="shared" si="33"/>
        <v/>
      </c>
      <c r="Y734" s="642" t="str">
        <f t="shared" si="34"/>
        <v/>
      </c>
      <c r="Z734" s="642" t="str">
        <f t="shared" si="35"/>
        <v/>
      </c>
    </row>
    <row r="735" spans="1:26" s="127" customFormat="1" ht="25">
      <c r="A735" s="636">
        <v>50449</v>
      </c>
      <c r="B735" s="637" t="s">
        <v>54</v>
      </c>
      <c r="C735" s="636" t="s">
        <v>2725</v>
      </c>
      <c r="D735" s="637" t="s">
        <v>876</v>
      </c>
      <c r="E735" s="637" t="s">
        <v>877</v>
      </c>
      <c r="F735" s="636">
        <v>9245</v>
      </c>
      <c r="G735" s="637" t="s">
        <v>57</v>
      </c>
      <c r="H735" s="637" t="s">
        <v>1162</v>
      </c>
      <c r="I735" s="637" t="s">
        <v>58</v>
      </c>
      <c r="J735" s="636">
        <v>22</v>
      </c>
      <c r="K735" s="636">
        <v>3</v>
      </c>
      <c r="L735" s="637" t="s">
        <v>55</v>
      </c>
      <c r="M735" s="637" t="s">
        <v>38</v>
      </c>
      <c r="N735" s="637" t="s">
        <v>46</v>
      </c>
      <c r="O735" s="637" t="s">
        <v>46</v>
      </c>
      <c r="P735" s="637" t="s">
        <v>47</v>
      </c>
      <c r="Q735" s="638">
        <v>0</v>
      </c>
      <c r="R735" s="638">
        <v>0</v>
      </c>
      <c r="S735" s="638">
        <v>0</v>
      </c>
      <c r="T735" s="638">
        <v>0</v>
      </c>
      <c r="U735" s="638">
        <v>0</v>
      </c>
      <c r="V735" s="636">
        <v>2022</v>
      </c>
      <c r="W735" s="640"/>
      <c r="X735" s="641" t="str">
        <f t="shared" si="33"/>
        <v/>
      </c>
      <c r="Y735" s="642" t="str">
        <f t="shared" si="34"/>
        <v/>
      </c>
      <c r="Z735" s="642" t="str">
        <f t="shared" si="35"/>
        <v/>
      </c>
    </row>
    <row r="736" spans="1:26" s="127" customFormat="1" ht="25">
      <c r="A736" s="636">
        <v>50449</v>
      </c>
      <c r="B736" s="637" t="s">
        <v>54</v>
      </c>
      <c r="C736" s="636" t="s">
        <v>2725</v>
      </c>
      <c r="D736" s="637" t="s">
        <v>876</v>
      </c>
      <c r="E736" s="637" t="s">
        <v>877</v>
      </c>
      <c r="F736" s="636">
        <v>9245</v>
      </c>
      <c r="G736" s="637" t="s">
        <v>57</v>
      </c>
      <c r="H736" s="637" t="s">
        <v>1162</v>
      </c>
      <c r="I736" s="637" t="s">
        <v>58</v>
      </c>
      <c r="J736" s="636">
        <v>22</v>
      </c>
      <c r="K736" s="636">
        <v>3</v>
      </c>
      <c r="L736" s="637" t="s">
        <v>55</v>
      </c>
      <c r="M736" s="637" t="s">
        <v>38</v>
      </c>
      <c r="N736" s="637" t="s">
        <v>39</v>
      </c>
      <c r="O736" s="637" t="s">
        <v>39</v>
      </c>
      <c r="P736" s="637" t="s">
        <v>1020</v>
      </c>
      <c r="Q736" s="638">
        <v>3682</v>
      </c>
      <c r="R736" s="638">
        <v>3682</v>
      </c>
      <c r="S736" s="638">
        <v>3703</v>
      </c>
      <c r="T736" s="638">
        <v>3703</v>
      </c>
      <c r="U736" s="638">
        <v>4551.24</v>
      </c>
      <c r="V736" s="636">
        <v>2022</v>
      </c>
      <c r="W736" s="640"/>
      <c r="X736" s="641">
        <f t="shared" si="33"/>
        <v>0.81362441883970082</v>
      </c>
      <c r="Y736" s="642" t="str">
        <f t="shared" si="34"/>
        <v/>
      </c>
      <c r="Z736" s="642" t="str">
        <f t="shared" si="35"/>
        <v/>
      </c>
    </row>
    <row r="737" spans="1:26" s="127" customFormat="1" ht="25">
      <c r="A737" s="636">
        <v>50449</v>
      </c>
      <c r="B737" s="637" t="s">
        <v>54</v>
      </c>
      <c r="C737" s="636" t="s">
        <v>2725</v>
      </c>
      <c r="D737" s="637" t="s">
        <v>876</v>
      </c>
      <c r="E737" s="637" t="s">
        <v>877</v>
      </c>
      <c r="F737" s="636">
        <v>9245</v>
      </c>
      <c r="G737" s="637" t="s">
        <v>57</v>
      </c>
      <c r="H737" s="637" t="s">
        <v>1162</v>
      </c>
      <c r="I737" s="637" t="s">
        <v>58</v>
      </c>
      <c r="J737" s="636">
        <v>22</v>
      </c>
      <c r="K737" s="636">
        <v>3</v>
      </c>
      <c r="L737" s="637" t="s">
        <v>55</v>
      </c>
      <c r="M737" s="637" t="s">
        <v>41</v>
      </c>
      <c r="N737" s="637" t="s">
        <v>46</v>
      </c>
      <c r="O737" s="637" t="s">
        <v>46</v>
      </c>
      <c r="P737" s="637" t="s">
        <v>47</v>
      </c>
      <c r="Q737" s="638">
        <v>0</v>
      </c>
      <c r="R737" s="638">
        <v>0</v>
      </c>
      <c r="S737" s="638">
        <v>0</v>
      </c>
      <c r="T737" s="638">
        <v>0</v>
      </c>
      <c r="U737" s="638">
        <v>0</v>
      </c>
      <c r="V737" s="636">
        <v>2022</v>
      </c>
      <c r="W737" s="640"/>
      <c r="X737" s="641" t="str">
        <f t="shared" si="33"/>
        <v/>
      </c>
      <c r="Y737" s="642" t="str">
        <f t="shared" si="34"/>
        <v/>
      </c>
      <c r="Z737" s="642" t="str">
        <f t="shared" si="35"/>
        <v/>
      </c>
    </row>
    <row r="738" spans="1:26" s="127" customFormat="1" ht="25">
      <c r="A738" s="636">
        <v>50449</v>
      </c>
      <c r="B738" s="637" t="s">
        <v>54</v>
      </c>
      <c r="C738" s="636" t="s">
        <v>2725</v>
      </c>
      <c r="D738" s="637" t="s">
        <v>876</v>
      </c>
      <c r="E738" s="637" t="s">
        <v>877</v>
      </c>
      <c r="F738" s="636">
        <v>9245</v>
      </c>
      <c r="G738" s="637" t="s">
        <v>57</v>
      </c>
      <c r="H738" s="637" t="s">
        <v>1162</v>
      </c>
      <c r="I738" s="637" t="s">
        <v>58</v>
      </c>
      <c r="J738" s="636">
        <v>22</v>
      </c>
      <c r="K738" s="636">
        <v>3</v>
      </c>
      <c r="L738" s="637" t="s">
        <v>55</v>
      </c>
      <c r="M738" s="637" t="s">
        <v>41</v>
      </c>
      <c r="N738" s="637" t="s">
        <v>39</v>
      </c>
      <c r="O738" s="637" t="s">
        <v>39</v>
      </c>
      <c r="P738" s="637" t="s">
        <v>1020</v>
      </c>
      <c r="Q738" s="638">
        <v>152482</v>
      </c>
      <c r="R738" s="638">
        <v>152482</v>
      </c>
      <c r="S738" s="638">
        <v>154524</v>
      </c>
      <c r="T738" s="638">
        <v>154524</v>
      </c>
      <c r="U738" s="638">
        <v>12380.11</v>
      </c>
      <c r="V738" s="636">
        <v>2022</v>
      </c>
      <c r="W738" s="640"/>
      <c r="X738" s="641">
        <f t="shared" si="33"/>
        <v>12.48163384654902</v>
      </c>
      <c r="Y738" s="642" t="str">
        <f t="shared" si="34"/>
        <v/>
      </c>
      <c r="Z738" s="642" t="str">
        <f t="shared" si="35"/>
        <v/>
      </c>
    </row>
    <row r="739" spans="1:26" s="127" customFormat="1" ht="25">
      <c r="A739" s="636">
        <v>50450</v>
      </c>
      <c r="B739" s="637" t="s">
        <v>54</v>
      </c>
      <c r="C739" s="636" t="s">
        <v>2725</v>
      </c>
      <c r="D739" s="637" t="s">
        <v>878</v>
      </c>
      <c r="E739" s="637" t="s">
        <v>879</v>
      </c>
      <c r="F739" s="636">
        <v>9244</v>
      </c>
      <c r="G739" s="637" t="s">
        <v>57</v>
      </c>
      <c r="H739" s="637" t="s">
        <v>1162</v>
      </c>
      <c r="I739" s="637" t="s">
        <v>58</v>
      </c>
      <c r="J739" s="636">
        <v>22</v>
      </c>
      <c r="K739" s="636">
        <v>3</v>
      </c>
      <c r="L739" s="637" t="s">
        <v>55</v>
      </c>
      <c r="M739" s="637" t="s">
        <v>38</v>
      </c>
      <c r="N739" s="637" t="s">
        <v>46</v>
      </c>
      <c r="O739" s="637" t="s">
        <v>46</v>
      </c>
      <c r="P739" s="637" t="s">
        <v>47</v>
      </c>
      <c r="Q739" s="638">
        <v>0</v>
      </c>
      <c r="R739" s="638">
        <v>0</v>
      </c>
      <c r="S739" s="638">
        <v>0</v>
      </c>
      <c r="T739" s="638">
        <v>0</v>
      </c>
      <c r="U739" s="638">
        <v>1.6279999999999999</v>
      </c>
      <c r="V739" s="636">
        <v>2022</v>
      </c>
      <c r="W739" s="640"/>
      <c r="X739" s="641" t="str">
        <f t="shared" si="33"/>
        <v/>
      </c>
      <c r="Y739" s="642" t="str">
        <f t="shared" si="34"/>
        <v/>
      </c>
      <c r="Z739" s="642" t="str">
        <f t="shared" si="35"/>
        <v/>
      </c>
    </row>
    <row r="740" spans="1:26" s="127" customFormat="1" ht="25">
      <c r="A740" s="636">
        <v>50450</v>
      </c>
      <c r="B740" s="637" t="s">
        <v>54</v>
      </c>
      <c r="C740" s="636" t="s">
        <v>2725</v>
      </c>
      <c r="D740" s="637" t="s">
        <v>878</v>
      </c>
      <c r="E740" s="637" t="s">
        <v>879</v>
      </c>
      <c r="F740" s="636">
        <v>9244</v>
      </c>
      <c r="G740" s="637" t="s">
        <v>57</v>
      </c>
      <c r="H740" s="637" t="s">
        <v>1162</v>
      </c>
      <c r="I740" s="637" t="s">
        <v>58</v>
      </c>
      <c r="J740" s="636">
        <v>22</v>
      </c>
      <c r="K740" s="636">
        <v>3</v>
      </c>
      <c r="L740" s="637" t="s">
        <v>55</v>
      </c>
      <c r="M740" s="637" t="s">
        <v>38</v>
      </c>
      <c r="N740" s="637" t="s">
        <v>39</v>
      </c>
      <c r="O740" s="637" t="s">
        <v>39</v>
      </c>
      <c r="P740" s="637" t="s">
        <v>1020</v>
      </c>
      <c r="Q740" s="638">
        <v>4524</v>
      </c>
      <c r="R740" s="638">
        <v>4524</v>
      </c>
      <c r="S740" s="638">
        <v>4658</v>
      </c>
      <c r="T740" s="638">
        <v>4658</v>
      </c>
      <c r="U740" s="638">
        <v>4098.3720000000003</v>
      </c>
      <c r="V740" s="636">
        <v>2022</v>
      </c>
      <c r="W740" s="640"/>
      <c r="X740" s="641">
        <f t="shared" si="33"/>
        <v>1.1365488540327719</v>
      </c>
      <c r="Y740" s="642" t="str">
        <f t="shared" si="34"/>
        <v/>
      </c>
      <c r="Z740" s="642" t="str">
        <f t="shared" si="35"/>
        <v/>
      </c>
    </row>
    <row r="741" spans="1:26" s="127" customFormat="1" ht="25">
      <c r="A741" s="636">
        <v>50450</v>
      </c>
      <c r="B741" s="637" t="s">
        <v>54</v>
      </c>
      <c r="C741" s="636" t="s">
        <v>2725</v>
      </c>
      <c r="D741" s="637" t="s">
        <v>878</v>
      </c>
      <c r="E741" s="637" t="s">
        <v>879</v>
      </c>
      <c r="F741" s="636">
        <v>9244</v>
      </c>
      <c r="G741" s="637" t="s">
        <v>57</v>
      </c>
      <c r="H741" s="637" t="s">
        <v>1162</v>
      </c>
      <c r="I741" s="637" t="s">
        <v>58</v>
      </c>
      <c r="J741" s="636">
        <v>22</v>
      </c>
      <c r="K741" s="636">
        <v>3</v>
      </c>
      <c r="L741" s="637" t="s">
        <v>55</v>
      </c>
      <c r="M741" s="637" t="s">
        <v>41</v>
      </c>
      <c r="N741" s="637" t="s">
        <v>46</v>
      </c>
      <c r="O741" s="637" t="s">
        <v>46</v>
      </c>
      <c r="P741" s="637" t="s">
        <v>47</v>
      </c>
      <c r="Q741" s="638">
        <v>9</v>
      </c>
      <c r="R741" s="638">
        <v>9</v>
      </c>
      <c r="S741" s="638">
        <v>50</v>
      </c>
      <c r="T741" s="638">
        <v>50</v>
      </c>
      <c r="U741" s="638">
        <v>3.7050000000000001</v>
      </c>
      <c r="V741" s="636">
        <v>2022</v>
      </c>
      <c r="W741" s="640"/>
      <c r="X741" s="641">
        <f t="shared" si="33"/>
        <v>13.495276653171389</v>
      </c>
      <c r="Y741" s="642" t="str">
        <f t="shared" si="34"/>
        <v/>
      </c>
      <c r="Z741" s="642" t="str">
        <f t="shared" si="35"/>
        <v/>
      </c>
    </row>
    <row r="742" spans="1:26" s="127" customFormat="1" ht="25">
      <c r="A742" s="636">
        <v>50450</v>
      </c>
      <c r="B742" s="637" t="s">
        <v>54</v>
      </c>
      <c r="C742" s="636" t="s">
        <v>2725</v>
      </c>
      <c r="D742" s="637" t="s">
        <v>878</v>
      </c>
      <c r="E742" s="637" t="s">
        <v>879</v>
      </c>
      <c r="F742" s="636">
        <v>9244</v>
      </c>
      <c r="G742" s="637" t="s">
        <v>57</v>
      </c>
      <c r="H742" s="637" t="s">
        <v>1162</v>
      </c>
      <c r="I742" s="637" t="s">
        <v>58</v>
      </c>
      <c r="J742" s="636">
        <v>22</v>
      </c>
      <c r="K742" s="636">
        <v>3</v>
      </c>
      <c r="L742" s="637" t="s">
        <v>55</v>
      </c>
      <c r="M742" s="637" t="s">
        <v>41</v>
      </c>
      <c r="N742" s="637" t="s">
        <v>39</v>
      </c>
      <c r="O742" s="637" t="s">
        <v>39</v>
      </c>
      <c r="P742" s="637" t="s">
        <v>1020</v>
      </c>
      <c r="Q742" s="638">
        <v>115153</v>
      </c>
      <c r="R742" s="638">
        <v>115153</v>
      </c>
      <c r="S742" s="638">
        <v>118594</v>
      </c>
      <c r="T742" s="638">
        <v>118594</v>
      </c>
      <c r="U742" s="638">
        <v>8914.2950000000001</v>
      </c>
      <c r="V742" s="636">
        <v>2022</v>
      </c>
      <c r="W742" s="640"/>
      <c r="X742" s="641">
        <f t="shared" si="33"/>
        <v>13.303800244438849</v>
      </c>
      <c r="Y742" s="642" t="str">
        <f t="shared" si="34"/>
        <v/>
      </c>
      <c r="Z742" s="642" t="str">
        <f t="shared" si="35"/>
        <v/>
      </c>
    </row>
    <row r="743" spans="1:26" s="127" customFormat="1" ht="25">
      <c r="A743" s="636">
        <v>50451</v>
      </c>
      <c r="B743" s="637" t="s">
        <v>54</v>
      </c>
      <c r="C743" s="636" t="s">
        <v>2725</v>
      </c>
      <c r="D743" s="637" t="s">
        <v>880</v>
      </c>
      <c r="E743" s="637" t="s">
        <v>881</v>
      </c>
      <c r="F743" s="636">
        <v>9243</v>
      </c>
      <c r="G743" s="637" t="s">
        <v>57</v>
      </c>
      <c r="H743" s="637" t="s">
        <v>1162</v>
      </c>
      <c r="I743" s="637" t="s">
        <v>58</v>
      </c>
      <c r="J743" s="636">
        <v>22</v>
      </c>
      <c r="K743" s="636">
        <v>3</v>
      </c>
      <c r="L743" s="637" t="s">
        <v>55</v>
      </c>
      <c r="M743" s="637" t="s">
        <v>38</v>
      </c>
      <c r="N743" s="637" t="s">
        <v>46</v>
      </c>
      <c r="O743" s="637" t="s">
        <v>46</v>
      </c>
      <c r="P743" s="637" t="s">
        <v>47</v>
      </c>
      <c r="Q743" s="638">
        <v>0</v>
      </c>
      <c r="R743" s="638">
        <v>0</v>
      </c>
      <c r="S743" s="638">
        <v>0</v>
      </c>
      <c r="T743" s="638">
        <v>0</v>
      </c>
      <c r="U743" s="638">
        <v>11.507</v>
      </c>
      <c r="V743" s="636">
        <v>2022</v>
      </c>
      <c r="W743" s="640"/>
      <c r="X743" s="641" t="str">
        <f t="shared" si="33"/>
        <v/>
      </c>
      <c r="Y743" s="642" t="str">
        <f t="shared" si="34"/>
        <v/>
      </c>
      <c r="Z743" s="642" t="str">
        <f t="shared" si="35"/>
        <v/>
      </c>
    </row>
    <row r="744" spans="1:26" s="127" customFormat="1" ht="25">
      <c r="A744" s="636">
        <v>50451</v>
      </c>
      <c r="B744" s="637" t="s">
        <v>54</v>
      </c>
      <c r="C744" s="636" t="s">
        <v>2725</v>
      </c>
      <c r="D744" s="637" t="s">
        <v>880</v>
      </c>
      <c r="E744" s="637" t="s">
        <v>881</v>
      </c>
      <c r="F744" s="636">
        <v>9243</v>
      </c>
      <c r="G744" s="637" t="s">
        <v>57</v>
      </c>
      <c r="H744" s="637" t="s">
        <v>1162</v>
      </c>
      <c r="I744" s="637" t="s">
        <v>58</v>
      </c>
      <c r="J744" s="636">
        <v>22</v>
      </c>
      <c r="K744" s="636">
        <v>3</v>
      </c>
      <c r="L744" s="637" t="s">
        <v>55</v>
      </c>
      <c r="M744" s="637" t="s">
        <v>38</v>
      </c>
      <c r="N744" s="637" t="s">
        <v>39</v>
      </c>
      <c r="O744" s="637" t="s">
        <v>39</v>
      </c>
      <c r="P744" s="637" t="s">
        <v>1020</v>
      </c>
      <c r="Q744" s="638">
        <v>3786</v>
      </c>
      <c r="R744" s="638">
        <v>3786</v>
      </c>
      <c r="S744" s="638">
        <v>3909</v>
      </c>
      <c r="T744" s="638">
        <v>3909</v>
      </c>
      <c r="U744" s="638">
        <v>3567.4929999999999</v>
      </c>
      <c r="V744" s="636">
        <v>2022</v>
      </c>
      <c r="W744" s="640"/>
      <c r="X744" s="641">
        <f t="shared" si="33"/>
        <v>1.095727447818398</v>
      </c>
      <c r="Y744" s="642" t="str">
        <f t="shared" si="34"/>
        <v/>
      </c>
      <c r="Z744" s="642" t="str">
        <f t="shared" si="35"/>
        <v/>
      </c>
    </row>
    <row r="745" spans="1:26" s="127" customFormat="1" ht="25">
      <c r="A745" s="636">
        <v>50451</v>
      </c>
      <c r="B745" s="637" t="s">
        <v>54</v>
      </c>
      <c r="C745" s="636" t="s">
        <v>2725</v>
      </c>
      <c r="D745" s="637" t="s">
        <v>880</v>
      </c>
      <c r="E745" s="637" t="s">
        <v>881</v>
      </c>
      <c r="F745" s="636">
        <v>9243</v>
      </c>
      <c r="G745" s="637" t="s">
        <v>57</v>
      </c>
      <c r="H745" s="637" t="s">
        <v>1162</v>
      </c>
      <c r="I745" s="637" t="s">
        <v>58</v>
      </c>
      <c r="J745" s="636">
        <v>22</v>
      </c>
      <c r="K745" s="636">
        <v>3</v>
      </c>
      <c r="L745" s="637" t="s">
        <v>55</v>
      </c>
      <c r="M745" s="637" t="s">
        <v>41</v>
      </c>
      <c r="N745" s="637" t="s">
        <v>46</v>
      </c>
      <c r="O745" s="637" t="s">
        <v>46</v>
      </c>
      <c r="P745" s="637" t="s">
        <v>47</v>
      </c>
      <c r="Q745" s="638">
        <v>92</v>
      </c>
      <c r="R745" s="638">
        <v>92</v>
      </c>
      <c r="S745" s="638">
        <v>508</v>
      </c>
      <c r="T745" s="638">
        <v>508</v>
      </c>
      <c r="U745" s="638">
        <v>38.177999999999997</v>
      </c>
      <c r="V745" s="636">
        <v>2022</v>
      </c>
      <c r="W745" s="640"/>
      <c r="X745" s="641">
        <f t="shared" si="33"/>
        <v>13.306092514013306</v>
      </c>
      <c r="Y745" s="642" t="str">
        <f t="shared" si="34"/>
        <v/>
      </c>
      <c r="Z745" s="642" t="str">
        <f t="shared" si="35"/>
        <v/>
      </c>
    </row>
    <row r="746" spans="1:26" s="127" customFormat="1" ht="25">
      <c r="A746" s="636">
        <v>50451</v>
      </c>
      <c r="B746" s="637" t="s">
        <v>54</v>
      </c>
      <c r="C746" s="636" t="s">
        <v>2725</v>
      </c>
      <c r="D746" s="637" t="s">
        <v>880</v>
      </c>
      <c r="E746" s="637" t="s">
        <v>881</v>
      </c>
      <c r="F746" s="636">
        <v>9243</v>
      </c>
      <c r="G746" s="637" t="s">
        <v>57</v>
      </c>
      <c r="H746" s="637" t="s">
        <v>1162</v>
      </c>
      <c r="I746" s="637" t="s">
        <v>58</v>
      </c>
      <c r="J746" s="636">
        <v>22</v>
      </c>
      <c r="K746" s="636">
        <v>3</v>
      </c>
      <c r="L746" s="637" t="s">
        <v>55</v>
      </c>
      <c r="M746" s="637" t="s">
        <v>41</v>
      </c>
      <c r="N746" s="637" t="s">
        <v>39</v>
      </c>
      <c r="O746" s="637" t="s">
        <v>39</v>
      </c>
      <c r="P746" s="637" t="s">
        <v>1020</v>
      </c>
      <c r="Q746" s="638">
        <v>139247</v>
      </c>
      <c r="R746" s="638">
        <v>139247</v>
      </c>
      <c r="S746" s="638">
        <v>143734</v>
      </c>
      <c r="T746" s="638">
        <v>143734</v>
      </c>
      <c r="U746" s="638">
        <v>10879.822</v>
      </c>
      <c r="V746" s="636">
        <v>2022</v>
      </c>
      <c r="W746" s="640"/>
      <c r="X746" s="641">
        <f t="shared" si="33"/>
        <v>13.211061725090723</v>
      </c>
      <c r="Y746" s="642" t="str">
        <f t="shared" si="34"/>
        <v/>
      </c>
      <c r="Z746" s="642" t="str">
        <f t="shared" si="35"/>
        <v/>
      </c>
    </row>
    <row r="747" spans="1:26" s="127" customFormat="1" ht="25">
      <c r="A747" s="636">
        <v>50458</v>
      </c>
      <c r="B747" s="637" t="s">
        <v>54</v>
      </c>
      <c r="C747" s="636" t="s">
        <v>2725</v>
      </c>
      <c r="D747" s="637" t="s">
        <v>882</v>
      </c>
      <c r="E747" s="637" t="s">
        <v>883</v>
      </c>
      <c r="F747" s="636">
        <v>9263</v>
      </c>
      <c r="G747" s="637" t="s">
        <v>57</v>
      </c>
      <c r="H747" s="637" t="s">
        <v>1162</v>
      </c>
      <c r="I747" s="637" t="s">
        <v>58</v>
      </c>
      <c r="J747" s="636">
        <v>22</v>
      </c>
      <c r="K747" s="636">
        <v>3</v>
      </c>
      <c r="L747" s="637" t="s">
        <v>55</v>
      </c>
      <c r="M747" s="637" t="s">
        <v>38</v>
      </c>
      <c r="N747" s="637" t="s">
        <v>46</v>
      </c>
      <c r="O747" s="637" t="s">
        <v>46</v>
      </c>
      <c r="P747" s="637" t="s">
        <v>47</v>
      </c>
      <c r="Q747" s="638">
        <v>0</v>
      </c>
      <c r="R747" s="638">
        <v>0</v>
      </c>
      <c r="S747" s="638">
        <v>0</v>
      </c>
      <c r="T747" s="638">
        <v>0</v>
      </c>
      <c r="U747" s="638">
        <v>0</v>
      </c>
      <c r="V747" s="636">
        <v>2022</v>
      </c>
      <c r="W747" s="640"/>
      <c r="X747" s="641" t="str">
        <f t="shared" si="33"/>
        <v/>
      </c>
      <c r="Y747" s="642" t="str">
        <f t="shared" si="34"/>
        <v/>
      </c>
      <c r="Z747" s="642" t="str">
        <f t="shared" si="35"/>
        <v/>
      </c>
    </row>
    <row r="748" spans="1:26" s="127" customFormat="1" ht="25">
      <c r="A748" s="636">
        <v>50458</v>
      </c>
      <c r="B748" s="637" t="s">
        <v>54</v>
      </c>
      <c r="C748" s="636" t="s">
        <v>2725</v>
      </c>
      <c r="D748" s="637" t="s">
        <v>882</v>
      </c>
      <c r="E748" s="637" t="s">
        <v>883</v>
      </c>
      <c r="F748" s="636">
        <v>9263</v>
      </c>
      <c r="G748" s="637" t="s">
        <v>57</v>
      </c>
      <c r="H748" s="637" t="s">
        <v>1162</v>
      </c>
      <c r="I748" s="637" t="s">
        <v>58</v>
      </c>
      <c r="J748" s="636">
        <v>22</v>
      </c>
      <c r="K748" s="636">
        <v>3</v>
      </c>
      <c r="L748" s="637" t="s">
        <v>55</v>
      </c>
      <c r="M748" s="637" t="s">
        <v>38</v>
      </c>
      <c r="N748" s="637" t="s">
        <v>76</v>
      </c>
      <c r="O748" s="637" t="s">
        <v>67</v>
      </c>
      <c r="P748" s="637" t="s">
        <v>47</v>
      </c>
      <c r="Q748" s="638">
        <v>0</v>
      </c>
      <c r="R748" s="638">
        <v>0</v>
      </c>
      <c r="S748" s="638">
        <v>0</v>
      </c>
      <c r="T748" s="638">
        <v>0</v>
      </c>
      <c r="U748" s="638">
        <v>0</v>
      </c>
      <c r="V748" s="636">
        <v>2022</v>
      </c>
      <c r="W748" s="640"/>
      <c r="X748" s="641" t="str">
        <f t="shared" si="33"/>
        <v/>
      </c>
      <c r="Y748" s="642" t="str">
        <f t="shared" si="34"/>
        <v/>
      </c>
      <c r="Z748" s="642" t="str">
        <f t="shared" si="35"/>
        <v/>
      </c>
    </row>
    <row r="749" spans="1:26" s="127" customFormat="1" ht="25">
      <c r="A749" s="636">
        <v>50458</v>
      </c>
      <c r="B749" s="637" t="s">
        <v>54</v>
      </c>
      <c r="C749" s="636" t="s">
        <v>2725</v>
      </c>
      <c r="D749" s="637" t="s">
        <v>882</v>
      </c>
      <c r="E749" s="637" t="s">
        <v>883</v>
      </c>
      <c r="F749" s="636">
        <v>9263</v>
      </c>
      <c r="G749" s="637" t="s">
        <v>57</v>
      </c>
      <c r="H749" s="637" t="s">
        <v>1162</v>
      </c>
      <c r="I749" s="637" t="s">
        <v>58</v>
      </c>
      <c r="J749" s="636">
        <v>22</v>
      </c>
      <c r="K749" s="636">
        <v>3</v>
      </c>
      <c r="L749" s="637" t="s">
        <v>55</v>
      </c>
      <c r="M749" s="637" t="s">
        <v>38</v>
      </c>
      <c r="N749" s="637" t="s">
        <v>39</v>
      </c>
      <c r="O749" s="637" t="s">
        <v>39</v>
      </c>
      <c r="P749" s="637" t="s">
        <v>1020</v>
      </c>
      <c r="Q749" s="638">
        <v>271955</v>
      </c>
      <c r="R749" s="638">
        <v>271955</v>
      </c>
      <c r="S749" s="638">
        <v>279656</v>
      </c>
      <c r="T749" s="638">
        <v>279656</v>
      </c>
      <c r="U749" s="638">
        <v>222552</v>
      </c>
      <c r="V749" s="636">
        <v>2022</v>
      </c>
      <c r="W749" s="640"/>
      <c r="X749" s="641">
        <f t="shared" si="33"/>
        <v>1.2565872245587548</v>
      </c>
      <c r="Y749" s="642" t="str">
        <f t="shared" si="34"/>
        <v/>
      </c>
      <c r="Z749" s="642" t="str">
        <f t="shared" si="35"/>
        <v/>
      </c>
    </row>
    <row r="750" spans="1:26" s="127" customFormat="1" ht="25">
      <c r="A750" s="636">
        <v>50458</v>
      </c>
      <c r="B750" s="637" t="s">
        <v>54</v>
      </c>
      <c r="C750" s="636" t="s">
        <v>2725</v>
      </c>
      <c r="D750" s="637" t="s">
        <v>882</v>
      </c>
      <c r="E750" s="637" t="s">
        <v>883</v>
      </c>
      <c r="F750" s="636">
        <v>9263</v>
      </c>
      <c r="G750" s="637" t="s">
        <v>57</v>
      </c>
      <c r="H750" s="637" t="s">
        <v>1162</v>
      </c>
      <c r="I750" s="637" t="s">
        <v>58</v>
      </c>
      <c r="J750" s="636">
        <v>22</v>
      </c>
      <c r="K750" s="636">
        <v>3</v>
      </c>
      <c r="L750" s="637" t="s">
        <v>55</v>
      </c>
      <c r="M750" s="637" t="s">
        <v>41</v>
      </c>
      <c r="N750" s="637" t="s">
        <v>46</v>
      </c>
      <c r="O750" s="637" t="s">
        <v>46</v>
      </c>
      <c r="P750" s="637" t="s">
        <v>47</v>
      </c>
      <c r="Q750" s="638">
        <v>0</v>
      </c>
      <c r="R750" s="638">
        <v>0</v>
      </c>
      <c r="S750" s="638">
        <v>0</v>
      </c>
      <c r="T750" s="638">
        <v>0</v>
      </c>
      <c r="U750" s="638">
        <v>0</v>
      </c>
      <c r="V750" s="636">
        <v>2022</v>
      </c>
      <c r="W750" s="640"/>
      <c r="X750" s="641" t="str">
        <f t="shared" si="33"/>
        <v/>
      </c>
      <c r="Y750" s="642" t="str">
        <f t="shared" si="34"/>
        <v/>
      </c>
      <c r="Z750" s="642" t="str">
        <f t="shared" si="35"/>
        <v/>
      </c>
    </row>
    <row r="751" spans="1:26" s="127" customFormat="1" ht="25">
      <c r="A751" s="636">
        <v>50458</v>
      </c>
      <c r="B751" s="637" t="s">
        <v>54</v>
      </c>
      <c r="C751" s="636" t="s">
        <v>2725</v>
      </c>
      <c r="D751" s="637" t="s">
        <v>882</v>
      </c>
      <c r="E751" s="637" t="s">
        <v>883</v>
      </c>
      <c r="F751" s="636">
        <v>9263</v>
      </c>
      <c r="G751" s="637" t="s">
        <v>57</v>
      </c>
      <c r="H751" s="637" t="s">
        <v>1162</v>
      </c>
      <c r="I751" s="637" t="s">
        <v>58</v>
      </c>
      <c r="J751" s="636">
        <v>22</v>
      </c>
      <c r="K751" s="636">
        <v>3</v>
      </c>
      <c r="L751" s="637" t="s">
        <v>55</v>
      </c>
      <c r="M751" s="637" t="s">
        <v>41</v>
      </c>
      <c r="N751" s="637" t="s">
        <v>76</v>
      </c>
      <c r="O751" s="637" t="s">
        <v>67</v>
      </c>
      <c r="P751" s="637" t="s">
        <v>47</v>
      </c>
      <c r="Q751" s="638">
        <v>0</v>
      </c>
      <c r="R751" s="638">
        <v>0</v>
      </c>
      <c r="S751" s="638">
        <v>0</v>
      </c>
      <c r="T751" s="638">
        <v>0</v>
      </c>
      <c r="U751" s="638">
        <v>0</v>
      </c>
      <c r="V751" s="636">
        <v>2022</v>
      </c>
      <c r="W751" s="640"/>
      <c r="X751" s="641" t="str">
        <f t="shared" si="33"/>
        <v/>
      </c>
      <c r="Y751" s="642" t="str">
        <f t="shared" si="34"/>
        <v/>
      </c>
      <c r="Z751" s="642" t="str">
        <f t="shared" si="35"/>
        <v/>
      </c>
    </row>
    <row r="752" spans="1:26" s="127" customFormat="1" ht="25">
      <c r="A752" s="636">
        <v>50458</v>
      </c>
      <c r="B752" s="637" t="s">
        <v>54</v>
      </c>
      <c r="C752" s="636" t="s">
        <v>2725</v>
      </c>
      <c r="D752" s="637" t="s">
        <v>882</v>
      </c>
      <c r="E752" s="637" t="s">
        <v>883</v>
      </c>
      <c r="F752" s="636">
        <v>9263</v>
      </c>
      <c r="G752" s="637" t="s">
        <v>57</v>
      </c>
      <c r="H752" s="637" t="s">
        <v>1162</v>
      </c>
      <c r="I752" s="637" t="s">
        <v>58</v>
      </c>
      <c r="J752" s="636">
        <v>22</v>
      </c>
      <c r="K752" s="636">
        <v>3</v>
      </c>
      <c r="L752" s="637" t="s">
        <v>55</v>
      </c>
      <c r="M752" s="637" t="s">
        <v>41</v>
      </c>
      <c r="N752" s="637" t="s">
        <v>39</v>
      </c>
      <c r="O752" s="637" t="s">
        <v>39</v>
      </c>
      <c r="P752" s="637" t="s">
        <v>1020</v>
      </c>
      <c r="Q752" s="638">
        <v>4507738</v>
      </c>
      <c r="R752" s="638">
        <v>4347241</v>
      </c>
      <c r="S752" s="638">
        <v>4635486</v>
      </c>
      <c r="T752" s="638">
        <v>4470433</v>
      </c>
      <c r="U752" s="638">
        <v>388282</v>
      </c>
      <c r="V752" s="636">
        <v>2022</v>
      </c>
      <c r="W752" s="640"/>
      <c r="X752" s="641">
        <f t="shared" si="33"/>
        <v>11.513366573778852</v>
      </c>
      <c r="Y752" s="642" t="str">
        <f t="shared" si="34"/>
        <v/>
      </c>
      <c r="Z752" s="642" t="str">
        <f t="shared" si="35"/>
        <v/>
      </c>
    </row>
    <row r="753" spans="1:26" s="127" customFormat="1" ht="37.5" hidden="1">
      <c r="A753" s="636">
        <v>50472</v>
      </c>
      <c r="B753" s="637" t="s">
        <v>54</v>
      </c>
      <c r="C753" s="636" t="s">
        <v>2725</v>
      </c>
      <c r="D753" s="637" t="s">
        <v>1868</v>
      </c>
      <c r="E753" s="637" t="s">
        <v>195</v>
      </c>
      <c r="F753" s="636">
        <v>470</v>
      </c>
      <c r="G753" s="637" t="s">
        <v>57</v>
      </c>
      <c r="H753" s="637" t="s">
        <v>1162</v>
      </c>
      <c r="I753" s="637" t="s">
        <v>58</v>
      </c>
      <c r="J753" s="636">
        <v>562213</v>
      </c>
      <c r="K753" s="636">
        <v>5</v>
      </c>
      <c r="L753" s="637" t="s">
        <v>407</v>
      </c>
      <c r="M753" s="637" t="s">
        <v>42</v>
      </c>
      <c r="N753" s="637" t="s">
        <v>46</v>
      </c>
      <c r="O753" s="637" t="s">
        <v>46</v>
      </c>
      <c r="P753" s="637" t="s">
        <v>47</v>
      </c>
      <c r="Q753" s="638">
        <v>0</v>
      </c>
      <c r="R753" s="638">
        <v>0</v>
      </c>
      <c r="S753" s="638">
        <v>0</v>
      </c>
      <c r="T753" s="638">
        <v>0</v>
      </c>
      <c r="U753" s="638">
        <v>0</v>
      </c>
      <c r="V753" s="636">
        <v>2022</v>
      </c>
      <c r="W753" s="640"/>
      <c r="X753" s="641" t="str">
        <f t="shared" si="33"/>
        <v/>
      </c>
      <c r="Y753" s="642" t="str">
        <f t="shared" si="34"/>
        <v/>
      </c>
      <c r="Z753" s="642" t="str">
        <f t="shared" si="35"/>
        <v/>
      </c>
    </row>
    <row r="754" spans="1:26" s="127" customFormat="1" ht="37.5" hidden="1">
      <c r="A754" s="636">
        <v>50472</v>
      </c>
      <c r="B754" s="637" t="s">
        <v>54</v>
      </c>
      <c r="C754" s="636" t="s">
        <v>2725</v>
      </c>
      <c r="D754" s="637" t="s">
        <v>1868</v>
      </c>
      <c r="E754" s="637" t="s">
        <v>195</v>
      </c>
      <c r="F754" s="636">
        <v>470</v>
      </c>
      <c r="G754" s="637" t="s">
        <v>57</v>
      </c>
      <c r="H754" s="637" t="s">
        <v>1162</v>
      </c>
      <c r="I754" s="637" t="s">
        <v>58</v>
      </c>
      <c r="J754" s="636">
        <v>562213</v>
      </c>
      <c r="K754" s="636">
        <v>5</v>
      </c>
      <c r="L754" s="637" t="s">
        <v>407</v>
      </c>
      <c r="M754" s="637" t="s">
        <v>42</v>
      </c>
      <c r="N754" s="637" t="s">
        <v>16</v>
      </c>
      <c r="O754" s="637" t="s">
        <v>64</v>
      </c>
      <c r="P754" s="637" t="s">
        <v>45</v>
      </c>
      <c r="Q754" s="638">
        <v>499098</v>
      </c>
      <c r="R754" s="638">
        <v>75794</v>
      </c>
      <c r="S754" s="638">
        <v>3545818</v>
      </c>
      <c r="T754" s="638">
        <v>538595</v>
      </c>
      <c r="U754" s="638">
        <v>83916.203999999998</v>
      </c>
      <c r="V754" s="636">
        <v>2022</v>
      </c>
      <c r="W754" s="640"/>
      <c r="X754" s="641" t="str">
        <f t="shared" si="33"/>
        <v/>
      </c>
      <c r="Y754" s="642" t="str">
        <f t="shared" si="34"/>
        <v/>
      </c>
      <c r="Z754" s="642" t="str">
        <f t="shared" si="35"/>
        <v/>
      </c>
    </row>
    <row r="755" spans="1:26" s="127" customFormat="1" ht="37.5" hidden="1">
      <c r="A755" s="636">
        <v>50472</v>
      </c>
      <c r="B755" s="637" t="s">
        <v>54</v>
      </c>
      <c r="C755" s="636" t="s">
        <v>2725</v>
      </c>
      <c r="D755" s="637" t="s">
        <v>1868</v>
      </c>
      <c r="E755" s="637" t="s">
        <v>195</v>
      </c>
      <c r="F755" s="636">
        <v>470</v>
      </c>
      <c r="G755" s="637" t="s">
        <v>57</v>
      </c>
      <c r="H755" s="637" t="s">
        <v>1162</v>
      </c>
      <c r="I755" s="637" t="s">
        <v>58</v>
      </c>
      <c r="J755" s="636">
        <v>562213</v>
      </c>
      <c r="K755" s="636">
        <v>5</v>
      </c>
      <c r="L755" s="637" t="s">
        <v>407</v>
      </c>
      <c r="M755" s="637" t="s">
        <v>42</v>
      </c>
      <c r="N755" s="637" t="s">
        <v>17</v>
      </c>
      <c r="O755" s="637" t="s">
        <v>82</v>
      </c>
      <c r="P755" s="637" t="s">
        <v>45</v>
      </c>
      <c r="Q755" s="638">
        <v>319095</v>
      </c>
      <c r="R755" s="638">
        <v>48458</v>
      </c>
      <c r="S755" s="638">
        <v>4333784</v>
      </c>
      <c r="T755" s="638">
        <v>658284</v>
      </c>
      <c r="U755" s="638">
        <v>102564.43</v>
      </c>
      <c r="V755" s="636">
        <v>2022</v>
      </c>
      <c r="W755" s="640"/>
      <c r="X755" s="641" t="str">
        <f t="shared" si="33"/>
        <v/>
      </c>
      <c r="Y755" s="642" t="str">
        <f t="shared" si="34"/>
        <v/>
      </c>
      <c r="Z755" s="642" t="str">
        <f t="shared" si="35"/>
        <v/>
      </c>
    </row>
    <row r="756" spans="1:26" s="127" customFormat="1" ht="37.5" hidden="1">
      <c r="A756" s="636">
        <v>50472</v>
      </c>
      <c r="B756" s="637" t="s">
        <v>54</v>
      </c>
      <c r="C756" s="636" t="s">
        <v>2725</v>
      </c>
      <c r="D756" s="637" t="s">
        <v>1868</v>
      </c>
      <c r="E756" s="637" t="s">
        <v>195</v>
      </c>
      <c r="F756" s="636">
        <v>470</v>
      </c>
      <c r="G756" s="637" t="s">
        <v>57</v>
      </c>
      <c r="H756" s="637" t="s">
        <v>1162</v>
      </c>
      <c r="I756" s="637" t="s">
        <v>58</v>
      </c>
      <c r="J756" s="636">
        <v>562213</v>
      </c>
      <c r="K756" s="636">
        <v>5</v>
      </c>
      <c r="L756" s="637" t="s">
        <v>407</v>
      </c>
      <c r="M756" s="637" t="s">
        <v>42</v>
      </c>
      <c r="N756" s="637" t="s">
        <v>39</v>
      </c>
      <c r="O756" s="637" t="s">
        <v>39</v>
      </c>
      <c r="P756" s="637" t="s">
        <v>1020</v>
      </c>
      <c r="Q756" s="638">
        <v>567516</v>
      </c>
      <c r="R756" s="638">
        <v>84165</v>
      </c>
      <c r="S756" s="638">
        <v>567516</v>
      </c>
      <c r="T756" s="638">
        <v>84165</v>
      </c>
      <c r="U756" s="638">
        <v>12960.361999999999</v>
      </c>
      <c r="V756" s="636">
        <v>2022</v>
      </c>
      <c r="W756" s="640"/>
      <c r="X756" s="641" t="str">
        <f t="shared" si="33"/>
        <v/>
      </c>
      <c r="Y756" s="642" t="str">
        <f t="shared" si="34"/>
        <v/>
      </c>
      <c r="Z756" s="642" t="str">
        <f t="shared" si="35"/>
        <v/>
      </c>
    </row>
    <row r="757" spans="1:26" s="127" customFormat="1" ht="25">
      <c r="A757" s="636">
        <v>50512</v>
      </c>
      <c r="B757" s="637" t="s">
        <v>33</v>
      </c>
      <c r="C757" s="636" t="s">
        <v>2725</v>
      </c>
      <c r="D757" s="637" t="s">
        <v>884</v>
      </c>
      <c r="E757" s="637" t="s">
        <v>3025</v>
      </c>
      <c r="F757" s="636">
        <v>57280</v>
      </c>
      <c r="G757" s="637" t="s">
        <v>57</v>
      </c>
      <c r="H757" s="637" t="s">
        <v>1162</v>
      </c>
      <c r="I757" s="637" t="s">
        <v>58</v>
      </c>
      <c r="J757" s="636">
        <v>22</v>
      </c>
      <c r="K757" s="636">
        <v>2</v>
      </c>
      <c r="L757" s="637" t="s">
        <v>52</v>
      </c>
      <c r="M757" s="637" t="s">
        <v>35</v>
      </c>
      <c r="N757" s="637" t="s">
        <v>36</v>
      </c>
      <c r="O757" s="637" t="s">
        <v>37</v>
      </c>
      <c r="P757" s="637" t="s">
        <v>1156</v>
      </c>
      <c r="Q757" s="638">
        <v>0</v>
      </c>
      <c r="R757" s="638">
        <v>0</v>
      </c>
      <c r="S757" s="638">
        <v>449040</v>
      </c>
      <c r="T757" s="638">
        <v>449040</v>
      </c>
      <c r="U757" s="638">
        <v>131606</v>
      </c>
      <c r="V757" s="636">
        <v>2022</v>
      </c>
      <c r="W757" s="640"/>
      <c r="X757" s="641">
        <f t="shared" si="33"/>
        <v>3.4120024922875856</v>
      </c>
      <c r="Y757" s="642" t="str">
        <f t="shared" si="34"/>
        <v/>
      </c>
      <c r="Z757" s="642" t="str">
        <f t="shared" si="35"/>
        <v/>
      </c>
    </row>
    <row r="758" spans="1:26" s="127" customFormat="1" ht="25">
      <c r="A758" s="636">
        <v>50513</v>
      </c>
      <c r="B758" s="637" t="s">
        <v>33</v>
      </c>
      <c r="C758" s="636" t="s">
        <v>2725</v>
      </c>
      <c r="D758" s="637" t="s">
        <v>885</v>
      </c>
      <c r="E758" s="637" t="s">
        <v>886</v>
      </c>
      <c r="F758" s="636">
        <v>18121</v>
      </c>
      <c r="G758" s="637" t="s">
        <v>57</v>
      </c>
      <c r="H758" s="637" t="s">
        <v>1162</v>
      </c>
      <c r="I758" s="637" t="s">
        <v>58</v>
      </c>
      <c r="J758" s="636">
        <v>22</v>
      </c>
      <c r="K758" s="636">
        <v>2</v>
      </c>
      <c r="L758" s="637" t="s">
        <v>52</v>
      </c>
      <c r="M758" s="637" t="s">
        <v>35</v>
      </c>
      <c r="N758" s="637" t="s">
        <v>36</v>
      </c>
      <c r="O758" s="637" t="s">
        <v>37</v>
      </c>
      <c r="P758" s="637" t="s">
        <v>1156</v>
      </c>
      <c r="Q758" s="638">
        <v>0</v>
      </c>
      <c r="R758" s="638">
        <v>0</v>
      </c>
      <c r="S758" s="638">
        <v>21802</v>
      </c>
      <c r="T758" s="638">
        <v>21802</v>
      </c>
      <c r="U758" s="638">
        <v>6390</v>
      </c>
      <c r="V758" s="636">
        <v>2022</v>
      </c>
      <c r="W758" s="640"/>
      <c r="X758" s="641">
        <f t="shared" si="33"/>
        <v>3.4118935837245696</v>
      </c>
      <c r="Y758" s="642" t="str">
        <f t="shared" si="34"/>
        <v/>
      </c>
      <c r="Z758" s="642" t="str">
        <f t="shared" si="35"/>
        <v/>
      </c>
    </row>
    <row r="759" spans="1:26" s="127" customFormat="1" ht="25">
      <c r="A759" s="636">
        <v>50514</v>
      </c>
      <c r="B759" s="637" t="s">
        <v>33</v>
      </c>
      <c r="C759" s="636" t="s">
        <v>2725</v>
      </c>
      <c r="D759" s="637" t="s">
        <v>887</v>
      </c>
      <c r="E759" s="637" t="s">
        <v>888</v>
      </c>
      <c r="F759" s="636">
        <v>6495</v>
      </c>
      <c r="G759" s="637" t="s">
        <v>57</v>
      </c>
      <c r="H759" s="637" t="s">
        <v>1162</v>
      </c>
      <c r="I759" s="637" t="s">
        <v>58</v>
      </c>
      <c r="J759" s="636">
        <v>22</v>
      </c>
      <c r="K759" s="636">
        <v>2</v>
      </c>
      <c r="L759" s="637" t="s">
        <v>52</v>
      </c>
      <c r="M759" s="637" t="s">
        <v>35</v>
      </c>
      <c r="N759" s="637" t="s">
        <v>36</v>
      </c>
      <c r="O759" s="637" t="s">
        <v>37</v>
      </c>
      <c r="P759" s="637" t="s">
        <v>1156</v>
      </c>
      <c r="Q759" s="638">
        <v>0</v>
      </c>
      <c r="R759" s="638">
        <v>0</v>
      </c>
      <c r="S759" s="638">
        <v>63829</v>
      </c>
      <c r="T759" s="638">
        <v>63829</v>
      </c>
      <c r="U759" s="638">
        <v>18707</v>
      </c>
      <c r="V759" s="636">
        <v>2022</v>
      </c>
      <c r="W759" s="640"/>
      <c r="X759" s="641">
        <f t="shared" si="33"/>
        <v>3.4120382744427218</v>
      </c>
      <c r="Y759" s="642" t="str">
        <f t="shared" si="34"/>
        <v/>
      </c>
      <c r="Z759" s="642" t="str">
        <f t="shared" si="35"/>
        <v/>
      </c>
    </row>
    <row r="760" spans="1:26" s="127" customFormat="1" ht="25">
      <c r="A760" s="636">
        <v>50539</v>
      </c>
      <c r="B760" s="637" t="s">
        <v>33</v>
      </c>
      <c r="C760" s="636" t="s">
        <v>2725</v>
      </c>
      <c r="D760" s="637" t="s">
        <v>889</v>
      </c>
      <c r="E760" s="637" t="s">
        <v>889</v>
      </c>
      <c r="F760" s="636">
        <v>1966</v>
      </c>
      <c r="G760" s="637" t="s">
        <v>89</v>
      </c>
      <c r="H760" s="637" t="s">
        <v>1163</v>
      </c>
      <c r="I760" s="637" t="s">
        <v>58</v>
      </c>
      <c r="J760" s="636">
        <v>22</v>
      </c>
      <c r="K760" s="636">
        <v>2</v>
      </c>
      <c r="L760" s="637" t="s">
        <v>52</v>
      </c>
      <c r="M760" s="637" t="s">
        <v>35</v>
      </c>
      <c r="N760" s="637" t="s">
        <v>36</v>
      </c>
      <c r="O760" s="637" t="s">
        <v>37</v>
      </c>
      <c r="P760" s="637" t="s">
        <v>1156</v>
      </c>
      <c r="Q760" s="638">
        <v>0</v>
      </c>
      <c r="R760" s="638">
        <v>0</v>
      </c>
      <c r="S760" s="638">
        <v>6804</v>
      </c>
      <c r="T760" s="638">
        <v>6804</v>
      </c>
      <c r="U760" s="638">
        <v>1994</v>
      </c>
      <c r="V760" s="636">
        <v>2022</v>
      </c>
      <c r="W760" s="640"/>
      <c r="X760" s="641">
        <f t="shared" si="33"/>
        <v>3.412236710130391</v>
      </c>
      <c r="Y760" s="642" t="str">
        <f t="shared" si="34"/>
        <v/>
      </c>
      <c r="Z760" s="642" t="str">
        <f t="shared" si="35"/>
        <v/>
      </c>
    </row>
    <row r="761" spans="1:26" s="127" customFormat="1" ht="25">
      <c r="A761" s="636">
        <v>50545</v>
      </c>
      <c r="B761" s="637" t="s">
        <v>33</v>
      </c>
      <c r="C761" s="636" t="s">
        <v>2725</v>
      </c>
      <c r="D761" s="637" t="s">
        <v>890</v>
      </c>
      <c r="E761" s="637" t="s">
        <v>3027</v>
      </c>
      <c r="F761" s="636">
        <v>64078</v>
      </c>
      <c r="G761" s="637" t="s">
        <v>81</v>
      </c>
      <c r="H761" s="637" t="s">
        <v>1163</v>
      </c>
      <c r="I761" s="637" t="s">
        <v>58</v>
      </c>
      <c r="J761" s="636">
        <v>22</v>
      </c>
      <c r="K761" s="636">
        <v>2</v>
      </c>
      <c r="L761" s="637" t="s">
        <v>52</v>
      </c>
      <c r="M761" s="637" t="s">
        <v>35</v>
      </c>
      <c r="N761" s="637" t="s">
        <v>36</v>
      </c>
      <c r="O761" s="637" t="s">
        <v>37</v>
      </c>
      <c r="P761" s="637" t="s">
        <v>1156</v>
      </c>
      <c r="Q761" s="638">
        <v>0</v>
      </c>
      <c r="R761" s="638">
        <v>0</v>
      </c>
      <c r="S761" s="638">
        <v>224623</v>
      </c>
      <c r="T761" s="638">
        <v>224623</v>
      </c>
      <c r="U761" s="638">
        <v>65833</v>
      </c>
      <c r="V761" s="636">
        <v>2022</v>
      </c>
      <c r="W761" s="640"/>
      <c r="X761" s="641">
        <f t="shared" si="33"/>
        <v>3.4120122127200645</v>
      </c>
      <c r="Y761" s="642" t="str">
        <f t="shared" si="34"/>
        <v/>
      </c>
      <c r="Z761" s="642" t="str">
        <f t="shared" si="35"/>
        <v/>
      </c>
    </row>
    <row r="762" spans="1:26" s="127" customFormat="1" ht="25">
      <c r="A762" s="636">
        <v>50564</v>
      </c>
      <c r="B762" s="637" t="s">
        <v>33</v>
      </c>
      <c r="C762" s="636" t="s">
        <v>2725</v>
      </c>
      <c r="D762" s="637" t="s">
        <v>891</v>
      </c>
      <c r="E762" s="637" t="s">
        <v>892</v>
      </c>
      <c r="F762" s="636">
        <v>54842</v>
      </c>
      <c r="G762" s="637" t="s">
        <v>41</v>
      </c>
      <c r="H762" s="637" t="s">
        <v>1163</v>
      </c>
      <c r="I762" s="637" t="s">
        <v>58</v>
      </c>
      <c r="J762" s="636">
        <v>22</v>
      </c>
      <c r="K762" s="636">
        <v>2</v>
      </c>
      <c r="L762" s="637" t="s">
        <v>52</v>
      </c>
      <c r="M762" s="637" t="s">
        <v>51</v>
      </c>
      <c r="N762" s="637" t="s">
        <v>63</v>
      </c>
      <c r="O762" s="637" t="s">
        <v>64</v>
      </c>
      <c r="P762" s="637" t="s">
        <v>1020</v>
      </c>
      <c r="Q762" s="638">
        <v>149551</v>
      </c>
      <c r="R762" s="638">
        <v>149551</v>
      </c>
      <c r="S762" s="638">
        <v>71934</v>
      </c>
      <c r="T762" s="638">
        <v>71934</v>
      </c>
      <c r="U762" s="638">
        <v>5708</v>
      </c>
      <c r="V762" s="636">
        <v>2022</v>
      </c>
      <c r="W762" s="640"/>
      <c r="X762" s="641">
        <f t="shared" si="33"/>
        <v>12.602312543798178</v>
      </c>
      <c r="Y762" s="642" t="str">
        <f t="shared" si="34"/>
        <v/>
      </c>
      <c r="Z762" s="642" t="str">
        <f t="shared" si="35"/>
        <v/>
      </c>
    </row>
    <row r="763" spans="1:26" s="127" customFormat="1" ht="25">
      <c r="A763" s="636">
        <v>50568</v>
      </c>
      <c r="B763" s="637" t="s">
        <v>33</v>
      </c>
      <c r="C763" s="636" t="s">
        <v>2725</v>
      </c>
      <c r="D763" s="637" t="s">
        <v>893</v>
      </c>
      <c r="E763" s="637" t="s">
        <v>892</v>
      </c>
      <c r="F763" s="636">
        <v>54842</v>
      </c>
      <c r="G763" s="637" t="s">
        <v>57</v>
      </c>
      <c r="H763" s="637" t="s">
        <v>1162</v>
      </c>
      <c r="I763" s="637" t="s">
        <v>58</v>
      </c>
      <c r="J763" s="636">
        <v>22</v>
      </c>
      <c r="K763" s="636">
        <v>2</v>
      </c>
      <c r="L763" s="637" t="s">
        <v>52</v>
      </c>
      <c r="M763" s="637" t="s">
        <v>51</v>
      </c>
      <c r="N763" s="637" t="s">
        <v>63</v>
      </c>
      <c r="O763" s="637" t="s">
        <v>64</v>
      </c>
      <c r="P763" s="637" t="s">
        <v>1020</v>
      </c>
      <c r="Q763" s="638">
        <v>1566241</v>
      </c>
      <c r="R763" s="638">
        <v>1566241</v>
      </c>
      <c r="S763" s="638">
        <v>790953</v>
      </c>
      <c r="T763" s="638">
        <v>790953</v>
      </c>
      <c r="U763" s="638">
        <v>73400</v>
      </c>
      <c r="V763" s="636">
        <v>2022</v>
      </c>
      <c r="W763" s="640"/>
      <c r="X763" s="641">
        <f t="shared" si="33"/>
        <v>10.77592643051771</v>
      </c>
      <c r="Y763" s="642" t="str">
        <f t="shared" si="34"/>
        <v/>
      </c>
      <c r="Z763" s="642" t="str">
        <f t="shared" si="35"/>
        <v/>
      </c>
    </row>
    <row r="764" spans="1:26" s="127" customFormat="1" ht="37.5" hidden="1">
      <c r="A764" s="636">
        <v>50621</v>
      </c>
      <c r="B764" s="637" t="s">
        <v>54</v>
      </c>
      <c r="C764" s="636" t="s">
        <v>2725</v>
      </c>
      <c r="D764" s="637" t="s">
        <v>1869</v>
      </c>
      <c r="E764" s="637" t="s">
        <v>1870</v>
      </c>
      <c r="F764" s="636">
        <v>18000</v>
      </c>
      <c r="G764" s="637" t="s">
        <v>130</v>
      </c>
      <c r="H764" s="637" t="s">
        <v>1163</v>
      </c>
      <c r="I764" s="637" t="s">
        <v>58</v>
      </c>
      <c r="J764" s="636">
        <v>622</v>
      </c>
      <c r="K764" s="636">
        <v>5</v>
      </c>
      <c r="L764" s="637" t="s">
        <v>407</v>
      </c>
      <c r="M764" s="637" t="s">
        <v>50</v>
      </c>
      <c r="N764" s="637" t="s">
        <v>46</v>
      </c>
      <c r="O764" s="637" t="s">
        <v>46</v>
      </c>
      <c r="P764" s="637" t="s">
        <v>47</v>
      </c>
      <c r="Q764" s="638">
        <v>107</v>
      </c>
      <c r="R764" s="638">
        <v>32</v>
      </c>
      <c r="S764" s="638">
        <v>620</v>
      </c>
      <c r="T764" s="638">
        <v>185</v>
      </c>
      <c r="U764" s="638">
        <v>34.154000000000003</v>
      </c>
      <c r="V764" s="636">
        <v>2022</v>
      </c>
      <c r="W764" s="640"/>
      <c r="X764" s="641" t="str">
        <f t="shared" si="33"/>
        <v/>
      </c>
      <c r="Y764" s="642" t="str">
        <f t="shared" si="34"/>
        <v/>
      </c>
      <c r="Z764" s="642">
        <f t="shared" si="35"/>
        <v>6.9819505317543609</v>
      </c>
    </row>
    <row r="765" spans="1:26" s="127" customFormat="1" ht="37.5" hidden="1">
      <c r="A765" s="636">
        <v>50621</v>
      </c>
      <c r="B765" s="637" t="s">
        <v>54</v>
      </c>
      <c r="C765" s="636" t="s">
        <v>2725</v>
      </c>
      <c r="D765" s="637" t="s">
        <v>1869</v>
      </c>
      <c r="E765" s="637" t="s">
        <v>1870</v>
      </c>
      <c r="F765" s="636">
        <v>18000</v>
      </c>
      <c r="G765" s="637" t="s">
        <v>130</v>
      </c>
      <c r="H765" s="637" t="s">
        <v>1163</v>
      </c>
      <c r="I765" s="637" t="s">
        <v>58</v>
      </c>
      <c r="J765" s="636">
        <v>622</v>
      </c>
      <c r="K765" s="636">
        <v>5</v>
      </c>
      <c r="L765" s="637" t="s">
        <v>407</v>
      </c>
      <c r="M765" s="637" t="s">
        <v>50</v>
      </c>
      <c r="N765" s="637" t="s">
        <v>39</v>
      </c>
      <c r="O765" s="637" t="s">
        <v>39</v>
      </c>
      <c r="P765" s="637" t="s">
        <v>1020</v>
      </c>
      <c r="Q765" s="638">
        <v>383958</v>
      </c>
      <c r="R765" s="638">
        <v>104990</v>
      </c>
      <c r="S765" s="638">
        <v>398548</v>
      </c>
      <c r="T765" s="638">
        <v>108981</v>
      </c>
      <c r="U765" s="638">
        <v>20256.846000000001</v>
      </c>
      <c r="V765" s="636">
        <v>2022</v>
      </c>
      <c r="W765" s="640"/>
      <c r="X765" s="641" t="str">
        <f t="shared" si="33"/>
        <v/>
      </c>
      <c r="Y765" s="642">
        <f t="shared" si="34"/>
        <v>7.5672043075063264</v>
      </c>
      <c r="Z765" s="642" t="str">
        <f t="shared" si="35"/>
        <v/>
      </c>
    </row>
    <row r="766" spans="1:26" s="127" customFormat="1" ht="37.5" hidden="1">
      <c r="A766" s="636">
        <v>50621</v>
      </c>
      <c r="B766" s="637" t="s">
        <v>54</v>
      </c>
      <c r="C766" s="636" t="s">
        <v>2725</v>
      </c>
      <c r="D766" s="637" t="s">
        <v>1869</v>
      </c>
      <c r="E766" s="637" t="s">
        <v>1870</v>
      </c>
      <c r="F766" s="636">
        <v>18000</v>
      </c>
      <c r="G766" s="637" t="s">
        <v>130</v>
      </c>
      <c r="H766" s="637" t="s">
        <v>1163</v>
      </c>
      <c r="I766" s="637" t="s">
        <v>58</v>
      </c>
      <c r="J766" s="636">
        <v>622</v>
      </c>
      <c r="K766" s="636">
        <v>5</v>
      </c>
      <c r="L766" s="637" t="s">
        <v>407</v>
      </c>
      <c r="M766" s="637" t="s">
        <v>50</v>
      </c>
      <c r="N766" s="637" t="s">
        <v>61</v>
      </c>
      <c r="O766" s="637" t="s">
        <v>61</v>
      </c>
      <c r="P766" s="637" t="s">
        <v>47</v>
      </c>
      <c r="Q766" s="638">
        <v>0</v>
      </c>
      <c r="R766" s="638">
        <v>0</v>
      </c>
      <c r="S766" s="638">
        <v>0</v>
      </c>
      <c r="T766" s="638">
        <v>0</v>
      </c>
      <c r="U766" s="638">
        <v>0</v>
      </c>
      <c r="V766" s="636">
        <v>2022</v>
      </c>
      <c r="W766" s="640"/>
      <c r="X766" s="641" t="str">
        <f t="shared" si="33"/>
        <v/>
      </c>
      <c r="Y766" s="642" t="str">
        <f t="shared" si="34"/>
        <v/>
      </c>
      <c r="Z766" s="642" t="str">
        <f t="shared" si="35"/>
        <v/>
      </c>
    </row>
    <row r="767" spans="1:26" s="127" customFormat="1" ht="37.5" hidden="1">
      <c r="A767" s="636">
        <v>50621</v>
      </c>
      <c r="B767" s="637" t="s">
        <v>54</v>
      </c>
      <c r="C767" s="636" t="s">
        <v>2725</v>
      </c>
      <c r="D767" s="637" t="s">
        <v>1869</v>
      </c>
      <c r="E767" s="637" t="s">
        <v>1870</v>
      </c>
      <c r="F767" s="636">
        <v>18000</v>
      </c>
      <c r="G767" s="637" t="s">
        <v>130</v>
      </c>
      <c r="H767" s="637" t="s">
        <v>1163</v>
      </c>
      <c r="I767" s="637" t="s">
        <v>58</v>
      </c>
      <c r="J767" s="636">
        <v>622</v>
      </c>
      <c r="K767" s="636">
        <v>5</v>
      </c>
      <c r="L767" s="637" t="s">
        <v>407</v>
      </c>
      <c r="M767" s="637" t="s">
        <v>51</v>
      </c>
      <c r="N767" s="637" t="s">
        <v>39</v>
      </c>
      <c r="O767" s="637" t="s">
        <v>39</v>
      </c>
      <c r="P767" s="637" t="s">
        <v>1020</v>
      </c>
      <c r="Q767" s="638">
        <v>11029</v>
      </c>
      <c r="R767" s="638">
        <v>4116</v>
      </c>
      <c r="S767" s="638">
        <v>11449</v>
      </c>
      <c r="T767" s="638">
        <v>4271</v>
      </c>
      <c r="U767" s="638">
        <v>976</v>
      </c>
      <c r="V767" s="636">
        <v>2022</v>
      </c>
      <c r="W767" s="640"/>
      <c r="X767" s="641" t="str">
        <f t="shared" si="33"/>
        <v/>
      </c>
      <c r="Y767" s="642" t="str">
        <f t="shared" si="34"/>
        <v/>
      </c>
      <c r="Z767" s="642" t="str">
        <f t="shared" si="35"/>
        <v/>
      </c>
    </row>
    <row r="768" spans="1:26" s="127" customFormat="1" ht="37.5" hidden="1">
      <c r="A768" s="636">
        <v>50621</v>
      </c>
      <c r="B768" s="637" t="s">
        <v>54</v>
      </c>
      <c r="C768" s="636" t="s">
        <v>2725</v>
      </c>
      <c r="D768" s="637" t="s">
        <v>1869</v>
      </c>
      <c r="E768" s="637" t="s">
        <v>1870</v>
      </c>
      <c r="F768" s="636">
        <v>18000</v>
      </c>
      <c r="G768" s="637" t="s">
        <v>130</v>
      </c>
      <c r="H768" s="637" t="s">
        <v>1163</v>
      </c>
      <c r="I768" s="637" t="s">
        <v>58</v>
      </c>
      <c r="J768" s="636">
        <v>622</v>
      </c>
      <c r="K768" s="636">
        <v>5</v>
      </c>
      <c r="L768" s="637" t="s">
        <v>407</v>
      </c>
      <c r="M768" s="637" t="s">
        <v>42</v>
      </c>
      <c r="N768" s="637" t="s">
        <v>46</v>
      </c>
      <c r="O768" s="637" t="s">
        <v>46</v>
      </c>
      <c r="P768" s="637" t="s">
        <v>47</v>
      </c>
      <c r="Q768" s="638">
        <v>0</v>
      </c>
      <c r="R768" s="638">
        <v>0</v>
      </c>
      <c r="S768" s="638">
        <v>0</v>
      </c>
      <c r="T768" s="638">
        <v>0</v>
      </c>
      <c r="U768" s="638">
        <v>0</v>
      </c>
      <c r="V768" s="636">
        <v>2022</v>
      </c>
      <c r="W768" s="640"/>
      <c r="X768" s="641" t="str">
        <f t="shared" si="33"/>
        <v/>
      </c>
      <c r="Y768" s="642" t="str">
        <f t="shared" si="34"/>
        <v/>
      </c>
      <c r="Z768" s="642" t="str">
        <f t="shared" si="35"/>
        <v/>
      </c>
    </row>
    <row r="769" spans="1:26" s="127" customFormat="1" ht="37.5" hidden="1">
      <c r="A769" s="636">
        <v>50621</v>
      </c>
      <c r="B769" s="637" t="s">
        <v>54</v>
      </c>
      <c r="C769" s="636" t="s">
        <v>2725</v>
      </c>
      <c r="D769" s="637" t="s">
        <v>1869</v>
      </c>
      <c r="E769" s="637" t="s">
        <v>1870</v>
      </c>
      <c r="F769" s="636">
        <v>18000</v>
      </c>
      <c r="G769" s="637" t="s">
        <v>130</v>
      </c>
      <c r="H769" s="637" t="s">
        <v>1163</v>
      </c>
      <c r="I769" s="637" t="s">
        <v>58</v>
      </c>
      <c r="J769" s="636">
        <v>622</v>
      </c>
      <c r="K769" s="636">
        <v>5</v>
      </c>
      <c r="L769" s="637" t="s">
        <v>407</v>
      </c>
      <c r="M769" s="637" t="s">
        <v>42</v>
      </c>
      <c r="N769" s="637" t="s">
        <v>39</v>
      </c>
      <c r="O769" s="637" t="s">
        <v>39</v>
      </c>
      <c r="P769" s="637" t="s">
        <v>1020</v>
      </c>
      <c r="Q769" s="638">
        <v>197804</v>
      </c>
      <c r="R769" s="638">
        <v>0</v>
      </c>
      <c r="S769" s="638">
        <v>205321</v>
      </c>
      <c r="T769" s="638">
        <v>0</v>
      </c>
      <c r="U769" s="638">
        <v>0</v>
      </c>
      <c r="V769" s="636">
        <v>2022</v>
      </c>
      <c r="W769" s="640"/>
      <c r="X769" s="641" t="str">
        <f t="shared" si="33"/>
        <v/>
      </c>
      <c r="Y769" s="642" t="str">
        <f t="shared" si="34"/>
        <v/>
      </c>
      <c r="Z769" s="642" t="str">
        <f t="shared" si="35"/>
        <v/>
      </c>
    </row>
    <row r="770" spans="1:26" s="127" customFormat="1" ht="25">
      <c r="A770" s="636">
        <v>50648</v>
      </c>
      <c r="B770" s="637" t="s">
        <v>33</v>
      </c>
      <c r="C770" s="636" t="s">
        <v>2725</v>
      </c>
      <c r="D770" s="637" t="s">
        <v>894</v>
      </c>
      <c r="E770" s="637" t="s">
        <v>895</v>
      </c>
      <c r="F770" s="636">
        <v>4474</v>
      </c>
      <c r="G770" s="637" t="s">
        <v>41</v>
      </c>
      <c r="H770" s="637" t="s">
        <v>1163</v>
      </c>
      <c r="I770" s="637" t="s">
        <v>58</v>
      </c>
      <c r="J770" s="636">
        <v>22</v>
      </c>
      <c r="K770" s="636">
        <v>2</v>
      </c>
      <c r="L770" s="637" t="s">
        <v>52</v>
      </c>
      <c r="M770" s="637" t="s">
        <v>42</v>
      </c>
      <c r="N770" s="637" t="s">
        <v>16</v>
      </c>
      <c r="O770" s="637" t="s">
        <v>64</v>
      </c>
      <c r="P770" s="637" t="s">
        <v>45</v>
      </c>
      <c r="Q770" s="638">
        <v>128015</v>
      </c>
      <c r="R770" s="638">
        <v>128015</v>
      </c>
      <c r="S770" s="638">
        <v>849947</v>
      </c>
      <c r="T770" s="638">
        <v>849947</v>
      </c>
      <c r="U770" s="638">
        <v>45349.06</v>
      </c>
      <c r="V770" s="636">
        <v>2022</v>
      </c>
      <c r="W770" s="640"/>
      <c r="X770" s="641">
        <f t="shared" si="33"/>
        <v>18.742328947942912</v>
      </c>
      <c r="Y770" s="642" t="str">
        <f t="shared" si="34"/>
        <v/>
      </c>
      <c r="Z770" s="642" t="str">
        <f t="shared" si="35"/>
        <v/>
      </c>
    </row>
    <row r="771" spans="1:26" s="127" customFormat="1" ht="25">
      <c r="A771" s="636">
        <v>50648</v>
      </c>
      <c r="B771" s="637" t="s">
        <v>33</v>
      </c>
      <c r="C771" s="636" t="s">
        <v>2725</v>
      </c>
      <c r="D771" s="637" t="s">
        <v>894</v>
      </c>
      <c r="E771" s="637" t="s">
        <v>895</v>
      </c>
      <c r="F771" s="636">
        <v>4474</v>
      </c>
      <c r="G771" s="637" t="s">
        <v>41</v>
      </c>
      <c r="H771" s="637" t="s">
        <v>1163</v>
      </c>
      <c r="I771" s="637" t="s">
        <v>58</v>
      </c>
      <c r="J771" s="636">
        <v>22</v>
      </c>
      <c r="K771" s="636">
        <v>2</v>
      </c>
      <c r="L771" s="637" t="s">
        <v>52</v>
      </c>
      <c r="M771" s="637" t="s">
        <v>42</v>
      </c>
      <c r="N771" s="637" t="s">
        <v>17</v>
      </c>
      <c r="O771" s="637" t="s">
        <v>82</v>
      </c>
      <c r="P771" s="637" t="s">
        <v>45</v>
      </c>
      <c r="Q771" s="638">
        <v>81848</v>
      </c>
      <c r="R771" s="638">
        <v>81848</v>
      </c>
      <c r="S771" s="638">
        <v>1038828</v>
      </c>
      <c r="T771" s="638">
        <v>1038828</v>
      </c>
      <c r="U771" s="638">
        <v>55426.94</v>
      </c>
      <c r="V771" s="636">
        <v>2022</v>
      </c>
      <c r="W771" s="640"/>
      <c r="X771" s="641">
        <f t="shared" si="33"/>
        <v>18.742293909784664</v>
      </c>
      <c r="Y771" s="642" t="str">
        <f t="shared" si="34"/>
        <v/>
      </c>
      <c r="Z771" s="642" t="str">
        <f t="shared" si="35"/>
        <v/>
      </c>
    </row>
    <row r="772" spans="1:26" s="127" customFormat="1" ht="25">
      <c r="A772" s="636">
        <v>50648</v>
      </c>
      <c r="B772" s="637" t="s">
        <v>33</v>
      </c>
      <c r="C772" s="636" t="s">
        <v>2725</v>
      </c>
      <c r="D772" s="637" t="s">
        <v>894</v>
      </c>
      <c r="E772" s="637" t="s">
        <v>895</v>
      </c>
      <c r="F772" s="636">
        <v>4474</v>
      </c>
      <c r="G772" s="637" t="s">
        <v>41</v>
      </c>
      <c r="H772" s="637" t="s">
        <v>1163</v>
      </c>
      <c r="I772" s="637" t="s">
        <v>58</v>
      </c>
      <c r="J772" s="636">
        <v>22</v>
      </c>
      <c r="K772" s="636">
        <v>2</v>
      </c>
      <c r="L772" s="637" t="s">
        <v>52</v>
      </c>
      <c r="M772" s="637" t="s">
        <v>42</v>
      </c>
      <c r="N772" s="637" t="s">
        <v>39</v>
      </c>
      <c r="O772" s="637" t="s">
        <v>39</v>
      </c>
      <c r="P772" s="637" t="s">
        <v>1020</v>
      </c>
      <c r="Q772" s="638">
        <v>0</v>
      </c>
      <c r="R772" s="638">
        <v>0</v>
      </c>
      <c r="S772" s="638">
        <v>0</v>
      </c>
      <c r="T772" s="638">
        <v>0</v>
      </c>
      <c r="U772" s="638">
        <v>0</v>
      </c>
      <c r="V772" s="636">
        <v>2022</v>
      </c>
      <c r="W772" s="640"/>
      <c r="X772" s="641" t="str">
        <f t="shared" si="33"/>
        <v/>
      </c>
      <c r="Y772" s="642" t="str">
        <f t="shared" si="34"/>
        <v/>
      </c>
      <c r="Z772" s="642" t="str">
        <f t="shared" si="35"/>
        <v/>
      </c>
    </row>
    <row r="773" spans="1:26" s="127" customFormat="1" ht="37.5" hidden="1">
      <c r="A773" s="636">
        <v>50649</v>
      </c>
      <c r="B773" s="637" t="s">
        <v>33</v>
      </c>
      <c r="C773" s="636" t="s">
        <v>2725</v>
      </c>
      <c r="D773" s="637" t="s">
        <v>896</v>
      </c>
      <c r="E773" s="637" t="s">
        <v>896</v>
      </c>
      <c r="F773" s="636">
        <v>4484</v>
      </c>
      <c r="G773" s="637" t="s">
        <v>57</v>
      </c>
      <c r="H773" s="637" t="s">
        <v>1162</v>
      </c>
      <c r="I773" s="637" t="s">
        <v>58</v>
      </c>
      <c r="J773" s="636">
        <v>562213</v>
      </c>
      <c r="K773" s="636">
        <v>4</v>
      </c>
      <c r="L773" s="637" t="s">
        <v>406</v>
      </c>
      <c r="M773" s="637" t="s">
        <v>42</v>
      </c>
      <c r="N773" s="637" t="s">
        <v>46</v>
      </c>
      <c r="O773" s="637" t="s">
        <v>46</v>
      </c>
      <c r="P773" s="637" t="s">
        <v>47</v>
      </c>
      <c r="Q773" s="638">
        <v>1540</v>
      </c>
      <c r="R773" s="638">
        <v>1540</v>
      </c>
      <c r="S773" s="638">
        <v>9086</v>
      </c>
      <c r="T773" s="638">
        <v>9086</v>
      </c>
      <c r="U773" s="638">
        <v>362.66500000000002</v>
      </c>
      <c r="V773" s="636">
        <v>2022</v>
      </c>
      <c r="W773" s="640"/>
      <c r="X773" s="641" t="str">
        <f t="shared" si="33"/>
        <v/>
      </c>
      <c r="Y773" s="642" t="str">
        <f t="shared" si="34"/>
        <v/>
      </c>
      <c r="Z773" s="642" t="str">
        <f t="shared" si="35"/>
        <v/>
      </c>
    </row>
    <row r="774" spans="1:26" s="127" customFormat="1" ht="37.5" hidden="1">
      <c r="A774" s="636">
        <v>50649</v>
      </c>
      <c r="B774" s="637" t="s">
        <v>33</v>
      </c>
      <c r="C774" s="636" t="s">
        <v>2725</v>
      </c>
      <c r="D774" s="637" t="s">
        <v>896</v>
      </c>
      <c r="E774" s="637" t="s">
        <v>896</v>
      </c>
      <c r="F774" s="636">
        <v>4484</v>
      </c>
      <c r="G774" s="637" t="s">
        <v>57</v>
      </c>
      <c r="H774" s="637" t="s">
        <v>1162</v>
      </c>
      <c r="I774" s="637" t="s">
        <v>58</v>
      </c>
      <c r="J774" s="636">
        <v>562213</v>
      </c>
      <c r="K774" s="636">
        <v>4</v>
      </c>
      <c r="L774" s="637" t="s">
        <v>406</v>
      </c>
      <c r="M774" s="637" t="s">
        <v>42</v>
      </c>
      <c r="N774" s="637" t="s">
        <v>16</v>
      </c>
      <c r="O774" s="637" t="s">
        <v>64</v>
      </c>
      <c r="P774" s="637" t="s">
        <v>45</v>
      </c>
      <c r="Q774" s="638">
        <v>150731</v>
      </c>
      <c r="R774" s="638">
        <v>150731</v>
      </c>
      <c r="S774" s="638">
        <v>1114108</v>
      </c>
      <c r="T774" s="638">
        <v>1114108</v>
      </c>
      <c r="U774" s="638">
        <v>51039.040000000001</v>
      </c>
      <c r="V774" s="636">
        <v>2022</v>
      </c>
      <c r="W774" s="640"/>
      <c r="X774" s="641" t="str">
        <f t="shared" si="33"/>
        <v/>
      </c>
      <c r="Y774" s="642" t="str">
        <f t="shared" si="34"/>
        <v/>
      </c>
      <c r="Z774" s="642" t="str">
        <f t="shared" si="35"/>
        <v/>
      </c>
    </row>
    <row r="775" spans="1:26" s="127" customFormat="1" ht="37.5" hidden="1">
      <c r="A775" s="636">
        <v>50649</v>
      </c>
      <c r="B775" s="637" t="s">
        <v>33</v>
      </c>
      <c r="C775" s="636" t="s">
        <v>2725</v>
      </c>
      <c r="D775" s="637" t="s">
        <v>896</v>
      </c>
      <c r="E775" s="637" t="s">
        <v>896</v>
      </c>
      <c r="F775" s="636">
        <v>4484</v>
      </c>
      <c r="G775" s="637" t="s">
        <v>57</v>
      </c>
      <c r="H775" s="637" t="s">
        <v>1162</v>
      </c>
      <c r="I775" s="637" t="s">
        <v>58</v>
      </c>
      <c r="J775" s="636">
        <v>562213</v>
      </c>
      <c r="K775" s="636">
        <v>4</v>
      </c>
      <c r="L775" s="637" t="s">
        <v>406</v>
      </c>
      <c r="M775" s="637" t="s">
        <v>42</v>
      </c>
      <c r="N775" s="637" t="s">
        <v>17</v>
      </c>
      <c r="O775" s="637" t="s">
        <v>82</v>
      </c>
      <c r="P775" s="637" t="s">
        <v>45</v>
      </c>
      <c r="Q775" s="638">
        <v>96365</v>
      </c>
      <c r="R775" s="638">
        <v>96365</v>
      </c>
      <c r="S775" s="638">
        <v>1361649</v>
      </c>
      <c r="T775" s="638">
        <v>1361649</v>
      </c>
      <c r="U775" s="638">
        <v>62379.294999999998</v>
      </c>
      <c r="V775" s="636">
        <v>2022</v>
      </c>
      <c r="W775" s="640"/>
      <c r="X775" s="641" t="str">
        <f t="shared" si="33"/>
        <v/>
      </c>
      <c r="Y775" s="642" t="str">
        <f t="shared" si="34"/>
        <v/>
      </c>
      <c r="Z775" s="642" t="str">
        <f t="shared" si="35"/>
        <v/>
      </c>
    </row>
    <row r="776" spans="1:26" s="127" customFormat="1" ht="25">
      <c r="A776" s="636">
        <v>50650</v>
      </c>
      <c r="B776" s="637" t="s">
        <v>33</v>
      </c>
      <c r="C776" s="636" t="s">
        <v>2725</v>
      </c>
      <c r="D776" s="637" t="s">
        <v>1090</v>
      </c>
      <c r="E776" s="637" t="s">
        <v>1090</v>
      </c>
      <c r="F776" s="636">
        <v>1950</v>
      </c>
      <c r="G776" s="637" t="s">
        <v>90</v>
      </c>
      <c r="H776" s="637" t="s">
        <v>1163</v>
      </c>
      <c r="I776" s="637" t="s">
        <v>58</v>
      </c>
      <c r="J776" s="636">
        <v>22</v>
      </c>
      <c r="K776" s="636">
        <v>2</v>
      </c>
      <c r="L776" s="637" t="s">
        <v>52</v>
      </c>
      <c r="M776" s="637" t="s">
        <v>42</v>
      </c>
      <c r="N776" s="637" t="s">
        <v>46</v>
      </c>
      <c r="O776" s="637" t="s">
        <v>46</v>
      </c>
      <c r="P776" s="637" t="s">
        <v>47</v>
      </c>
      <c r="Q776" s="638">
        <v>0</v>
      </c>
      <c r="R776" s="638">
        <v>0</v>
      </c>
      <c r="S776" s="638">
        <v>0</v>
      </c>
      <c r="T776" s="638">
        <v>0</v>
      </c>
      <c r="U776" s="638">
        <v>0</v>
      </c>
      <c r="V776" s="636">
        <v>2022</v>
      </c>
      <c r="W776" s="640"/>
      <c r="X776" s="641" t="str">
        <f t="shared" ref="X776:X839" si="36">IF(OR(K776&gt;3,T776=0,NOT(U776&gt;0)),"",T776/U776)</f>
        <v/>
      </c>
      <c r="Y776" s="642" t="str">
        <f t="shared" ref="Y776:Y839" si="37">IF(AND($M776=$Y$2,$N776=$Y$3,NOT($Q776=$R776),NOT($U776=0)),IF($K776=5,$S776/($U776+(8/5)*$U776),IF($K776=7,$S776/($U776+(29/25)*$U776),"")),"")</f>
        <v/>
      </c>
      <c r="Z776" s="642" t="str">
        <f t="shared" si="35"/>
        <v/>
      </c>
    </row>
    <row r="777" spans="1:26" s="127" customFormat="1" ht="25">
      <c r="A777" s="636">
        <v>50650</v>
      </c>
      <c r="B777" s="637" t="s">
        <v>33</v>
      </c>
      <c r="C777" s="636" t="s">
        <v>2725</v>
      </c>
      <c r="D777" s="637" t="s">
        <v>1090</v>
      </c>
      <c r="E777" s="637" t="s">
        <v>1090</v>
      </c>
      <c r="F777" s="636">
        <v>1950</v>
      </c>
      <c r="G777" s="637" t="s">
        <v>90</v>
      </c>
      <c r="H777" s="637" t="s">
        <v>1163</v>
      </c>
      <c r="I777" s="637" t="s">
        <v>58</v>
      </c>
      <c r="J777" s="636">
        <v>22</v>
      </c>
      <c r="K777" s="636">
        <v>2</v>
      </c>
      <c r="L777" s="637" t="s">
        <v>52</v>
      </c>
      <c r="M777" s="637" t="s">
        <v>42</v>
      </c>
      <c r="N777" s="637" t="s">
        <v>69</v>
      </c>
      <c r="O777" s="637" t="s">
        <v>70</v>
      </c>
      <c r="P777" s="637" t="s">
        <v>45</v>
      </c>
      <c r="Q777" s="638">
        <v>460885</v>
      </c>
      <c r="R777" s="638">
        <v>460885</v>
      </c>
      <c r="S777" s="638">
        <v>3687080</v>
      </c>
      <c r="T777" s="638">
        <v>3687080</v>
      </c>
      <c r="U777" s="638">
        <v>263286</v>
      </c>
      <c r="V777" s="636">
        <v>2022</v>
      </c>
      <c r="W777" s="640"/>
      <c r="X777" s="641">
        <f t="shared" si="36"/>
        <v>14.004086810540629</v>
      </c>
      <c r="Y777" s="642" t="str">
        <f t="shared" si="37"/>
        <v/>
      </c>
      <c r="Z777" s="642" t="str">
        <f t="shared" si="35"/>
        <v/>
      </c>
    </row>
    <row r="778" spans="1:26" s="127" customFormat="1" ht="25">
      <c r="A778" s="636">
        <v>50652</v>
      </c>
      <c r="B778" s="637" t="s">
        <v>33</v>
      </c>
      <c r="C778" s="636" t="s">
        <v>2725</v>
      </c>
      <c r="D778" s="637" t="s">
        <v>897</v>
      </c>
      <c r="E778" s="637" t="s">
        <v>3025</v>
      </c>
      <c r="F778" s="636">
        <v>57280</v>
      </c>
      <c r="G778" s="637" t="s">
        <v>57</v>
      </c>
      <c r="H778" s="637" t="s">
        <v>1162</v>
      </c>
      <c r="I778" s="637" t="s">
        <v>58</v>
      </c>
      <c r="J778" s="636">
        <v>22</v>
      </c>
      <c r="K778" s="636">
        <v>2</v>
      </c>
      <c r="L778" s="637" t="s">
        <v>52</v>
      </c>
      <c r="M778" s="637" t="s">
        <v>35</v>
      </c>
      <c r="N778" s="637" t="s">
        <v>36</v>
      </c>
      <c r="O778" s="637" t="s">
        <v>37</v>
      </c>
      <c r="P778" s="637" t="s">
        <v>1156</v>
      </c>
      <c r="Q778" s="638">
        <v>0</v>
      </c>
      <c r="R778" s="638">
        <v>0</v>
      </c>
      <c r="S778" s="638">
        <v>39358</v>
      </c>
      <c r="T778" s="638">
        <v>39358</v>
      </c>
      <c r="U778" s="638">
        <v>11535</v>
      </c>
      <c r="V778" s="636">
        <v>2022</v>
      </c>
      <c r="W778" s="640"/>
      <c r="X778" s="641">
        <f t="shared" si="36"/>
        <v>3.412050281751192</v>
      </c>
      <c r="Y778" s="642" t="str">
        <f t="shared" si="37"/>
        <v/>
      </c>
      <c r="Z778" s="642" t="str">
        <f t="shared" si="35"/>
        <v/>
      </c>
    </row>
    <row r="779" spans="1:26" s="127" customFormat="1" ht="37.5" hidden="1">
      <c r="A779" s="636">
        <v>50656</v>
      </c>
      <c r="B779" s="637" t="s">
        <v>33</v>
      </c>
      <c r="C779" s="636" t="s">
        <v>2725</v>
      </c>
      <c r="D779" s="637" t="s">
        <v>898</v>
      </c>
      <c r="E779" s="637" t="s">
        <v>899</v>
      </c>
      <c r="F779" s="636">
        <v>9097</v>
      </c>
      <c r="G779" s="637" t="s">
        <v>57</v>
      </c>
      <c r="H779" s="637" t="s">
        <v>1162</v>
      </c>
      <c r="I779" s="637" t="s">
        <v>58</v>
      </c>
      <c r="J779" s="636">
        <v>562213</v>
      </c>
      <c r="K779" s="636">
        <v>4</v>
      </c>
      <c r="L779" s="637" t="s">
        <v>406</v>
      </c>
      <c r="M779" s="637" t="s">
        <v>42</v>
      </c>
      <c r="N779" s="637" t="s">
        <v>16</v>
      </c>
      <c r="O779" s="637" t="s">
        <v>64</v>
      </c>
      <c r="P779" s="637" t="s">
        <v>45</v>
      </c>
      <c r="Q779" s="638">
        <v>209005</v>
      </c>
      <c r="R779" s="638">
        <v>209005</v>
      </c>
      <c r="S779" s="638">
        <v>1541831</v>
      </c>
      <c r="T779" s="638">
        <v>1541831</v>
      </c>
      <c r="U779" s="638">
        <v>87327.642999999996</v>
      </c>
      <c r="V779" s="636">
        <v>2022</v>
      </c>
      <c r="W779" s="640"/>
      <c r="X779" s="641" t="str">
        <f t="shared" si="36"/>
        <v/>
      </c>
      <c r="Y779" s="642" t="str">
        <f t="shared" si="37"/>
        <v/>
      </c>
      <c r="Z779" s="642" t="str">
        <f t="shared" si="35"/>
        <v/>
      </c>
    </row>
    <row r="780" spans="1:26" s="127" customFormat="1" ht="37.5" hidden="1">
      <c r="A780" s="636">
        <v>50656</v>
      </c>
      <c r="B780" s="637" t="s">
        <v>33</v>
      </c>
      <c r="C780" s="636" t="s">
        <v>2725</v>
      </c>
      <c r="D780" s="637" t="s">
        <v>898</v>
      </c>
      <c r="E780" s="637" t="s">
        <v>899</v>
      </c>
      <c r="F780" s="636">
        <v>9097</v>
      </c>
      <c r="G780" s="637" t="s">
        <v>57</v>
      </c>
      <c r="H780" s="637" t="s">
        <v>1162</v>
      </c>
      <c r="I780" s="637" t="s">
        <v>58</v>
      </c>
      <c r="J780" s="636">
        <v>562213</v>
      </c>
      <c r="K780" s="636">
        <v>4</v>
      </c>
      <c r="L780" s="637" t="s">
        <v>406</v>
      </c>
      <c r="M780" s="637" t="s">
        <v>42</v>
      </c>
      <c r="N780" s="637" t="s">
        <v>17</v>
      </c>
      <c r="O780" s="637" t="s">
        <v>82</v>
      </c>
      <c r="P780" s="637" t="s">
        <v>45</v>
      </c>
      <c r="Q780" s="638">
        <v>133628</v>
      </c>
      <c r="R780" s="638">
        <v>133628</v>
      </c>
      <c r="S780" s="638">
        <v>1884468</v>
      </c>
      <c r="T780" s="638">
        <v>1884468</v>
      </c>
      <c r="U780" s="638">
        <v>106734.33</v>
      </c>
      <c r="V780" s="636">
        <v>2022</v>
      </c>
      <c r="W780" s="640"/>
      <c r="X780" s="641" t="str">
        <f t="shared" si="36"/>
        <v/>
      </c>
      <c r="Y780" s="642" t="str">
        <f t="shared" si="37"/>
        <v/>
      </c>
      <c r="Z780" s="642" t="str">
        <f t="shared" si="35"/>
        <v/>
      </c>
    </row>
    <row r="781" spans="1:26" s="127" customFormat="1" ht="37.5" hidden="1">
      <c r="A781" s="636">
        <v>50656</v>
      </c>
      <c r="B781" s="637" t="s">
        <v>33</v>
      </c>
      <c r="C781" s="636" t="s">
        <v>2725</v>
      </c>
      <c r="D781" s="637" t="s">
        <v>898</v>
      </c>
      <c r="E781" s="637" t="s">
        <v>899</v>
      </c>
      <c r="F781" s="636">
        <v>9097</v>
      </c>
      <c r="G781" s="637" t="s">
        <v>57</v>
      </c>
      <c r="H781" s="637" t="s">
        <v>1162</v>
      </c>
      <c r="I781" s="637" t="s">
        <v>58</v>
      </c>
      <c r="J781" s="636">
        <v>562213</v>
      </c>
      <c r="K781" s="636">
        <v>4</v>
      </c>
      <c r="L781" s="637" t="s">
        <v>406</v>
      </c>
      <c r="M781" s="637" t="s">
        <v>42</v>
      </c>
      <c r="N781" s="637" t="s">
        <v>420</v>
      </c>
      <c r="O781" s="637" t="s">
        <v>67</v>
      </c>
      <c r="P781" s="637" t="s">
        <v>1020</v>
      </c>
      <c r="Q781" s="638">
        <v>2774</v>
      </c>
      <c r="R781" s="638">
        <v>2774</v>
      </c>
      <c r="S781" s="638">
        <v>6938</v>
      </c>
      <c r="T781" s="638">
        <v>6938</v>
      </c>
      <c r="U781" s="638">
        <v>393.029</v>
      </c>
      <c r="V781" s="636">
        <v>2022</v>
      </c>
      <c r="W781" s="640"/>
      <c r="X781" s="641" t="str">
        <f t="shared" si="36"/>
        <v/>
      </c>
      <c r="Y781" s="642" t="str">
        <f t="shared" si="37"/>
        <v/>
      </c>
      <c r="Z781" s="642" t="str">
        <f t="shared" si="35"/>
        <v/>
      </c>
    </row>
    <row r="782" spans="1:26" s="127" customFormat="1" ht="37.5" hidden="1">
      <c r="A782" s="636">
        <v>50661</v>
      </c>
      <c r="B782" s="637" t="s">
        <v>33</v>
      </c>
      <c r="C782" s="636" t="s">
        <v>2725</v>
      </c>
      <c r="D782" s="637" t="s">
        <v>196</v>
      </c>
      <c r="E782" s="637" t="s">
        <v>197</v>
      </c>
      <c r="F782" s="636">
        <v>13982</v>
      </c>
      <c r="G782" s="637" t="s">
        <v>81</v>
      </c>
      <c r="H782" s="637" t="s">
        <v>1163</v>
      </c>
      <c r="I782" s="637" t="s">
        <v>58</v>
      </c>
      <c r="J782" s="636">
        <v>562213</v>
      </c>
      <c r="K782" s="636">
        <v>4</v>
      </c>
      <c r="L782" s="637" t="s">
        <v>406</v>
      </c>
      <c r="M782" s="637" t="s">
        <v>42</v>
      </c>
      <c r="N782" s="637" t="s">
        <v>46</v>
      </c>
      <c r="O782" s="637" t="s">
        <v>46</v>
      </c>
      <c r="P782" s="637" t="s">
        <v>47</v>
      </c>
      <c r="Q782" s="638">
        <v>2191</v>
      </c>
      <c r="R782" s="638">
        <v>2191</v>
      </c>
      <c r="S782" s="638">
        <v>12707</v>
      </c>
      <c r="T782" s="638">
        <v>12707</v>
      </c>
      <c r="U782" s="638">
        <v>797.79600000000005</v>
      </c>
      <c r="V782" s="636">
        <v>2022</v>
      </c>
      <c r="W782" s="640"/>
      <c r="X782" s="641" t="str">
        <f t="shared" si="36"/>
        <v/>
      </c>
      <c r="Y782" s="642" t="str">
        <f t="shared" si="37"/>
        <v/>
      </c>
      <c r="Z782" s="642" t="str">
        <f t="shared" si="35"/>
        <v/>
      </c>
    </row>
    <row r="783" spans="1:26" s="127" customFormat="1" ht="37.5" hidden="1">
      <c r="A783" s="636">
        <v>50661</v>
      </c>
      <c r="B783" s="637" t="s">
        <v>33</v>
      </c>
      <c r="C783" s="636" t="s">
        <v>2725</v>
      </c>
      <c r="D783" s="637" t="s">
        <v>196</v>
      </c>
      <c r="E783" s="637" t="s">
        <v>197</v>
      </c>
      <c r="F783" s="636">
        <v>13982</v>
      </c>
      <c r="G783" s="637" t="s">
        <v>81</v>
      </c>
      <c r="H783" s="637" t="s">
        <v>1163</v>
      </c>
      <c r="I783" s="637" t="s">
        <v>58</v>
      </c>
      <c r="J783" s="636">
        <v>562213</v>
      </c>
      <c r="K783" s="636">
        <v>4</v>
      </c>
      <c r="L783" s="637" t="s">
        <v>406</v>
      </c>
      <c r="M783" s="637" t="s">
        <v>42</v>
      </c>
      <c r="N783" s="637" t="s">
        <v>16</v>
      </c>
      <c r="O783" s="637" t="s">
        <v>64</v>
      </c>
      <c r="P783" s="637" t="s">
        <v>45</v>
      </c>
      <c r="Q783" s="638">
        <v>369822</v>
      </c>
      <c r="R783" s="638">
        <v>369822</v>
      </c>
      <c r="S783" s="638">
        <v>2455379</v>
      </c>
      <c r="T783" s="638">
        <v>2455379</v>
      </c>
      <c r="U783" s="638">
        <v>156947.1</v>
      </c>
      <c r="V783" s="636">
        <v>2022</v>
      </c>
      <c r="W783" s="640"/>
      <c r="X783" s="641" t="str">
        <f t="shared" si="36"/>
        <v/>
      </c>
      <c r="Y783" s="642" t="str">
        <f t="shared" si="37"/>
        <v/>
      </c>
      <c r="Z783" s="642" t="str">
        <f t="shared" si="35"/>
        <v/>
      </c>
    </row>
    <row r="784" spans="1:26" s="127" customFormat="1" ht="37.5" hidden="1">
      <c r="A784" s="636">
        <v>50661</v>
      </c>
      <c r="B784" s="637" t="s">
        <v>33</v>
      </c>
      <c r="C784" s="636" t="s">
        <v>2725</v>
      </c>
      <c r="D784" s="637" t="s">
        <v>196</v>
      </c>
      <c r="E784" s="637" t="s">
        <v>197</v>
      </c>
      <c r="F784" s="636">
        <v>13982</v>
      </c>
      <c r="G784" s="637" t="s">
        <v>81</v>
      </c>
      <c r="H784" s="637" t="s">
        <v>1163</v>
      </c>
      <c r="I784" s="637" t="s">
        <v>58</v>
      </c>
      <c r="J784" s="636">
        <v>562213</v>
      </c>
      <c r="K784" s="636">
        <v>4</v>
      </c>
      <c r="L784" s="637" t="s">
        <v>406</v>
      </c>
      <c r="M784" s="637" t="s">
        <v>42</v>
      </c>
      <c r="N784" s="637" t="s">
        <v>17</v>
      </c>
      <c r="O784" s="637" t="s">
        <v>82</v>
      </c>
      <c r="P784" s="637" t="s">
        <v>45</v>
      </c>
      <c r="Q784" s="638">
        <v>236446</v>
      </c>
      <c r="R784" s="638">
        <v>236446</v>
      </c>
      <c r="S784" s="638">
        <v>3001044</v>
      </c>
      <c r="T784" s="638">
        <v>3001044</v>
      </c>
      <c r="U784" s="638">
        <v>191826.1</v>
      </c>
      <c r="V784" s="636">
        <v>2022</v>
      </c>
      <c r="W784" s="640"/>
      <c r="X784" s="641" t="str">
        <f t="shared" si="36"/>
        <v/>
      </c>
      <c r="Y784" s="642" t="str">
        <f t="shared" si="37"/>
        <v/>
      </c>
      <c r="Z784" s="642" t="str">
        <f t="shared" ref="Z784:Z847" si="38">IF(AND($M784=$Y$2,$N784=$Y$4,NOT($Q784=$R784),NOT($U784=0)),IF($K784=5,$S784/($U784+(8/5)*$U784),IF($K784=7,$S784/($U784+(29/25)*$U784),"")),"")</f>
        <v/>
      </c>
    </row>
    <row r="785" spans="1:26" s="127" customFormat="1" ht="37.5" hidden="1">
      <c r="A785" s="636">
        <v>50662</v>
      </c>
      <c r="B785" s="637" t="s">
        <v>33</v>
      </c>
      <c r="C785" s="636" t="s">
        <v>2725</v>
      </c>
      <c r="D785" s="637" t="s">
        <v>900</v>
      </c>
      <c r="E785" s="637" t="s">
        <v>901</v>
      </c>
      <c r="F785" s="636">
        <v>4487</v>
      </c>
      <c r="G785" s="637" t="s">
        <v>57</v>
      </c>
      <c r="H785" s="637" t="s">
        <v>1162</v>
      </c>
      <c r="I785" s="637" t="s">
        <v>58</v>
      </c>
      <c r="J785" s="636">
        <v>562213</v>
      </c>
      <c r="K785" s="636">
        <v>4</v>
      </c>
      <c r="L785" s="637" t="s">
        <v>406</v>
      </c>
      <c r="M785" s="637" t="s">
        <v>42</v>
      </c>
      <c r="N785" s="637" t="s">
        <v>16</v>
      </c>
      <c r="O785" s="637" t="s">
        <v>64</v>
      </c>
      <c r="P785" s="637" t="s">
        <v>45</v>
      </c>
      <c r="Q785" s="638">
        <v>221431</v>
      </c>
      <c r="R785" s="638">
        <v>221431</v>
      </c>
      <c r="S785" s="638">
        <v>1807494</v>
      </c>
      <c r="T785" s="638">
        <v>1807494</v>
      </c>
      <c r="U785" s="638">
        <v>103293.15</v>
      </c>
      <c r="V785" s="636">
        <v>2022</v>
      </c>
      <c r="W785" s="640"/>
      <c r="X785" s="641" t="str">
        <f t="shared" si="36"/>
        <v/>
      </c>
      <c r="Y785" s="642" t="str">
        <f t="shared" si="37"/>
        <v/>
      </c>
      <c r="Z785" s="642" t="str">
        <f t="shared" si="38"/>
        <v/>
      </c>
    </row>
    <row r="786" spans="1:26" s="127" customFormat="1" ht="37.5" hidden="1">
      <c r="A786" s="636">
        <v>50662</v>
      </c>
      <c r="B786" s="637" t="s">
        <v>33</v>
      </c>
      <c r="C786" s="636" t="s">
        <v>2725</v>
      </c>
      <c r="D786" s="637" t="s">
        <v>900</v>
      </c>
      <c r="E786" s="637" t="s">
        <v>901</v>
      </c>
      <c r="F786" s="636">
        <v>4487</v>
      </c>
      <c r="G786" s="637" t="s">
        <v>57</v>
      </c>
      <c r="H786" s="637" t="s">
        <v>1162</v>
      </c>
      <c r="I786" s="637" t="s">
        <v>58</v>
      </c>
      <c r="J786" s="636">
        <v>562213</v>
      </c>
      <c r="K786" s="636">
        <v>4</v>
      </c>
      <c r="L786" s="637" t="s">
        <v>406</v>
      </c>
      <c r="M786" s="637" t="s">
        <v>42</v>
      </c>
      <c r="N786" s="637" t="s">
        <v>17</v>
      </c>
      <c r="O786" s="637" t="s">
        <v>82</v>
      </c>
      <c r="P786" s="637" t="s">
        <v>45</v>
      </c>
      <c r="Q786" s="638">
        <v>141568</v>
      </c>
      <c r="R786" s="638">
        <v>141568</v>
      </c>
      <c r="S786" s="638">
        <v>2209224</v>
      </c>
      <c r="T786" s="638">
        <v>2209224</v>
      </c>
      <c r="U786" s="638">
        <v>126250.77</v>
      </c>
      <c r="V786" s="636">
        <v>2022</v>
      </c>
      <c r="W786" s="640"/>
      <c r="X786" s="641" t="str">
        <f t="shared" si="36"/>
        <v/>
      </c>
      <c r="Y786" s="642" t="str">
        <f t="shared" si="37"/>
        <v/>
      </c>
      <c r="Z786" s="642" t="str">
        <f t="shared" si="38"/>
        <v/>
      </c>
    </row>
    <row r="787" spans="1:26" s="127" customFormat="1" ht="37.5" hidden="1">
      <c r="A787" s="636">
        <v>50662</v>
      </c>
      <c r="B787" s="637" t="s">
        <v>33</v>
      </c>
      <c r="C787" s="636" t="s">
        <v>2725</v>
      </c>
      <c r="D787" s="637" t="s">
        <v>900</v>
      </c>
      <c r="E787" s="637" t="s">
        <v>901</v>
      </c>
      <c r="F787" s="636">
        <v>4487</v>
      </c>
      <c r="G787" s="637" t="s">
        <v>57</v>
      </c>
      <c r="H787" s="637" t="s">
        <v>1162</v>
      </c>
      <c r="I787" s="637" t="s">
        <v>58</v>
      </c>
      <c r="J787" s="636">
        <v>562213</v>
      </c>
      <c r="K787" s="636">
        <v>4</v>
      </c>
      <c r="L787" s="637" t="s">
        <v>406</v>
      </c>
      <c r="M787" s="637" t="s">
        <v>42</v>
      </c>
      <c r="N787" s="637" t="s">
        <v>39</v>
      </c>
      <c r="O787" s="637" t="s">
        <v>39</v>
      </c>
      <c r="P787" s="637" t="s">
        <v>1020</v>
      </c>
      <c r="Q787" s="638">
        <v>20093</v>
      </c>
      <c r="R787" s="638">
        <v>20093</v>
      </c>
      <c r="S787" s="638">
        <v>20697</v>
      </c>
      <c r="T787" s="638">
        <v>20697</v>
      </c>
      <c r="U787" s="638">
        <v>1148.078</v>
      </c>
      <c r="V787" s="636">
        <v>2022</v>
      </c>
      <c r="W787" s="640"/>
      <c r="X787" s="641" t="str">
        <f t="shared" si="36"/>
        <v/>
      </c>
      <c r="Y787" s="642" t="str">
        <f t="shared" si="37"/>
        <v/>
      </c>
      <c r="Z787" s="642" t="str">
        <f t="shared" si="38"/>
        <v/>
      </c>
    </row>
    <row r="788" spans="1:26" s="127" customFormat="1" ht="25">
      <c r="A788" s="636">
        <v>50688</v>
      </c>
      <c r="B788" s="637" t="s">
        <v>33</v>
      </c>
      <c r="C788" s="636" t="s">
        <v>2725</v>
      </c>
      <c r="D788" s="637" t="s">
        <v>902</v>
      </c>
      <c r="E788" s="637" t="s">
        <v>1036</v>
      </c>
      <c r="F788" s="636">
        <v>56838</v>
      </c>
      <c r="G788" s="637" t="s">
        <v>90</v>
      </c>
      <c r="H788" s="637" t="s">
        <v>1163</v>
      </c>
      <c r="I788" s="637" t="s">
        <v>58</v>
      </c>
      <c r="J788" s="636">
        <v>22</v>
      </c>
      <c r="K788" s="636">
        <v>2</v>
      </c>
      <c r="L788" s="637" t="s">
        <v>52</v>
      </c>
      <c r="M788" s="637" t="s">
        <v>35</v>
      </c>
      <c r="N788" s="637" t="s">
        <v>36</v>
      </c>
      <c r="O788" s="637" t="s">
        <v>37</v>
      </c>
      <c r="P788" s="637" t="s">
        <v>1156</v>
      </c>
      <c r="Q788" s="638">
        <v>0</v>
      </c>
      <c r="R788" s="638">
        <v>0</v>
      </c>
      <c r="S788" s="638">
        <v>15446</v>
      </c>
      <c r="T788" s="638">
        <v>15446</v>
      </c>
      <c r="U788" s="638">
        <v>4527</v>
      </c>
      <c r="V788" s="636">
        <v>2022</v>
      </c>
      <c r="W788" s="640"/>
      <c r="X788" s="641">
        <f t="shared" si="36"/>
        <v>3.4119726087916944</v>
      </c>
      <c r="Y788" s="642" t="str">
        <f t="shared" si="37"/>
        <v/>
      </c>
      <c r="Z788" s="642" t="str">
        <f t="shared" si="38"/>
        <v/>
      </c>
    </row>
    <row r="789" spans="1:26" s="127" customFormat="1" ht="25">
      <c r="A789" s="636">
        <v>50699</v>
      </c>
      <c r="B789" s="637" t="s">
        <v>33</v>
      </c>
      <c r="C789" s="636" t="s">
        <v>2725</v>
      </c>
      <c r="D789" s="637" t="s">
        <v>903</v>
      </c>
      <c r="E789" s="637" t="s">
        <v>1041</v>
      </c>
      <c r="F789" s="636">
        <v>56837</v>
      </c>
      <c r="G789" s="637" t="s">
        <v>90</v>
      </c>
      <c r="H789" s="637" t="s">
        <v>1163</v>
      </c>
      <c r="I789" s="637" t="s">
        <v>58</v>
      </c>
      <c r="J789" s="636">
        <v>22</v>
      </c>
      <c r="K789" s="636">
        <v>2</v>
      </c>
      <c r="L789" s="637" t="s">
        <v>52</v>
      </c>
      <c r="M789" s="637" t="s">
        <v>35</v>
      </c>
      <c r="N789" s="637" t="s">
        <v>36</v>
      </c>
      <c r="O789" s="637" t="s">
        <v>37</v>
      </c>
      <c r="P789" s="637" t="s">
        <v>1156</v>
      </c>
      <c r="Q789" s="638">
        <v>0</v>
      </c>
      <c r="R789" s="638">
        <v>0</v>
      </c>
      <c r="S789" s="638">
        <v>15129</v>
      </c>
      <c r="T789" s="638">
        <v>15129</v>
      </c>
      <c r="U789" s="638">
        <v>4434</v>
      </c>
      <c r="V789" s="636">
        <v>2022</v>
      </c>
      <c r="W789" s="640"/>
      <c r="X789" s="641">
        <f t="shared" si="36"/>
        <v>3.4120433017591338</v>
      </c>
      <c r="Y789" s="642" t="str">
        <f t="shared" si="37"/>
        <v/>
      </c>
      <c r="Z789" s="642" t="str">
        <f t="shared" si="38"/>
        <v/>
      </c>
    </row>
    <row r="790" spans="1:26" s="127" customFormat="1" ht="25">
      <c r="A790" s="636">
        <v>50702</v>
      </c>
      <c r="B790" s="637" t="s">
        <v>33</v>
      </c>
      <c r="C790" s="636" t="s">
        <v>2725</v>
      </c>
      <c r="D790" s="637" t="s">
        <v>904</v>
      </c>
      <c r="E790" s="637" t="s">
        <v>131</v>
      </c>
      <c r="F790" s="636">
        <v>7601</v>
      </c>
      <c r="G790" s="637" t="s">
        <v>90</v>
      </c>
      <c r="H790" s="637" t="s">
        <v>1163</v>
      </c>
      <c r="I790" s="637" t="s">
        <v>58</v>
      </c>
      <c r="J790" s="636">
        <v>22</v>
      </c>
      <c r="K790" s="636">
        <v>1</v>
      </c>
      <c r="L790" s="637" t="s">
        <v>34</v>
      </c>
      <c r="M790" s="637" t="s">
        <v>35</v>
      </c>
      <c r="N790" s="637" t="s">
        <v>36</v>
      </c>
      <c r="O790" s="637" t="s">
        <v>37</v>
      </c>
      <c r="P790" s="637" t="s">
        <v>1156</v>
      </c>
      <c r="Q790" s="638">
        <v>0</v>
      </c>
      <c r="R790" s="638">
        <v>0</v>
      </c>
      <c r="S790" s="638">
        <v>3105</v>
      </c>
      <c r="T790" s="638">
        <v>3105</v>
      </c>
      <c r="U790" s="638">
        <v>910</v>
      </c>
      <c r="V790" s="636">
        <v>2022</v>
      </c>
      <c r="W790" s="640"/>
      <c r="X790" s="641">
        <f t="shared" si="36"/>
        <v>3.412087912087912</v>
      </c>
      <c r="Y790" s="642" t="str">
        <f t="shared" si="37"/>
        <v/>
      </c>
      <c r="Z790" s="642" t="str">
        <f t="shared" si="38"/>
        <v/>
      </c>
    </row>
    <row r="791" spans="1:26" s="127" customFormat="1" ht="25">
      <c r="A791" s="636">
        <v>50704</v>
      </c>
      <c r="B791" s="637" t="s">
        <v>33</v>
      </c>
      <c r="C791" s="636" t="s">
        <v>2725</v>
      </c>
      <c r="D791" s="637" t="s">
        <v>905</v>
      </c>
      <c r="E791" s="637" t="s">
        <v>131</v>
      </c>
      <c r="F791" s="636">
        <v>7601</v>
      </c>
      <c r="G791" s="637" t="s">
        <v>96</v>
      </c>
      <c r="H791" s="637" t="s">
        <v>1163</v>
      </c>
      <c r="I791" s="637" t="s">
        <v>58</v>
      </c>
      <c r="J791" s="636">
        <v>22</v>
      </c>
      <c r="K791" s="636">
        <v>1</v>
      </c>
      <c r="L791" s="637" t="s">
        <v>34</v>
      </c>
      <c r="M791" s="637" t="s">
        <v>35</v>
      </c>
      <c r="N791" s="637" t="s">
        <v>36</v>
      </c>
      <c r="O791" s="637" t="s">
        <v>37</v>
      </c>
      <c r="P791" s="637" t="s">
        <v>1156</v>
      </c>
      <c r="Q791" s="638">
        <v>0</v>
      </c>
      <c r="R791" s="638">
        <v>0</v>
      </c>
      <c r="S791" s="638">
        <v>5502</v>
      </c>
      <c r="T791" s="638">
        <v>5502</v>
      </c>
      <c r="U791" s="638">
        <v>1613</v>
      </c>
      <c r="V791" s="636">
        <v>2022</v>
      </c>
      <c r="W791" s="640"/>
      <c r="X791" s="641">
        <f t="shared" si="36"/>
        <v>3.4110353378797273</v>
      </c>
      <c r="Y791" s="642" t="str">
        <f t="shared" si="37"/>
        <v/>
      </c>
      <c r="Z791" s="642" t="str">
        <f t="shared" si="38"/>
        <v/>
      </c>
    </row>
    <row r="792" spans="1:26" s="127" customFormat="1" ht="25">
      <c r="A792" s="636">
        <v>50713</v>
      </c>
      <c r="B792" s="637" t="s">
        <v>33</v>
      </c>
      <c r="C792" s="636" t="s">
        <v>2725</v>
      </c>
      <c r="D792" s="637" t="s">
        <v>1091</v>
      </c>
      <c r="E792" s="637" t="s">
        <v>131</v>
      </c>
      <c r="F792" s="636">
        <v>7601</v>
      </c>
      <c r="G792" s="637" t="s">
        <v>89</v>
      </c>
      <c r="H792" s="637" t="s">
        <v>1163</v>
      </c>
      <c r="I792" s="637" t="s">
        <v>58</v>
      </c>
      <c r="J792" s="636">
        <v>22</v>
      </c>
      <c r="K792" s="636">
        <v>1</v>
      </c>
      <c r="L792" s="637" t="s">
        <v>34</v>
      </c>
      <c r="M792" s="637" t="s">
        <v>35</v>
      </c>
      <c r="N792" s="637" t="s">
        <v>36</v>
      </c>
      <c r="O792" s="637" t="s">
        <v>37</v>
      </c>
      <c r="P792" s="637" t="s">
        <v>1156</v>
      </c>
      <c r="Q792" s="638">
        <v>0</v>
      </c>
      <c r="R792" s="638">
        <v>0</v>
      </c>
      <c r="S792" s="638">
        <v>70411</v>
      </c>
      <c r="T792" s="638">
        <v>70411</v>
      </c>
      <c r="U792" s="638">
        <v>20636</v>
      </c>
      <c r="V792" s="636">
        <v>2022</v>
      </c>
      <c r="W792" s="640"/>
      <c r="X792" s="641">
        <f t="shared" si="36"/>
        <v>3.4120469083155651</v>
      </c>
      <c r="Y792" s="642" t="str">
        <f t="shared" si="37"/>
        <v/>
      </c>
      <c r="Z792" s="642" t="str">
        <f t="shared" si="38"/>
        <v/>
      </c>
    </row>
    <row r="793" spans="1:26" s="127" customFormat="1" ht="25">
      <c r="A793" s="636">
        <v>50739</v>
      </c>
      <c r="B793" s="637" t="s">
        <v>33</v>
      </c>
      <c r="C793" s="636" t="s">
        <v>2725</v>
      </c>
      <c r="D793" s="637" t="s">
        <v>3606</v>
      </c>
      <c r="E793" s="637" t="s">
        <v>3606</v>
      </c>
      <c r="F793" s="636">
        <v>65547</v>
      </c>
      <c r="G793" s="637" t="s">
        <v>96</v>
      </c>
      <c r="H793" s="637" t="s">
        <v>1163</v>
      </c>
      <c r="I793" s="637" t="s">
        <v>58</v>
      </c>
      <c r="J793" s="636">
        <v>22</v>
      </c>
      <c r="K793" s="636">
        <v>2</v>
      </c>
      <c r="L793" s="637" t="s">
        <v>52</v>
      </c>
      <c r="M793" s="637" t="s">
        <v>42</v>
      </c>
      <c r="N793" s="637" t="s">
        <v>69</v>
      </c>
      <c r="O793" s="637" t="s">
        <v>70</v>
      </c>
      <c r="P793" s="637" t="s">
        <v>45</v>
      </c>
      <c r="Q793" s="638">
        <v>40308</v>
      </c>
      <c r="R793" s="638">
        <v>40308</v>
      </c>
      <c r="S793" s="638">
        <v>302311</v>
      </c>
      <c r="T793" s="638">
        <v>302311</v>
      </c>
      <c r="U793" s="638">
        <v>21937</v>
      </c>
      <c r="V793" s="636">
        <v>2022</v>
      </c>
      <c r="W793" s="640"/>
      <c r="X793" s="641">
        <f t="shared" si="36"/>
        <v>13.780872498518486</v>
      </c>
      <c r="Y793" s="642" t="str">
        <f t="shared" si="37"/>
        <v/>
      </c>
      <c r="Z793" s="642" t="str">
        <f t="shared" si="38"/>
        <v/>
      </c>
    </row>
    <row r="794" spans="1:26" s="127" customFormat="1" ht="25">
      <c r="A794" s="636">
        <v>50741</v>
      </c>
      <c r="B794" s="637" t="s">
        <v>33</v>
      </c>
      <c r="C794" s="636" t="s">
        <v>2725</v>
      </c>
      <c r="D794" s="637" t="s">
        <v>906</v>
      </c>
      <c r="E794" s="637" t="s">
        <v>907</v>
      </c>
      <c r="F794" s="636">
        <v>15213</v>
      </c>
      <c r="G794" s="637" t="s">
        <v>96</v>
      </c>
      <c r="H794" s="637" t="s">
        <v>1163</v>
      </c>
      <c r="I794" s="637" t="s">
        <v>58</v>
      </c>
      <c r="J794" s="636">
        <v>22</v>
      </c>
      <c r="K794" s="636">
        <v>2</v>
      </c>
      <c r="L794" s="637" t="s">
        <v>52</v>
      </c>
      <c r="M794" s="637" t="s">
        <v>35</v>
      </c>
      <c r="N794" s="637" t="s">
        <v>36</v>
      </c>
      <c r="O794" s="637" t="s">
        <v>37</v>
      </c>
      <c r="P794" s="637" t="s">
        <v>1156</v>
      </c>
      <c r="Q794" s="638">
        <v>0</v>
      </c>
      <c r="R794" s="638">
        <v>0</v>
      </c>
      <c r="S794" s="638">
        <v>147449</v>
      </c>
      <c r="T794" s="638">
        <v>147449</v>
      </c>
      <c r="U794" s="638">
        <v>43215</v>
      </c>
      <c r="V794" s="636">
        <v>2022</v>
      </c>
      <c r="W794" s="640"/>
      <c r="X794" s="641">
        <f t="shared" si="36"/>
        <v>3.4119865787342358</v>
      </c>
      <c r="Y794" s="642" t="str">
        <f t="shared" si="37"/>
        <v/>
      </c>
      <c r="Z794" s="642" t="str">
        <f t="shared" si="38"/>
        <v/>
      </c>
    </row>
    <row r="795" spans="1:26" s="127" customFormat="1" ht="25">
      <c r="A795" s="636">
        <v>50744</v>
      </c>
      <c r="B795" s="637" t="s">
        <v>33</v>
      </c>
      <c r="C795" s="636" t="s">
        <v>2725</v>
      </c>
      <c r="D795" s="637" t="s">
        <v>198</v>
      </c>
      <c r="E795" s="637" t="s">
        <v>908</v>
      </c>
      <c r="F795" s="636">
        <v>14182</v>
      </c>
      <c r="G795" s="637" t="s">
        <v>57</v>
      </c>
      <c r="H795" s="637" t="s">
        <v>1162</v>
      </c>
      <c r="I795" s="637" t="s">
        <v>58</v>
      </c>
      <c r="J795" s="636">
        <v>22</v>
      </c>
      <c r="K795" s="636">
        <v>2</v>
      </c>
      <c r="L795" s="637" t="s">
        <v>52</v>
      </c>
      <c r="M795" s="637" t="s">
        <v>38</v>
      </c>
      <c r="N795" s="637" t="s">
        <v>39</v>
      </c>
      <c r="O795" s="637" t="s">
        <v>39</v>
      </c>
      <c r="P795" s="637" t="s">
        <v>1020</v>
      </c>
      <c r="Q795" s="638">
        <v>0</v>
      </c>
      <c r="R795" s="638">
        <v>0</v>
      </c>
      <c r="S795" s="638">
        <v>0</v>
      </c>
      <c r="T795" s="638">
        <v>0</v>
      </c>
      <c r="U795" s="638">
        <v>1105</v>
      </c>
      <c r="V795" s="636">
        <v>2022</v>
      </c>
      <c r="W795" s="640" t="s">
        <v>3934</v>
      </c>
      <c r="X795" s="641" t="str">
        <f t="shared" si="36"/>
        <v/>
      </c>
      <c r="Y795" s="642" t="str">
        <f t="shared" si="37"/>
        <v/>
      </c>
      <c r="Z795" s="642" t="str">
        <f t="shared" si="38"/>
        <v/>
      </c>
    </row>
    <row r="796" spans="1:26" s="127" customFormat="1" ht="25">
      <c r="A796" s="636">
        <v>50744</v>
      </c>
      <c r="B796" s="637" t="s">
        <v>33</v>
      </c>
      <c r="C796" s="636" t="s">
        <v>2725</v>
      </c>
      <c r="D796" s="637" t="s">
        <v>198</v>
      </c>
      <c r="E796" s="637" t="s">
        <v>908</v>
      </c>
      <c r="F796" s="636">
        <v>14182</v>
      </c>
      <c r="G796" s="637" t="s">
        <v>57</v>
      </c>
      <c r="H796" s="637" t="s">
        <v>1162</v>
      </c>
      <c r="I796" s="637" t="s">
        <v>58</v>
      </c>
      <c r="J796" s="636">
        <v>22</v>
      </c>
      <c r="K796" s="636">
        <v>2</v>
      </c>
      <c r="L796" s="637" t="s">
        <v>52</v>
      </c>
      <c r="M796" s="637" t="s">
        <v>41</v>
      </c>
      <c r="N796" s="637" t="s">
        <v>39</v>
      </c>
      <c r="O796" s="637" t="s">
        <v>39</v>
      </c>
      <c r="P796" s="637" t="s">
        <v>1020</v>
      </c>
      <c r="Q796" s="638">
        <v>35272</v>
      </c>
      <c r="R796" s="638">
        <v>35272</v>
      </c>
      <c r="S796" s="638">
        <v>36330</v>
      </c>
      <c r="T796" s="638">
        <v>36330</v>
      </c>
      <c r="U796" s="638">
        <v>2673</v>
      </c>
      <c r="V796" s="636">
        <v>2022</v>
      </c>
      <c r="W796" s="640" t="s">
        <v>3934</v>
      </c>
      <c r="X796" s="641">
        <f t="shared" si="36"/>
        <v>13.591470258136924</v>
      </c>
      <c r="Y796" s="642" t="str">
        <f t="shared" si="37"/>
        <v/>
      </c>
      <c r="Z796" s="642" t="str">
        <f t="shared" si="38"/>
        <v/>
      </c>
    </row>
    <row r="797" spans="1:26" s="127" customFormat="1" ht="25">
      <c r="A797" s="636">
        <v>50744</v>
      </c>
      <c r="B797" s="637" t="s">
        <v>33</v>
      </c>
      <c r="C797" s="636" t="s">
        <v>2725</v>
      </c>
      <c r="D797" s="637" t="s">
        <v>198</v>
      </c>
      <c r="E797" s="637" t="s">
        <v>908</v>
      </c>
      <c r="F797" s="636">
        <v>14182</v>
      </c>
      <c r="G797" s="637" t="s">
        <v>57</v>
      </c>
      <c r="H797" s="637" t="s">
        <v>1162</v>
      </c>
      <c r="I797" s="637" t="s">
        <v>58</v>
      </c>
      <c r="J797" s="636">
        <v>22</v>
      </c>
      <c r="K797" s="636">
        <v>2</v>
      </c>
      <c r="L797" s="637" t="s">
        <v>52</v>
      </c>
      <c r="M797" s="637" t="s">
        <v>51</v>
      </c>
      <c r="N797" s="637" t="s">
        <v>46</v>
      </c>
      <c r="O797" s="637" t="s">
        <v>46</v>
      </c>
      <c r="P797" s="637" t="s">
        <v>47</v>
      </c>
      <c r="Q797" s="638">
        <v>21</v>
      </c>
      <c r="R797" s="638">
        <v>21</v>
      </c>
      <c r="S797" s="638">
        <v>120</v>
      </c>
      <c r="T797" s="638">
        <v>120</v>
      </c>
      <c r="U797" s="638">
        <v>12</v>
      </c>
      <c r="V797" s="636">
        <v>2022</v>
      </c>
      <c r="W797" s="640"/>
      <c r="X797" s="641">
        <f t="shared" si="36"/>
        <v>10</v>
      </c>
      <c r="Y797" s="642" t="str">
        <f t="shared" si="37"/>
        <v/>
      </c>
      <c r="Z797" s="642" t="str">
        <f t="shared" si="38"/>
        <v/>
      </c>
    </row>
    <row r="798" spans="1:26" s="127" customFormat="1" ht="25">
      <c r="A798" s="636">
        <v>50758</v>
      </c>
      <c r="B798" s="637" t="s">
        <v>33</v>
      </c>
      <c r="C798" s="636" t="s">
        <v>2725</v>
      </c>
      <c r="D798" s="637" t="s">
        <v>909</v>
      </c>
      <c r="E798" s="637" t="s">
        <v>910</v>
      </c>
      <c r="F798" s="636">
        <v>19013</v>
      </c>
      <c r="G798" s="637" t="s">
        <v>90</v>
      </c>
      <c r="H798" s="637" t="s">
        <v>1163</v>
      </c>
      <c r="I798" s="637" t="s">
        <v>58</v>
      </c>
      <c r="J798" s="636">
        <v>22</v>
      </c>
      <c r="K798" s="636">
        <v>2</v>
      </c>
      <c r="L798" s="637" t="s">
        <v>52</v>
      </c>
      <c r="M798" s="637" t="s">
        <v>35</v>
      </c>
      <c r="N798" s="637" t="s">
        <v>36</v>
      </c>
      <c r="O798" s="637" t="s">
        <v>37</v>
      </c>
      <c r="P798" s="637" t="s">
        <v>1156</v>
      </c>
      <c r="Q798" s="638">
        <v>0</v>
      </c>
      <c r="R798" s="638">
        <v>0</v>
      </c>
      <c r="S798" s="638">
        <v>208751</v>
      </c>
      <c r="T798" s="638">
        <v>208751</v>
      </c>
      <c r="U798" s="638">
        <v>61182</v>
      </c>
      <c r="V798" s="636">
        <v>2022</v>
      </c>
      <c r="W798" s="640"/>
      <c r="X798" s="641">
        <f t="shared" si="36"/>
        <v>3.4119675721617471</v>
      </c>
      <c r="Y798" s="642" t="str">
        <f t="shared" si="37"/>
        <v/>
      </c>
      <c r="Z798" s="642" t="str">
        <f t="shared" si="38"/>
        <v/>
      </c>
    </row>
    <row r="799" spans="1:26" s="127" customFormat="1" ht="25">
      <c r="A799" s="636">
        <v>50759</v>
      </c>
      <c r="B799" s="637" t="s">
        <v>33</v>
      </c>
      <c r="C799" s="636" t="s">
        <v>2725</v>
      </c>
      <c r="D799" s="637" t="s">
        <v>911</v>
      </c>
      <c r="E799" s="637" t="s">
        <v>3605</v>
      </c>
      <c r="F799" s="636">
        <v>65466</v>
      </c>
      <c r="G799" s="637" t="s">
        <v>57</v>
      </c>
      <c r="H799" s="637" t="s">
        <v>1162</v>
      </c>
      <c r="I799" s="637" t="s">
        <v>58</v>
      </c>
      <c r="J799" s="636">
        <v>22</v>
      </c>
      <c r="K799" s="636">
        <v>2</v>
      </c>
      <c r="L799" s="637" t="s">
        <v>52</v>
      </c>
      <c r="M799" s="637" t="s">
        <v>35</v>
      </c>
      <c r="N799" s="637" t="s">
        <v>36</v>
      </c>
      <c r="O799" s="637" t="s">
        <v>37</v>
      </c>
      <c r="P799" s="637" t="s">
        <v>1156</v>
      </c>
      <c r="Q799" s="638">
        <v>0</v>
      </c>
      <c r="R799" s="638">
        <v>0</v>
      </c>
      <c r="S799" s="638">
        <v>58803</v>
      </c>
      <c r="T799" s="638">
        <v>58803</v>
      </c>
      <c r="U799" s="638">
        <v>17234</v>
      </c>
      <c r="V799" s="636">
        <v>2022</v>
      </c>
      <c r="W799" s="640"/>
      <c r="X799" s="641">
        <f t="shared" si="36"/>
        <v>3.4120343507021005</v>
      </c>
      <c r="Y799" s="642" t="str">
        <f t="shared" si="37"/>
        <v/>
      </c>
      <c r="Z799" s="642" t="str">
        <f t="shared" si="38"/>
        <v/>
      </c>
    </row>
    <row r="800" spans="1:26" s="127" customFormat="1" ht="25">
      <c r="A800" s="636">
        <v>50768</v>
      </c>
      <c r="B800" s="637" t="s">
        <v>33</v>
      </c>
      <c r="C800" s="636" t="s">
        <v>2725</v>
      </c>
      <c r="D800" s="637" t="s">
        <v>912</v>
      </c>
      <c r="E800" s="637" t="s">
        <v>3030</v>
      </c>
      <c r="F800" s="636">
        <v>63840</v>
      </c>
      <c r="G800" s="637" t="s">
        <v>57</v>
      </c>
      <c r="H800" s="637" t="s">
        <v>1162</v>
      </c>
      <c r="I800" s="637" t="s">
        <v>58</v>
      </c>
      <c r="J800" s="636">
        <v>22</v>
      </c>
      <c r="K800" s="636">
        <v>2</v>
      </c>
      <c r="L800" s="637" t="s">
        <v>52</v>
      </c>
      <c r="M800" s="637" t="s">
        <v>35</v>
      </c>
      <c r="N800" s="637" t="s">
        <v>36</v>
      </c>
      <c r="O800" s="637" t="s">
        <v>37</v>
      </c>
      <c r="P800" s="637" t="s">
        <v>1156</v>
      </c>
      <c r="Q800" s="638">
        <v>0</v>
      </c>
      <c r="R800" s="638">
        <v>0</v>
      </c>
      <c r="S800" s="638">
        <v>25327</v>
      </c>
      <c r="T800" s="638">
        <v>25327</v>
      </c>
      <c r="U800" s="638">
        <v>7423</v>
      </c>
      <c r="V800" s="636">
        <v>2022</v>
      </c>
      <c r="W800" s="640"/>
      <c r="X800" s="641">
        <f t="shared" si="36"/>
        <v>3.411962818267547</v>
      </c>
      <c r="Y800" s="642" t="str">
        <f t="shared" si="37"/>
        <v/>
      </c>
      <c r="Z800" s="642" t="str">
        <f t="shared" si="38"/>
        <v/>
      </c>
    </row>
    <row r="801" spans="1:26" s="127" customFormat="1" ht="25">
      <c r="A801" s="636">
        <v>50832</v>
      </c>
      <c r="B801" s="637" t="s">
        <v>33</v>
      </c>
      <c r="C801" s="636" t="s">
        <v>2725</v>
      </c>
      <c r="D801" s="637" t="s">
        <v>913</v>
      </c>
      <c r="E801" s="637" t="s">
        <v>1084</v>
      </c>
      <c r="F801" s="636">
        <v>3477</v>
      </c>
      <c r="G801" s="637" t="s">
        <v>81</v>
      </c>
      <c r="H801" s="637" t="s">
        <v>1163</v>
      </c>
      <c r="I801" s="637" t="s">
        <v>58</v>
      </c>
      <c r="J801" s="636">
        <v>22</v>
      </c>
      <c r="K801" s="636">
        <v>1</v>
      </c>
      <c r="L801" s="637" t="s">
        <v>34</v>
      </c>
      <c r="M801" s="637" t="s">
        <v>35</v>
      </c>
      <c r="N801" s="637" t="s">
        <v>36</v>
      </c>
      <c r="O801" s="637" t="s">
        <v>37</v>
      </c>
      <c r="P801" s="637" t="s">
        <v>1156</v>
      </c>
      <c r="Q801" s="638">
        <v>0</v>
      </c>
      <c r="R801" s="638">
        <v>0</v>
      </c>
      <c r="S801" s="638">
        <v>0</v>
      </c>
      <c r="T801" s="638">
        <v>0</v>
      </c>
      <c r="U801" s="638">
        <v>0</v>
      </c>
      <c r="V801" s="636">
        <v>2022</v>
      </c>
      <c r="W801" s="640"/>
      <c r="X801" s="641" t="str">
        <f t="shared" si="36"/>
        <v/>
      </c>
      <c r="Y801" s="642" t="str">
        <f t="shared" si="37"/>
        <v/>
      </c>
      <c r="Z801" s="642" t="str">
        <f t="shared" si="38"/>
        <v/>
      </c>
    </row>
    <row r="802" spans="1:26" s="127" customFormat="1" ht="25">
      <c r="A802" s="636">
        <v>50873</v>
      </c>
      <c r="B802" s="637" t="s">
        <v>33</v>
      </c>
      <c r="C802" s="636" t="s">
        <v>2725</v>
      </c>
      <c r="D802" s="637" t="s">
        <v>914</v>
      </c>
      <c r="E802" s="637" t="s">
        <v>92</v>
      </c>
      <c r="F802" s="636">
        <v>20541</v>
      </c>
      <c r="G802" s="637" t="s">
        <v>96</v>
      </c>
      <c r="H802" s="637" t="s">
        <v>1163</v>
      </c>
      <c r="I802" s="637" t="s">
        <v>58</v>
      </c>
      <c r="J802" s="636">
        <v>22</v>
      </c>
      <c r="K802" s="636">
        <v>2</v>
      </c>
      <c r="L802" s="637" t="s">
        <v>52</v>
      </c>
      <c r="M802" s="637" t="s">
        <v>42</v>
      </c>
      <c r="N802" s="637" t="s">
        <v>16</v>
      </c>
      <c r="O802" s="637" t="s">
        <v>64</v>
      </c>
      <c r="P802" s="637" t="s">
        <v>45</v>
      </c>
      <c r="Q802" s="638">
        <v>103967</v>
      </c>
      <c r="R802" s="638">
        <v>103967</v>
      </c>
      <c r="S802" s="638">
        <v>797653</v>
      </c>
      <c r="T802" s="638">
        <v>797653</v>
      </c>
      <c r="U802" s="638">
        <v>40792.186000000002</v>
      </c>
      <c r="V802" s="636">
        <v>2022</v>
      </c>
      <c r="W802" s="640"/>
      <c r="X802" s="641">
        <f t="shared" si="36"/>
        <v>19.554063614046083</v>
      </c>
      <c r="Y802" s="642" t="str">
        <f t="shared" si="37"/>
        <v/>
      </c>
      <c r="Z802" s="642" t="str">
        <f t="shared" si="38"/>
        <v/>
      </c>
    </row>
    <row r="803" spans="1:26" s="127" customFormat="1" ht="25">
      <c r="A803" s="636">
        <v>50873</v>
      </c>
      <c r="B803" s="637" t="s">
        <v>33</v>
      </c>
      <c r="C803" s="636" t="s">
        <v>2725</v>
      </c>
      <c r="D803" s="637" t="s">
        <v>914</v>
      </c>
      <c r="E803" s="637" t="s">
        <v>92</v>
      </c>
      <c r="F803" s="636">
        <v>20541</v>
      </c>
      <c r="G803" s="637" t="s">
        <v>96</v>
      </c>
      <c r="H803" s="637" t="s">
        <v>1163</v>
      </c>
      <c r="I803" s="637" t="s">
        <v>58</v>
      </c>
      <c r="J803" s="636">
        <v>22</v>
      </c>
      <c r="K803" s="636">
        <v>2</v>
      </c>
      <c r="L803" s="637" t="s">
        <v>52</v>
      </c>
      <c r="M803" s="637" t="s">
        <v>42</v>
      </c>
      <c r="N803" s="637" t="s">
        <v>17</v>
      </c>
      <c r="O803" s="637" t="s">
        <v>82</v>
      </c>
      <c r="P803" s="637" t="s">
        <v>45</v>
      </c>
      <c r="Q803" s="638">
        <v>66473</v>
      </c>
      <c r="R803" s="638">
        <v>66473</v>
      </c>
      <c r="S803" s="638">
        <v>974922</v>
      </c>
      <c r="T803" s="638">
        <v>974922</v>
      </c>
      <c r="U803" s="638">
        <v>49857.813999999998</v>
      </c>
      <c r="V803" s="636">
        <v>2022</v>
      </c>
      <c r="W803" s="640"/>
      <c r="X803" s="641">
        <f t="shared" si="36"/>
        <v>19.554046232351865</v>
      </c>
      <c r="Y803" s="642" t="str">
        <f t="shared" si="37"/>
        <v/>
      </c>
      <c r="Z803" s="642" t="str">
        <f t="shared" si="38"/>
        <v/>
      </c>
    </row>
    <row r="804" spans="1:26" s="127" customFormat="1" ht="25">
      <c r="A804" s="636">
        <v>50877</v>
      </c>
      <c r="B804" s="637" t="s">
        <v>33</v>
      </c>
      <c r="C804" s="636" t="s">
        <v>2725</v>
      </c>
      <c r="D804" s="637" t="s">
        <v>915</v>
      </c>
      <c r="E804" s="637" t="s">
        <v>92</v>
      </c>
      <c r="F804" s="636">
        <v>20541</v>
      </c>
      <c r="G804" s="637" t="s">
        <v>81</v>
      </c>
      <c r="H804" s="637" t="s">
        <v>1163</v>
      </c>
      <c r="I804" s="637" t="s">
        <v>58</v>
      </c>
      <c r="J804" s="636">
        <v>22</v>
      </c>
      <c r="K804" s="636">
        <v>2</v>
      </c>
      <c r="L804" s="637" t="s">
        <v>52</v>
      </c>
      <c r="M804" s="637" t="s">
        <v>42</v>
      </c>
      <c r="N804" s="637" t="s">
        <v>16</v>
      </c>
      <c r="O804" s="637" t="s">
        <v>64</v>
      </c>
      <c r="P804" s="637" t="s">
        <v>45</v>
      </c>
      <c r="Q804" s="638">
        <v>255337</v>
      </c>
      <c r="R804" s="638">
        <v>255337</v>
      </c>
      <c r="S804" s="638">
        <v>1958945</v>
      </c>
      <c r="T804" s="638">
        <v>1958945</v>
      </c>
      <c r="U804" s="638">
        <v>102969.07</v>
      </c>
      <c r="V804" s="636">
        <v>2022</v>
      </c>
      <c r="W804" s="640"/>
      <c r="X804" s="641">
        <f t="shared" si="36"/>
        <v>19.024596415214781</v>
      </c>
      <c r="Y804" s="642" t="str">
        <f t="shared" si="37"/>
        <v/>
      </c>
      <c r="Z804" s="642" t="str">
        <f t="shared" si="38"/>
        <v/>
      </c>
    </row>
    <row r="805" spans="1:26" s="127" customFormat="1" ht="25">
      <c r="A805" s="636">
        <v>50877</v>
      </c>
      <c r="B805" s="637" t="s">
        <v>33</v>
      </c>
      <c r="C805" s="636" t="s">
        <v>2725</v>
      </c>
      <c r="D805" s="637" t="s">
        <v>915</v>
      </c>
      <c r="E805" s="637" t="s">
        <v>92</v>
      </c>
      <c r="F805" s="636">
        <v>20541</v>
      </c>
      <c r="G805" s="637" t="s">
        <v>81</v>
      </c>
      <c r="H805" s="637" t="s">
        <v>1163</v>
      </c>
      <c r="I805" s="637" t="s">
        <v>58</v>
      </c>
      <c r="J805" s="636">
        <v>22</v>
      </c>
      <c r="K805" s="636">
        <v>2</v>
      </c>
      <c r="L805" s="637" t="s">
        <v>52</v>
      </c>
      <c r="M805" s="637" t="s">
        <v>42</v>
      </c>
      <c r="N805" s="637" t="s">
        <v>17</v>
      </c>
      <c r="O805" s="637" t="s">
        <v>82</v>
      </c>
      <c r="P805" s="637" t="s">
        <v>45</v>
      </c>
      <c r="Q805" s="638">
        <v>163246</v>
      </c>
      <c r="R805" s="638">
        <v>163246</v>
      </c>
      <c r="S805" s="638">
        <v>2394302</v>
      </c>
      <c r="T805" s="638">
        <v>2394302</v>
      </c>
      <c r="U805" s="638">
        <v>125852.93</v>
      </c>
      <c r="V805" s="636">
        <v>2022</v>
      </c>
      <c r="W805" s="640"/>
      <c r="X805" s="641">
        <f t="shared" si="36"/>
        <v>19.024602764512515</v>
      </c>
      <c r="Y805" s="642" t="str">
        <f t="shared" si="37"/>
        <v/>
      </c>
      <c r="Z805" s="642" t="str">
        <f t="shared" si="38"/>
        <v/>
      </c>
    </row>
    <row r="806" spans="1:26" s="127" customFormat="1" ht="25">
      <c r="A806" s="636">
        <v>50877</v>
      </c>
      <c r="B806" s="637" t="s">
        <v>33</v>
      </c>
      <c r="C806" s="636" t="s">
        <v>2725</v>
      </c>
      <c r="D806" s="637" t="s">
        <v>915</v>
      </c>
      <c r="E806" s="637" t="s">
        <v>92</v>
      </c>
      <c r="F806" s="636">
        <v>20541</v>
      </c>
      <c r="G806" s="637" t="s">
        <v>81</v>
      </c>
      <c r="H806" s="637" t="s">
        <v>1163</v>
      </c>
      <c r="I806" s="637" t="s">
        <v>58</v>
      </c>
      <c r="J806" s="636">
        <v>22</v>
      </c>
      <c r="K806" s="636">
        <v>2</v>
      </c>
      <c r="L806" s="637" t="s">
        <v>52</v>
      </c>
      <c r="M806" s="637" t="s">
        <v>42</v>
      </c>
      <c r="N806" s="637" t="s">
        <v>39</v>
      </c>
      <c r="O806" s="637" t="s">
        <v>39</v>
      </c>
      <c r="P806" s="637" t="s">
        <v>1020</v>
      </c>
      <c r="Q806" s="638">
        <v>0</v>
      </c>
      <c r="R806" s="638">
        <v>0</v>
      </c>
      <c r="S806" s="638">
        <v>0</v>
      </c>
      <c r="T806" s="638">
        <v>0</v>
      </c>
      <c r="U806" s="638">
        <v>0</v>
      </c>
      <c r="V806" s="636">
        <v>2022</v>
      </c>
      <c r="W806" s="640"/>
      <c r="X806" s="641" t="str">
        <f t="shared" si="36"/>
        <v/>
      </c>
      <c r="Y806" s="642" t="str">
        <f t="shared" si="37"/>
        <v/>
      </c>
      <c r="Z806" s="642" t="str">
        <f t="shared" si="38"/>
        <v/>
      </c>
    </row>
    <row r="807" spans="1:26" s="127" customFormat="1" ht="25">
      <c r="A807" s="636">
        <v>50878</v>
      </c>
      <c r="B807" s="637" t="s">
        <v>33</v>
      </c>
      <c r="C807" s="636" t="s">
        <v>2725</v>
      </c>
      <c r="D807" s="637" t="s">
        <v>916</v>
      </c>
      <c r="E807" s="637" t="s">
        <v>92</v>
      </c>
      <c r="F807" s="636">
        <v>20541</v>
      </c>
      <c r="G807" s="637" t="s">
        <v>81</v>
      </c>
      <c r="H807" s="637" t="s">
        <v>1163</v>
      </c>
      <c r="I807" s="637" t="s">
        <v>58</v>
      </c>
      <c r="J807" s="636">
        <v>22</v>
      </c>
      <c r="K807" s="636">
        <v>2</v>
      </c>
      <c r="L807" s="637" t="s">
        <v>52</v>
      </c>
      <c r="M807" s="637" t="s">
        <v>42</v>
      </c>
      <c r="N807" s="637" t="s">
        <v>16</v>
      </c>
      <c r="O807" s="637" t="s">
        <v>64</v>
      </c>
      <c r="P807" s="637" t="s">
        <v>45</v>
      </c>
      <c r="Q807" s="638">
        <v>300467</v>
      </c>
      <c r="R807" s="638">
        <v>300467</v>
      </c>
      <c r="S807" s="638">
        <v>2305182</v>
      </c>
      <c r="T807" s="638">
        <v>2305182</v>
      </c>
      <c r="U807" s="638">
        <v>143387.88</v>
      </c>
      <c r="V807" s="636">
        <v>2022</v>
      </c>
      <c r="W807" s="640"/>
      <c r="X807" s="641">
        <f t="shared" si="36"/>
        <v>16.076547055441505</v>
      </c>
      <c r="Y807" s="642" t="str">
        <f t="shared" si="37"/>
        <v/>
      </c>
      <c r="Z807" s="642" t="str">
        <f t="shared" si="38"/>
        <v/>
      </c>
    </row>
    <row r="808" spans="1:26" s="127" customFormat="1" ht="25">
      <c r="A808" s="636">
        <v>50878</v>
      </c>
      <c r="B808" s="637" t="s">
        <v>33</v>
      </c>
      <c r="C808" s="636" t="s">
        <v>2725</v>
      </c>
      <c r="D808" s="637" t="s">
        <v>916</v>
      </c>
      <c r="E808" s="637" t="s">
        <v>92</v>
      </c>
      <c r="F808" s="636">
        <v>20541</v>
      </c>
      <c r="G808" s="637" t="s">
        <v>81</v>
      </c>
      <c r="H808" s="637" t="s">
        <v>1163</v>
      </c>
      <c r="I808" s="637" t="s">
        <v>58</v>
      </c>
      <c r="J808" s="636">
        <v>22</v>
      </c>
      <c r="K808" s="636">
        <v>2</v>
      </c>
      <c r="L808" s="637" t="s">
        <v>52</v>
      </c>
      <c r="M808" s="637" t="s">
        <v>42</v>
      </c>
      <c r="N808" s="637" t="s">
        <v>17</v>
      </c>
      <c r="O808" s="637" t="s">
        <v>82</v>
      </c>
      <c r="P808" s="637" t="s">
        <v>45</v>
      </c>
      <c r="Q808" s="638">
        <v>192102</v>
      </c>
      <c r="R808" s="638">
        <v>192102</v>
      </c>
      <c r="S808" s="638">
        <v>2817467</v>
      </c>
      <c r="T808" s="638">
        <v>2817467</v>
      </c>
      <c r="U808" s="638">
        <v>175253.12</v>
      </c>
      <c r="V808" s="636">
        <v>2022</v>
      </c>
      <c r="W808" s="640"/>
      <c r="X808" s="641">
        <f t="shared" si="36"/>
        <v>16.076558294654042</v>
      </c>
      <c r="Y808" s="642" t="str">
        <f t="shared" si="37"/>
        <v/>
      </c>
      <c r="Z808" s="642" t="str">
        <f t="shared" si="38"/>
        <v/>
      </c>
    </row>
    <row r="809" spans="1:26" s="127" customFormat="1" ht="25">
      <c r="A809" s="636">
        <v>50880</v>
      </c>
      <c r="B809" s="637" t="s">
        <v>33</v>
      </c>
      <c r="C809" s="636" t="s">
        <v>2725</v>
      </c>
      <c r="D809" s="637" t="s">
        <v>199</v>
      </c>
      <c r="E809" s="637" t="s">
        <v>92</v>
      </c>
      <c r="F809" s="636">
        <v>20541</v>
      </c>
      <c r="G809" s="637" t="s">
        <v>81</v>
      </c>
      <c r="H809" s="637" t="s">
        <v>1163</v>
      </c>
      <c r="I809" s="637" t="s">
        <v>58</v>
      </c>
      <c r="J809" s="636">
        <v>22</v>
      </c>
      <c r="K809" s="636">
        <v>2</v>
      </c>
      <c r="L809" s="637" t="s">
        <v>52</v>
      </c>
      <c r="M809" s="637" t="s">
        <v>42</v>
      </c>
      <c r="N809" s="637" t="s">
        <v>16</v>
      </c>
      <c r="O809" s="637" t="s">
        <v>64</v>
      </c>
      <c r="P809" s="637" t="s">
        <v>45</v>
      </c>
      <c r="Q809" s="638">
        <v>246096</v>
      </c>
      <c r="R809" s="638">
        <v>246096</v>
      </c>
      <c r="S809" s="638">
        <v>1888062</v>
      </c>
      <c r="T809" s="638">
        <v>1888062</v>
      </c>
      <c r="U809" s="638">
        <v>96489.744000000006</v>
      </c>
      <c r="V809" s="636">
        <v>2022</v>
      </c>
      <c r="W809" s="640"/>
      <c r="X809" s="641">
        <f t="shared" si="36"/>
        <v>19.56748895509558</v>
      </c>
      <c r="Y809" s="642" t="str">
        <f t="shared" si="37"/>
        <v/>
      </c>
      <c r="Z809" s="642" t="str">
        <f t="shared" si="38"/>
        <v/>
      </c>
    </row>
    <row r="810" spans="1:26" s="127" customFormat="1" ht="25">
      <c r="A810" s="636">
        <v>50880</v>
      </c>
      <c r="B810" s="637" t="s">
        <v>33</v>
      </c>
      <c r="C810" s="636" t="s">
        <v>2725</v>
      </c>
      <c r="D810" s="637" t="s">
        <v>199</v>
      </c>
      <c r="E810" s="637" t="s">
        <v>92</v>
      </c>
      <c r="F810" s="636">
        <v>20541</v>
      </c>
      <c r="G810" s="637" t="s">
        <v>81</v>
      </c>
      <c r="H810" s="637" t="s">
        <v>1163</v>
      </c>
      <c r="I810" s="637" t="s">
        <v>58</v>
      </c>
      <c r="J810" s="636">
        <v>22</v>
      </c>
      <c r="K810" s="636">
        <v>2</v>
      </c>
      <c r="L810" s="637" t="s">
        <v>52</v>
      </c>
      <c r="M810" s="637" t="s">
        <v>42</v>
      </c>
      <c r="N810" s="637" t="s">
        <v>17</v>
      </c>
      <c r="O810" s="637" t="s">
        <v>82</v>
      </c>
      <c r="P810" s="637" t="s">
        <v>45</v>
      </c>
      <c r="Q810" s="638">
        <v>157337</v>
      </c>
      <c r="R810" s="638">
        <v>157337</v>
      </c>
      <c r="S810" s="638">
        <v>2307636</v>
      </c>
      <c r="T810" s="638">
        <v>2307636</v>
      </c>
      <c r="U810" s="638">
        <v>117932.26</v>
      </c>
      <c r="V810" s="636">
        <v>2022</v>
      </c>
      <c r="W810" s="640"/>
      <c r="X810" s="641">
        <f t="shared" si="36"/>
        <v>19.567470342720476</v>
      </c>
      <c r="Y810" s="642" t="str">
        <f t="shared" si="37"/>
        <v/>
      </c>
      <c r="Z810" s="642" t="str">
        <f t="shared" si="38"/>
        <v/>
      </c>
    </row>
    <row r="811" spans="1:26" s="127" customFormat="1" ht="25">
      <c r="A811" s="636">
        <v>50882</v>
      </c>
      <c r="B811" s="637" t="s">
        <v>54</v>
      </c>
      <c r="C811" s="636" t="s">
        <v>2725</v>
      </c>
      <c r="D811" s="637" t="s">
        <v>200</v>
      </c>
      <c r="E811" s="637" t="s">
        <v>92</v>
      </c>
      <c r="F811" s="636">
        <v>20541</v>
      </c>
      <c r="G811" s="637" t="s">
        <v>57</v>
      </c>
      <c r="H811" s="637" t="s">
        <v>1162</v>
      </c>
      <c r="I811" s="637" t="s">
        <v>58</v>
      </c>
      <c r="J811" s="636">
        <v>22</v>
      </c>
      <c r="K811" s="636">
        <v>3</v>
      </c>
      <c r="L811" s="637" t="s">
        <v>55</v>
      </c>
      <c r="M811" s="637" t="s">
        <v>42</v>
      </c>
      <c r="N811" s="637" t="s">
        <v>16</v>
      </c>
      <c r="O811" s="637" t="s">
        <v>64</v>
      </c>
      <c r="P811" s="637" t="s">
        <v>45</v>
      </c>
      <c r="Q811" s="638">
        <v>399188</v>
      </c>
      <c r="R811" s="638">
        <v>282065</v>
      </c>
      <c r="S811" s="638">
        <v>3062569</v>
      </c>
      <c r="T811" s="638">
        <v>2164001</v>
      </c>
      <c r="U811" s="638">
        <v>165345.46</v>
      </c>
      <c r="V811" s="636">
        <v>2022</v>
      </c>
      <c r="W811" s="640"/>
      <c r="X811" s="641">
        <f t="shared" si="36"/>
        <v>13.087755781138473</v>
      </c>
      <c r="Y811" s="642" t="str">
        <f t="shared" si="37"/>
        <v/>
      </c>
      <c r="Z811" s="642" t="str">
        <f t="shared" si="38"/>
        <v/>
      </c>
    </row>
    <row r="812" spans="1:26" s="127" customFormat="1" ht="25">
      <c r="A812" s="636">
        <v>50882</v>
      </c>
      <c r="B812" s="637" t="s">
        <v>54</v>
      </c>
      <c r="C812" s="636" t="s">
        <v>2725</v>
      </c>
      <c r="D812" s="637" t="s">
        <v>200</v>
      </c>
      <c r="E812" s="637" t="s">
        <v>92</v>
      </c>
      <c r="F812" s="636">
        <v>20541</v>
      </c>
      <c r="G812" s="637" t="s">
        <v>57</v>
      </c>
      <c r="H812" s="637" t="s">
        <v>1162</v>
      </c>
      <c r="I812" s="637" t="s">
        <v>58</v>
      </c>
      <c r="J812" s="636">
        <v>22</v>
      </c>
      <c r="K812" s="636">
        <v>3</v>
      </c>
      <c r="L812" s="637" t="s">
        <v>55</v>
      </c>
      <c r="M812" s="637" t="s">
        <v>42</v>
      </c>
      <c r="N812" s="637" t="s">
        <v>17</v>
      </c>
      <c r="O812" s="637" t="s">
        <v>82</v>
      </c>
      <c r="P812" s="637" t="s">
        <v>45</v>
      </c>
      <c r="Q812" s="638">
        <v>255220</v>
      </c>
      <c r="R812" s="638">
        <v>180337</v>
      </c>
      <c r="S812" s="638">
        <v>3743209</v>
      </c>
      <c r="T812" s="638">
        <v>2644938</v>
      </c>
      <c r="U812" s="638">
        <v>202092.54</v>
      </c>
      <c r="V812" s="636">
        <v>2022</v>
      </c>
      <c r="W812" s="640"/>
      <c r="X812" s="641">
        <f t="shared" si="36"/>
        <v>13.087756727685248</v>
      </c>
      <c r="Y812" s="642" t="str">
        <f t="shared" si="37"/>
        <v/>
      </c>
      <c r="Z812" s="642" t="str">
        <f t="shared" si="38"/>
        <v/>
      </c>
    </row>
    <row r="813" spans="1:26" s="127" customFormat="1" ht="25">
      <c r="A813" s="636">
        <v>50882</v>
      </c>
      <c r="B813" s="637" t="s">
        <v>54</v>
      </c>
      <c r="C813" s="636" t="s">
        <v>2725</v>
      </c>
      <c r="D813" s="637" t="s">
        <v>200</v>
      </c>
      <c r="E813" s="637" t="s">
        <v>92</v>
      </c>
      <c r="F813" s="636">
        <v>20541</v>
      </c>
      <c r="G813" s="637" t="s">
        <v>57</v>
      </c>
      <c r="H813" s="637" t="s">
        <v>1162</v>
      </c>
      <c r="I813" s="637" t="s">
        <v>58</v>
      </c>
      <c r="J813" s="636">
        <v>22</v>
      </c>
      <c r="K813" s="636">
        <v>3</v>
      </c>
      <c r="L813" s="637" t="s">
        <v>55</v>
      </c>
      <c r="M813" s="637" t="s">
        <v>42</v>
      </c>
      <c r="N813" s="637" t="s">
        <v>39</v>
      </c>
      <c r="O813" s="637" t="s">
        <v>39</v>
      </c>
      <c r="P813" s="637" t="s">
        <v>1020</v>
      </c>
      <c r="Q813" s="638">
        <v>0</v>
      </c>
      <c r="R813" s="638">
        <v>0</v>
      </c>
      <c r="S813" s="638">
        <v>0</v>
      </c>
      <c r="T813" s="638">
        <v>0</v>
      </c>
      <c r="U813" s="638">
        <v>0</v>
      </c>
      <c r="V813" s="636">
        <v>2022</v>
      </c>
      <c r="W813" s="640"/>
      <c r="X813" s="641" t="str">
        <f t="shared" si="36"/>
        <v/>
      </c>
      <c r="Y813" s="642" t="str">
        <f t="shared" si="37"/>
        <v/>
      </c>
      <c r="Z813" s="642" t="str">
        <f t="shared" si="38"/>
        <v/>
      </c>
    </row>
    <row r="814" spans="1:26" s="127" customFormat="1" ht="25">
      <c r="A814" s="636">
        <v>50883</v>
      </c>
      <c r="B814" s="637" t="s">
        <v>33</v>
      </c>
      <c r="C814" s="636" t="s">
        <v>2725</v>
      </c>
      <c r="D814" s="637" t="s">
        <v>201</v>
      </c>
      <c r="E814" s="637" t="s">
        <v>92</v>
      </c>
      <c r="F814" s="636">
        <v>20541</v>
      </c>
      <c r="G814" s="637" t="s">
        <v>41</v>
      </c>
      <c r="H814" s="637" t="s">
        <v>1163</v>
      </c>
      <c r="I814" s="637" t="s">
        <v>58</v>
      </c>
      <c r="J814" s="636">
        <v>22</v>
      </c>
      <c r="K814" s="636">
        <v>2</v>
      </c>
      <c r="L814" s="637" t="s">
        <v>52</v>
      </c>
      <c r="M814" s="637" t="s">
        <v>42</v>
      </c>
      <c r="N814" s="637" t="s">
        <v>16</v>
      </c>
      <c r="O814" s="637" t="s">
        <v>64</v>
      </c>
      <c r="P814" s="637" t="s">
        <v>45</v>
      </c>
      <c r="Q814" s="638">
        <v>445016</v>
      </c>
      <c r="R814" s="638">
        <v>445016</v>
      </c>
      <c r="S814" s="638">
        <v>3414163</v>
      </c>
      <c r="T814" s="638">
        <v>3414163</v>
      </c>
      <c r="U814" s="638">
        <v>211286.54</v>
      </c>
      <c r="V814" s="636">
        <v>2022</v>
      </c>
      <c r="W814" s="640"/>
      <c r="X814" s="641">
        <f t="shared" si="36"/>
        <v>16.158923327534257</v>
      </c>
      <c r="Y814" s="642" t="str">
        <f t="shared" si="37"/>
        <v/>
      </c>
      <c r="Z814" s="642" t="str">
        <f t="shared" si="38"/>
        <v/>
      </c>
    </row>
    <row r="815" spans="1:26" s="127" customFormat="1" ht="25">
      <c r="A815" s="636">
        <v>50883</v>
      </c>
      <c r="B815" s="637" t="s">
        <v>33</v>
      </c>
      <c r="C815" s="636" t="s">
        <v>2725</v>
      </c>
      <c r="D815" s="637" t="s">
        <v>201</v>
      </c>
      <c r="E815" s="637" t="s">
        <v>92</v>
      </c>
      <c r="F815" s="636">
        <v>20541</v>
      </c>
      <c r="G815" s="637" t="s">
        <v>41</v>
      </c>
      <c r="H815" s="637" t="s">
        <v>1163</v>
      </c>
      <c r="I815" s="637" t="s">
        <v>58</v>
      </c>
      <c r="J815" s="636">
        <v>22</v>
      </c>
      <c r="K815" s="636">
        <v>2</v>
      </c>
      <c r="L815" s="637" t="s">
        <v>52</v>
      </c>
      <c r="M815" s="637" t="s">
        <v>42</v>
      </c>
      <c r="N815" s="637" t="s">
        <v>17</v>
      </c>
      <c r="O815" s="637" t="s">
        <v>82</v>
      </c>
      <c r="P815" s="637" t="s">
        <v>45</v>
      </c>
      <c r="Q815" s="638">
        <v>284518</v>
      </c>
      <c r="R815" s="638">
        <v>284518</v>
      </c>
      <c r="S815" s="638">
        <v>4172952</v>
      </c>
      <c r="T815" s="638">
        <v>4172952</v>
      </c>
      <c r="U815" s="638">
        <v>258244.46</v>
      </c>
      <c r="V815" s="636">
        <v>2022</v>
      </c>
      <c r="W815" s="640"/>
      <c r="X815" s="641">
        <f t="shared" si="36"/>
        <v>16.158921666702938</v>
      </c>
      <c r="Y815" s="642" t="str">
        <f t="shared" si="37"/>
        <v/>
      </c>
      <c r="Z815" s="642" t="str">
        <f t="shared" si="38"/>
        <v/>
      </c>
    </row>
    <row r="816" spans="1:26" s="127" customFormat="1" ht="37.5" hidden="1">
      <c r="A816" s="636">
        <v>50907</v>
      </c>
      <c r="B816" s="637" t="s">
        <v>54</v>
      </c>
      <c r="C816" s="636" t="s">
        <v>2725</v>
      </c>
      <c r="D816" s="637" t="s">
        <v>917</v>
      </c>
      <c r="E816" s="637" t="s">
        <v>918</v>
      </c>
      <c r="F816" s="636">
        <v>14222</v>
      </c>
      <c r="G816" s="637" t="s">
        <v>57</v>
      </c>
      <c r="H816" s="637" t="s">
        <v>1162</v>
      </c>
      <c r="I816" s="637" t="s">
        <v>58</v>
      </c>
      <c r="J816" s="636">
        <v>562212</v>
      </c>
      <c r="K816" s="636">
        <v>5</v>
      </c>
      <c r="L816" s="637" t="s">
        <v>407</v>
      </c>
      <c r="M816" s="637" t="s">
        <v>42</v>
      </c>
      <c r="N816" s="637" t="s">
        <v>16</v>
      </c>
      <c r="O816" s="637" t="s">
        <v>64</v>
      </c>
      <c r="P816" s="637" t="s">
        <v>45</v>
      </c>
      <c r="Q816" s="638">
        <v>29925</v>
      </c>
      <c r="R816" s="638">
        <v>2087</v>
      </c>
      <c r="S816" s="638">
        <v>264896</v>
      </c>
      <c r="T816" s="638">
        <v>18470</v>
      </c>
      <c r="U816" s="638">
        <v>3045.4140000000002</v>
      </c>
      <c r="V816" s="636">
        <v>2022</v>
      </c>
      <c r="W816" s="640"/>
      <c r="X816" s="641" t="str">
        <f t="shared" si="36"/>
        <v/>
      </c>
      <c r="Y816" s="642" t="str">
        <f t="shared" si="37"/>
        <v/>
      </c>
      <c r="Z816" s="642" t="str">
        <f t="shared" si="38"/>
        <v/>
      </c>
    </row>
    <row r="817" spans="1:26" s="127" customFormat="1" ht="37.5" hidden="1">
      <c r="A817" s="636">
        <v>50907</v>
      </c>
      <c r="B817" s="637" t="s">
        <v>54</v>
      </c>
      <c r="C817" s="636" t="s">
        <v>2725</v>
      </c>
      <c r="D817" s="637" t="s">
        <v>917</v>
      </c>
      <c r="E817" s="637" t="s">
        <v>918</v>
      </c>
      <c r="F817" s="636">
        <v>14222</v>
      </c>
      <c r="G817" s="637" t="s">
        <v>57</v>
      </c>
      <c r="H817" s="637" t="s">
        <v>1162</v>
      </c>
      <c r="I817" s="637" t="s">
        <v>58</v>
      </c>
      <c r="J817" s="636">
        <v>562212</v>
      </c>
      <c r="K817" s="636">
        <v>5</v>
      </c>
      <c r="L817" s="637" t="s">
        <v>407</v>
      </c>
      <c r="M817" s="637" t="s">
        <v>42</v>
      </c>
      <c r="N817" s="637" t="s">
        <v>17</v>
      </c>
      <c r="O817" s="637" t="s">
        <v>82</v>
      </c>
      <c r="P817" s="637" t="s">
        <v>45</v>
      </c>
      <c r="Q817" s="638">
        <v>19132</v>
      </c>
      <c r="R817" s="638">
        <v>1332</v>
      </c>
      <c r="S817" s="638">
        <v>323770</v>
      </c>
      <c r="T817" s="638">
        <v>22574</v>
      </c>
      <c r="U817" s="638">
        <v>3722.2759999999998</v>
      </c>
      <c r="V817" s="636">
        <v>2022</v>
      </c>
      <c r="W817" s="640"/>
      <c r="X817" s="641" t="str">
        <f t="shared" si="36"/>
        <v/>
      </c>
      <c r="Y817" s="642" t="str">
        <f t="shared" si="37"/>
        <v/>
      </c>
      <c r="Z817" s="642" t="str">
        <f t="shared" si="38"/>
        <v/>
      </c>
    </row>
    <row r="818" spans="1:26" s="127" customFormat="1" ht="37.5" hidden="1">
      <c r="A818" s="636">
        <v>50907</v>
      </c>
      <c r="B818" s="637" t="s">
        <v>54</v>
      </c>
      <c r="C818" s="636" t="s">
        <v>2725</v>
      </c>
      <c r="D818" s="637" t="s">
        <v>917</v>
      </c>
      <c r="E818" s="637" t="s">
        <v>918</v>
      </c>
      <c r="F818" s="636">
        <v>14222</v>
      </c>
      <c r="G818" s="637" t="s">
        <v>57</v>
      </c>
      <c r="H818" s="637" t="s">
        <v>1162</v>
      </c>
      <c r="I818" s="637" t="s">
        <v>58</v>
      </c>
      <c r="J818" s="636">
        <v>562212</v>
      </c>
      <c r="K818" s="636">
        <v>5</v>
      </c>
      <c r="L818" s="637" t="s">
        <v>407</v>
      </c>
      <c r="M818" s="637" t="s">
        <v>42</v>
      </c>
      <c r="N818" s="637" t="s">
        <v>39</v>
      </c>
      <c r="O818" s="637" t="s">
        <v>39</v>
      </c>
      <c r="P818" s="637" t="s">
        <v>1020</v>
      </c>
      <c r="Q818" s="638">
        <v>0</v>
      </c>
      <c r="R818" s="638">
        <v>0</v>
      </c>
      <c r="S818" s="638">
        <v>0</v>
      </c>
      <c r="T818" s="638">
        <v>0</v>
      </c>
      <c r="U818" s="638">
        <v>0</v>
      </c>
      <c r="V818" s="636">
        <v>2022</v>
      </c>
      <c r="W818" s="640"/>
      <c r="X818" s="641" t="str">
        <f t="shared" si="36"/>
        <v/>
      </c>
      <c r="Y818" s="642" t="str">
        <f t="shared" si="37"/>
        <v/>
      </c>
      <c r="Z818" s="642" t="str">
        <f t="shared" si="38"/>
        <v/>
      </c>
    </row>
    <row r="819" spans="1:26" s="127" customFormat="1" ht="37.5" hidden="1">
      <c r="A819" s="636">
        <v>50955</v>
      </c>
      <c r="B819" s="637" t="s">
        <v>54</v>
      </c>
      <c r="C819" s="636" t="s">
        <v>2725</v>
      </c>
      <c r="D819" s="637" t="s">
        <v>1143</v>
      </c>
      <c r="E819" s="637" t="s">
        <v>1143</v>
      </c>
      <c r="F819" s="636">
        <v>5623</v>
      </c>
      <c r="G819" s="637" t="s">
        <v>81</v>
      </c>
      <c r="H819" s="637" t="s">
        <v>1163</v>
      </c>
      <c r="I819" s="637" t="s">
        <v>58</v>
      </c>
      <c r="J819" s="636">
        <v>325</v>
      </c>
      <c r="K819" s="636">
        <v>7</v>
      </c>
      <c r="L819" s="637" t="s">
        <v>403</v>
      </c>
      <c r="M819" s="637" t="s">
        <v>42</v>
      </c>
      <c r="N819" s="637" t="s">
        <v>39</v>
      </c>
      <c r="O819" s="637" t="s">
        <v>39</v>
      </c>
      <c r="P819" s="637" t="s">
        <v>1020</v>
      </c>
      <c r="Q819" s="638">
        <v>716052</v>
      </c>
      <c r="R819" s="638">
        <v>69030</v>
      </c>
      <c r="S819" s="638">
        <v>737533</v>
      </c>
      <c r="T819" s="638">
        <v>71102</v>
      </c>
      <c r="U819" s="638">
        <v>16151.727999999999</v>
      </c>
      <c r="V819" s="636">
        <v>2022</v>
      </c>
      <c r="W819" s="640"/>
      <c r="X819" s="641" t="str">
        <f t="shared" si="36"/>
        <v/>
      </c>
      <c r="Y819" s="642" t="str">
        <f t="shared" si="37"/>
        <v/>
      </c>
      <c r="Z819" s="642" t="str">
        <f t="shared" si="38"/>
        <v/>
      </c>
    </row>
    <row r="820" spans="1:26" s="127" customFormat="1" ht="37.5" hidden="1">
      <c r="A820" s="636">
        <v>50955</v>
      </c>
      <c r="B820" s="637" t="s">
        <v>54</v>
      </c>
      <c r="C820" s="636" t="s">
        <v>2725</v>
      </c>
      <c r="D820" s="637" t="s">
        <v>1143</v>
      </c>
      <c r="E820" s="637" t="s">
        <v>1143</v>
      </c>
      <c r="F820" s="636">
        <v>5623</v>
      </c>
      <c r="G820" s="637" t="s">
        <v>81</v>
      </c>
      <c r="H820" s="637" t="s">
        <v>1163</v>
      </c>
      <c r="I820" s="637" t="s">
        <v>58</v>
      </c>
      <c r="J820" s="636">
        <v>325</v>
      </c>
      <c r="K820" s="636">
        <v>7</v>
      </c>
      <c r="L820" s="637" t="s">
        <v>403</v>
      </c>
      <c r="M820" s="637" t="s">
        <v>42</v>
      </c>
      <c r="N820" s="637" t="s">
        <v>420</v>
      </c>
      <c r="O820" s="637" t="s">
        <v>67</v>
      </c>
      <c r="P820" s="637" t="s">
        <v>1020</v>
      </c>
      <c r="Q820" s="638">
        <v>5</v>
      </c>
      <c r="R820" s="638">
        <v>0</v>
      </c>
      <c r="S820" s="638">
        <v>15</v>
      </c>
      <c r="T820" s="638">
        <v>0</v>
      </c>
      <c r="U820" s="638">
        <v>0.27200000000000002</v>
      </c>
      <c r="V820" s="636">
        <v>2022</v>
      </c>
      <c r="W820" s="640"/>
      <c r="X820" s="641" t="str">
        <f t="shared" si="36"/>
        <v/>
      </c>
      <c r="Y820" s="642" t="str">
        <f t="shared" si="37"/>
        <v/>
      </c>
      <c r="Z820" s="642" t="str">
        <f t="shared" si="38"/>
        <v/>
      </c>
    </row>
    <row r="821" spans="1:26" s="127" customFormat="1" ht="37.5" hidden="1">
      <c r="A821" s="636">
        <v>50955</v>
      </c>
      <c r="B821" s="637" t="s">
        <v>54</v>
      </c>
      <c r="C821" s="636" t="s">
        <v>2725</v>
      </c>
      <c r="D821" s="637" t="s">
        <v>1143</v>
      </c>
      <c r="E821" s="637" t="s">
        <v>1143</v>
      </c>
      <c r="F821" s="636">
        <v>5623</v>
      </c>
      <c r="G821" s="637" t="s">
        <v>81</v>
      </c>
      <c r="H821" s="637" t="s">
        <v>1163</v>
      </c>
      <c r="I821" s="637" t="s">
        <v>58</v>
      </c>
      <c r="J821" s="636">
        <v>325</v>
      </c>
      <c r="K821" s="636">
        <v>7</v>
      </c>
      <c r="L821" s="637" t="s">
        <v>403</v>
      </c>
      <c r="M821" s="637" t="s">
        <v>42</v>
      </c>
      <c r="N821" s="637" t="s">
        <v>61</v>
      </c>
      <c r="O821" s="637" t="s">
        <v>61</v>
      </c>
      <c r="P821" s="637" t="s">
        <v>47</v>
      </c>
      <c r="Q821" s="638">
        <v>0</v>
      </c>
      <c r="R821" s="638">
        <v>0</v>
      </c>
      <c r="S821" s="638">
        <v>0</v>
      </c>
      <c r="T821" s="638">
        <v>0</v>
      </c>
      <c r="U821" s="638">
        <v>0</v>
      </c>
      <c r="V821" s="636">
        <v>2022</v>
      </c>
      <c r="W821" s="640"/>
      <c r="X821" s="641" t="str">
        <f t="shared" si="36"/>
        <v/>
      </c>
      <c r="Y821" s="642" t="str">
        <f t="shared" si="37"/>
        <v/>
      </c>
      <c r="Z821" s="642" t="str">
        <f t="shared" si="38"/>
        <v/>
      </c>
    </row>
    <row r="822" spans="1:26" s="127" customFormat="1" ht="25">
      <c r="A822" s="636">
        <v>50978</v>
      </c>
      <c r="B822" s="637" t="s">
        <v>33</v>
      </c>
      <c r="C822" s="636" t="s">
        <v>2725</v>
      </c>
      <c r="D822" s="637" t="s">
        <v>202</v>
      </c>
      <c r="E822" s="637" t="s">
        <v>919</v>
      </c>
      <c r="F822" s="636">
        <v>24202</v>
      </c>
      <c r="G822" s="637" t="s">
        <v>57</v>
      </c>
      <c r="H822" s="637" t="s">
        <v>1162</v>
      </c>
      <c r="I822" s="637" t="s">
        <v>58</v>
      </c>
      <c r="J822" s="636">
        <v>22</v>
      </c>
      <c r="K822" s="636">
        <v>2</v>
      </c>
      <c r="L822" s="637" t="s">
        <v>52</v>
      </c>
      <c r="M822" s="637" t="s">
        <v>38</v>
      </c>
      <c r="N822" s="637" t="s">
        <v>46</v>
      </c>
      <c r="O822" s="637" t="s">
        <v>46</v>
      </c>
      <c r="P822" s="637" t="s">
        <v>47</v>
      </c>
      <c r="Q822" s="638">
        <v>0</v>
      </c>
      <c r="R822" s="638">
        <v>0</v>
      </c>
      <c r="S822" s="638">
        <v>0</v>
      </c>
      <c r="T822" s="638">
        <v>0</v>
      </c>
      <c r="U822" s="638">
        <v>0</v>
      </c>
      <c r="V822" s="636">
        <v>2022</v>
      </c>
      <c r="W822" s="640" t="s">
        <v>3934</v>
      </c>
      <c r="X822" s="641" t="str">
        <f t="shared" si="36"/>
        <v/>
      </c>
      <c r="Y822" s="642" t="str">
        <f t="shared" si="37"/>
        <v/>
      </c>
      <c r="Z822" s="642" t="str">
        <f t="shared" si="38"/>
        <v/>
      </c>
    </row>
    <row r="823" spans="1:26" s="127" customFormat="1" ht="25">
      <c r="A823" s="636">
        <v>50978</v>
      </c>
      <c r="B823" s="637" t="s">
        <v>33</v>
      </c>
      <c r="C823" s="636" t="s">
        <v>2725</v>
      </c>
      <c r="D823" s="637" t="s">
        <v>202</v>
      </c>
      <c r="E823" s="637" t="s">
        <v>919</v>
      </c>
      <c r="F823" s="636">
        <v>24202</v>
      </c>
      <c r="G823" s="637" t="s">
        <v>57</v>
      </c>
      <c r="H823" s="637" t="s">
        <v>1162</v>
      </c>
      <c r="I823" s="637" t="s">
        <v>58</v>
      </c>
      <c r="J823" s="636">
        <v>22</v>
      </c>
      <c r="K823" s="636">
        <v>2</v>
      </c>
      <c r="L823" s="637" t="s">
        <v>52</v>
      </c>
      <c r="M823" s="637" t="s">
        <v>38</v>
      </c>
      <c r="N823" s="637" t="s">
        <v>39</v>
      </c>
      <c r="O823" s="637" t="s">
        <v>39</v>
      </c>
      <c r="P823" s="637" t="s">
        <v>1020</v>
      </c>
      <c r="Q823" s="638">
        <v>0</v>
      </c>
      <c r="R823" s="638">
        <v>0</v>
      </c>
      <c r="S823" s="638">
        <v>0</v>
      </c>
      <c r="T823" s="638">
        <v>0</v>
      </c>
      <c r="U823" s="638">
        <v>36675</v>
      </c>
      <c r="V823" s="636">
        <v>2022</v>
      </c>
      <c r="W823" s="640" t="s">
        <v>3934</v>
      </c>
      <c r="X823" s="641" t="str">
        <f t="shared" si="36"/>
        <v/>
      </c>
      <c r="Y823" s="642" t="str">
        <f t="shared" si="37"/>
        <v/>
      </c>
      <c r="Z823" s="642" t="str">
        <f t="shared" si="38"/>
        <v/>
      </c>
    </row>
    <row r="824" spans="1:26" s="127" customFormat="1" ht="25">
      <c r="A824" s="636">
        <v>50978</v>
      </c>
      <c r="B824" s="637" t="s">
        <v>33</v>
      </c>
      <c r="C824" s="636" t="s">
        <v>2725</v>
      </c>
      <c r="D824" s="637" t="s">
        <v>202</v>
      </c>
      <c r="E824" s="637" t="s">
        <v>919</v>
      </c>
      <c r="F824" s="636">
        <v>24202</v>
      </c>
      <c r="G824" s="637" t="s">
        <v>57</v>
      </c>
      <c r="H824" s="637" t="s">
        <v>1162</v>
      </c>
      <c r="I824" s="637" t="s">
        <v>58</v>
      </c>
      <c r="J824" s="636">
        <v>22</v>
      </c>
      <c r="K824" s="636">
        <v>2</v>
      </c>
      <c r="L824" s="637" t="s">
        <v>52</v>
      </c>
      <c r="M824" s="637" t="s">
        <v>41</v>
      </c>
      <c r="N824" s="637" t="s">
        <v>46</v>
      </c>
      <c r="O824" s="637" t="s">
        <v>46</v>
      </c>
      <c r="P824" s="637" t="s">
        <v>47</v>
      </c>
      <c r="Q824" s="638">
        <v>0</v>
      </c>
      <c r="R824" s="638">
        <v>0</v>
      </c>
      <c r="S824" s="638">
        <v>0</v>
      </c>
      <c r="T824" s="638">
        <v>0</v>
      </c>
      <c r="U824" s="638">
        <v>0</v>
      </c>
      <c r="V824" s="636">
        <v>2022</v>
      </c>
      <c r="W824" s="640" t="s">
        <v>3934</v>
      </c>
      <c r="X824" s="641" t="str">
        <f t="shared" si="36"/>
        <v/>
      </c>
      <c r="Y824" s="642" t="str">
        <f t="shared" si="37"/>
        <v/>
      </c>
      <c r="Z824" s="642" t="str">
        <f t="shared" si="38"/>
        <v/>
      </c>
    </row>
    <row r="825" spans="1:26" s="127" customFormat="1" ht="25">
      <c r="A825" s="636">
        <v>50978</v>
      </c>
      <c r="B825" s="637" t="s">
        <v>33</v>
      </c>
      <c r="C825" s="636" t="s">
        <v>2725</v>
      </c>
      <c r="D825" s="637" t="s">
        <v>202</v>
      </c>
      <c r="E825" s="637" t="s">
        <v>919</v>
      </c>
      <c r="F825" s="636">
        <v>24202</v>
      </c>
      <c r="G825" s="637" t="s">
        <v>57</v>
      </c>
      <c r="H825" s="637" t="s">
        <v>1162</v>
      </c>
      <c r="I825" s="637" t="s">
        <v>58</v>
      </c>
      <c r="J825" s="636">
        <v>22</v>
      </c>
      <c r="K825" s="636">
        <v>2</v>
      </c>
      <c r="L825" s="637" t="s">
        <v>52</v>
      </c>
      <c r="M825" s="637" t="s">
        <v>41</v>
      </c>
      <c r="N825" s="637" t="s">
        <v>39</v>
      </c>
      <c r="O825" s="637" t="s">
        <v>39</v>
      </c>
      <c r="P825" s="637" t="s">
        <v>1020</v>
      </c>
      <c r="Q825" s="638">
        <v>1197442</v>
      </c>
      <c r="R825" s="638">
        <v>1197442</v>
      </c>
      <c r="S825" s="638">
        <v>1221391</v>
      </c>
      <c r="T825" s="638">
        <v>1221391</v>
      </c>
      <c r="U825" s="638">
        <v>115991</v>
      </c>
      <c r="V825" s="636">
        <v>2022</v>
      </c>
      <c r="W825" s="640" t="s">
        <v>3934</v>
      </c>
      <c r="X825" s="641">
        <f t="shared" si="36"/>
        <v>10.530049745238856</v>
      </c>
      <c r="Y825" s="642" t="str">
        <f t="shared" si="37"/>
        <v/>
      </c>
      <c r="Z825" s="642" t="str">
        <f t="shared" si="38"/>
        <v/>
      </c>
    </row>
    <row r="826" spans="1:26" s="127" customFormat="1" ht="25">
      <c r="A826" s="636">
        <v>50999</v>
      </c>
      <c r="B826" s="637" t="s">
        <v>33</v>
      </c>
      <c r="C826" s="636" t="s">
        <v>2725</v>
      </c>
      <c r="D826" s="637" t="s">
        <v>920</v>
      </c>
      <c r="E826" s="637" t="s">
        <v>1165</v>
      </c>
      <c r="F826" s="636">
        <v>39006</v>
      </c>
      <c r="G826" s="637" t="s">
        <v>90</v>
      </c>
      <c r="H826" s="637" t="s">
        <v>1163</v>
      </c>
      <c r="I826" s="637" t="s">
        <v>58</v>
      </c>
      <c r="J826" s="636">
        <v>22</v>
      </c>
      <c r="K826" s="636">
        <v>2</v>
      </c>
      <c r="L826" s="637" t="s">
        <v>52</v>
      </c>
      <c r="M826" s="637" t="s">
        <v>35</v>
      </c>
      <c r="N826" s="637" t="s">
        <v>36</v>
      </c>
      <c r="O826" s="637" t="s">
        <v>37</v>
      </c>
      <c r="P826" s="637" t="s">
        <v>1156</v>
      </c>
      <c r="Q826" s="638">
        <v>0</v>
      </c>
      <c r="R826" s="638">
        <v>0</v>
      </c>
      <c r="S826" s="638">
        <v>91532</v>
      </c>
      <c r="T826" s="638">
        <v>91532</v>
      </c>
      <c r="U826" s="638">
        <v>26826</v>
      </c>
      <c r="V826" s="636">
        <v>2022</v>
      </c>
      <c r="W826" s="640"/>
      <c r="X826" s="641">
        <f t="shared" si="36"/>
        <v>3.4120629240289273</v>
      </c>
      <c r="Y826" s="642" t="str">
        <f t="shared" si="37"/>
        <v/>
      </c>
      <c r="Z826" s="642" t="str">
        <f t="shared" si="38"/>
        <v/>
      </c>
    </row>
    <row r="827" spans="1:26" s="127" customFormat="1" ht="25">
      <c r="A827" s="636">
        <v>51026</v>
      </c>
      <c r="B827" s="637" t="s">
        <v>33</v>
      </c>
      <c r="C827" s="636" t="s">
        <v>2725</v>
      </c>
      <c r="D827" s="637" t="s">
        <v>3031</v>
      </c>
      <c r="E827" s="637" t="s">
        <v>3031</v>
      </c>
      <c r="F827" s="636">
        <v>54824</v>
      </c>
      <c r="G827" s="637" t="s">
        <v>89</v>
      </c>
      <c r="H827" s="637" t="s">
        <v>1163</v>
      </c>
      <c r="I827" s="637" t="s">
        <v>58</v>
      </c>
      <c r="J827" s="636">
        <v>22</v>
      </c>
      <c r="K827" s="636">
        <v>2</v>
      </c>
      <c r="L827" s="637" t="s">
        <v>52</v>
      </c>
      <c r="M827" s="637" t="s">
        <v>42</v>
      </c>
      <c r="N827" s="637" t="s">
        <v>69</v>
      </c>
      <c r="O827" s="637" t="s">
        <v>70</v>
      </c>
      <c r="P827" s="637" t="s">
        <v>45</v>
      </c>
      <c r="Q827" s="638">
        <v>220223</v>
      </c>
      <c r="R827" s="638">
        <v>220223</v>
      </c>
      <c r="S827" s="638">
        <v>2072132</v>
      </c>
      <c r="T827" s="638">
        <v>2072132</v>
      </c>
      <c r="U827" s="638">
        <v>137183</v>
      </c>
      <c r="V827" s="636">
        <v>2022</v>
      </c>
      <c r="W827" s="640"/>
      <c r="X827" s="641">
        <f t="shared" si="36"/>
        <v>15.104874510690101</v>
      </c>
      <c r="Y827" s="642" t="str">
        <f t="shared" si="37"/>
        <v/>
      </c>
      <c r="Z827" s="642" t="str">
        <f t="shared" si="38"/>
        <v/>
      </c>
    </row>
    <row r="828" spans="1:26" s="127" customFormat="1" ht="25">
      <c r="A828" s="636">
        <v>51030</v>
      </c>
      <c r="B828" s="637" t="s">
        <v>33</v>
      </c>
      <c r="C828" s="636" t="s">
        <v>2725</v>
      </c>
      <c r="D828" s="637" t="s">
        <v>133</v>
      </c>
      <c r="E828" s="637" t="s">
        <v>134</v>
      </c>
      <c r="F828" s="636">
        <v>27769</v>
      </c>
      <c r="G828" s="637" t="s">
        <v>130</v>
      </c>
      <c r="H828" s="637" t="s">
        <v>1163</v>
      </c>
      <c r="I828" s="637" t="s">
        <v>58</v>
      </c>
      <c r="J828" s="636">
        <v>22</v>
      </c>
      <c r="K828" s="636">
        <v>2</v>
      </c>
      <c r="L828" s="637" t="s">
        <v>52</v>
      </c>
      <c r="M828" s="637" t="s">
        <v>38</v>
      </c>
      <c r="N828" s="637" t="s">
        <v>46</v>
      </c>
      <c r="O828" s="637" t="s">
        <v>46</v>
      </c>
      <c r="P828" s="637" t="s">
        <v>47</v>
      </c>
      <c r="Q828" s="638">
        <v>0</v>
      </c>
      <c r="R828" s="638">
        <v>0</v>
      </c>
      <c r="S828" s="638">
        <v>0</v>
      </c>
      <c r="T828" s="638">
        <v>0</v>
      </c>
      <c r="U828" s="638">
        <v>7720.3760000000002</v>
      </c>
      <c r="V828" s="636">
        <v>2022</v>
      </c>
      <c r="W828" s="640" t="s">
        <v>3934</v>
      </c>
      <c r="X828" s="641" t="str">
        <f t="shared" si="36"/>
        <v/>
      </c>
      <c r="Y828" s="642" t="str">
        <f t="shared" si="37"/>
        <v/>
      </c>
      <c r="Z828" s="642" t="str">
        <f t="shared" si="38"/>
        <v/>
      </c>
    </row>
    <row r="829" spans="1:26" s="127" customFormat="1" ht="25">
      <c r="A829" s="636">
        <v>51030</v>
      </c>
      <c r="B829" s="637" t="s">
        <v>33</v>
      </c>
      <c r="C829" s="636" t="s">
        <v>2725</v>
      </c>
      <c r="D829" s="637" t="s">
        <v>133</v>
      </c>
      <c r="E829" s="637" t="s">
        <v>134</v>
      </c>
      <c r="F829" s="636">
        <v>27769</v>
      </c>
      <c r="G829" s="637" t="s">
        <v>130</v>
      </c>
      <c r="H829" s="637" t="s">
        <v>1163</v>
      </c>
      <c r="I829" s="637" t="s">
        <v>58</v>
      </c>
      <c r="J829" s="636">
        <v>22</v>
      </c>
      <c r="K829" s="636">
        <v>2</v>
      </c>
      <c r="L829" s="637" t="s">
        <v>52</v>
      </c>
      <c r="M829" s="637" t="s">
        <v>38</v>
      </c>
      <c r="N829" s="637" t="s">
        <v>39</v>
      </c>
      <c r="O829" s="637" t="s">
        <v>39</v>
      </c>
      <c r="P829" s="637" t="s">
        <v>1020</v>
      </c>
      <c r="Q829" s="638">
        <v>2365</v>
      </c>
      <c r="R829" s="638">
        <v>2365</v>
      </c>
      <c r="S829" s="638">
        <v>2429</v>
      </c>
      <c r="T829" s="638">
        <v>2429</v>
      </c>
      <c r="U829" s="638">
        <v>268524.62</v>
      </c>
      <c r="V829" s="636">
        <v>2022</v>
      </c>
      <c r="W829" s="640" t="s">
        <v>3934</v>
      </c>
      <c r="X829" s="641">
        <f t="shared" si="36"/>
        <v>9.045725490645886E-3</v>
      </c>
      <c r="Y829" s="642" t="str">
        <f t="shared" si="37"/>
        <v/>
      </c>
      <c r="Z829" s="642" t="str">
        <f t="shared" si="38"/>
        <v/>
      </c>
    </row>
    <row r="830" spans="1:26" s="127" customFormat="1" ht="25">
      <c r="A830" s="636">
        <v>51030</v>
      </c>
      <c r="B830" s="637" t="s">
        <v>33</v>
      </c>
      <c r="C830" s="636" t="s">
        <v>2725</v>
      </c>
      <c r="D830" s="637" t="s">
        <v>133</v>
      </c>
      <c r="E830" s="637" t="s">
        <v>134</v>
      </c>
      <c r="F830" s="636">
        <v>27769</v>
      </c>
      <c r="G830" s="637" t="s">
        <v>130</v>
      </c>
      <c r="H830" s="637" t="s">
        <v>1163</v>
      </c>
      <c r="I830" s="637" t="s">
        <v>58</v>
      </c>
      <c r="J830" s="636">
        <v>22</v>
      </c>
      <c r="K830" s="636">
        <v>2</v>
      </c>
      <c r="L830" s="637" t="s">
        <v>52</v>
      </c>
      <c r="M830" s="637" t="s">
        <v>41</v>
      </c>
      <c r="N830" s="637" t="s">
        <v>46</v>
      </c>
      <c r="O830" s="637" t="s">
        <v>46</v>
      </c>
      <c r="P830" s="637" t="s">
        <v>47</v>
      </c>
      <c r="Q830" s="638">
        <v>49533</v>
      </c>
      <c r="R830" s="638">
        <v>49533</v>
      </c>
      <c r="S830" s="638">
        <v>286796</v>
      </c>
      <c r="T830" s="638">
        <v>286796</v>
      </c>
      <c r="U830" s="638">
        <v>15601.106</v>
      </c>
      <c r="V830" s="636">
        <v>2022</v>
      </c>
      <c r="W830" s="640" t="s">
        <v>3934</v>
      </c>
      <c r="X830" s="641">
        <f t="shared" si="36"/>
        <v>18.38305566284852</v>
      </c>
      <c r="Y830" s="642" t="str">
        <f t="shared" si="37"/>
        <v/>
      </c>
      <c r="Z830" s="642" t="str">
        <f t="shared" si="38"/>
        <v/>
      </c>
    </row>
    <row r="831" spans="1:26" s="127" customFormat="1" ht="25">
      <c r="A831" s="636">
        <v>51030</v>
      </c>
      <c r="B831" s="637" t="s">
        <v>33</v>
      </c>
      <c r="C831" s="636" t="s">
        <v>2725</v>
      </c>
      <c r="D831" s="637" t="s">
        <v>133</v>
      </c>
      <c r="E831" s="637" t="s">
        <v>134</v>
      </c>
      <c r="F831" s="636">
        <v>27769</v>
      </c>
      <c r="G831" s="637" t="s">
        <v>130</v>
      </c>
      <c r="H831" s="637" t="s">
        <v>1163</v>
      </c>
      <c r="I831" s="637" t="s">
        <v>58</v>
      </c>
      <c r="J831" s="636">
        <v>22</v>
      </c>
      <c r="K831" s="636">
        <v>2</v>
      </c>
      <c r="L831" s="637" t="s">
        <v>52</v>
      </c>
      <c r="M831" s="637" t="s">
        <v>41</v>
      </c>
      <c r="N831" s="637" t="s">
        <v>39</v>
      </c>
      <c r="O831" s="637" t="s">
        <v>39</v>
      </c>
      <c r="P831" s="637" t="s">
        <v>1020</v>
      </c>
      <c r="Q831" s="638">
        <v>6316748</v>
      </c>
      <c r="R831" s="638">
        <v>6316748</v>
      </c>
      <c r="S831" s="638">
        <v>6487300</v>
      </c>
      <c r="T831" s="638">
        <v>6487300</v>
      </c>
      <c r="U831" s="638">
        <v>473181.89</v>
      </c>
      <c r="V831" s="636">
        <v>2022</v>
      </c>
      <c r="W831" s="640" t="s">
        <v>3934</v>
      </c>
      <c r="X831" s="641">
        <f t="shared" si="36"/>
        <v>13.709949888403379</v>
      </c>
      <c r="Y831" s="642" t="str">
        <f t="shared" si="37"/>
        <v/>
      </c>
      <c r="Z831" s="642" t="str">
        <f t="shared" si="38"/>
        <v/>
      </c>
    </row>
    <row r="832" spans="1:26" s="127" customFormat="1" ht="25">
      <c r="A832" s="636">
        <v>51033</v>
      </c>
      <c r="B832" s="637" t="s">
        <v>33</v>
      </c>
      <c r="C832" s="636" t="s">
        <v>2725</v>
      </c>
      <c r="D832" s="637" t="s">
        <v>921</v>
      </c>
      <c r="E832" s="637" t="s">
        <v>118</v>
      </c>
      <c r="F832" s="636">
        <v>5914</v>
      </c>
      <c r="G832" s="637" t="s">
        <v>57</v>
      </c>
      <c r="H832" s="637" t="s">
        <v>1162</v>
      </c>
      <c r="I832" s="637" t="s">
        <v>58</v>
      </c>
      <c r="J832" s="636">
        <v>22</v>
      </c>
      <c r="K832" s="636">
        <v>2</v>
      </c>
      <c r="L832" s="637" t="s">
        <v>52</v>
      </c>
      <c r="M832" s="637" t="s">
        <v>35</v>
      </c>
      <c r="N832" s="637" t="s">
        <v>36</v>
      </c>
      <c r="O832" s="637" t="s">
        <v>37</v>
      </c>
      <c r="P832" s="637" t="s">
        <v>1156</v>
      </c>
      <c r="Q832" s="638">
        <v>0</v>
      </c>
      <c r="R832" s="638">
        <v>0</v>
      </c>
      <c r="S832" s="638">
        <v>68755</v>
      </c>
      <c r="T832" s="638">
        <v>68755</v>
      </c>
      <c r="U832" s="638">
        <v>20151</v>
      </c>
      <c r="V832" s="636">
        <v>2022</v>
      </c>
      <c r="W832" s="640"/>
      <c r="X832" s="641">
        <f t="shared" si="36"/>
        <v>3.4119894794303014</v>
      </c>
      <c r="Y832" s="642" t="str">
        <f t="shared" si="37"/>
        <v/>
      </c>
      <c r="Z832" s="642" t="str">
        <f t="shared" si="38"/>
        <v/>
      </c>
    </row>
    <row r="833" spans="1:26" s="127" customFormat="1" ht="25">
      <c r="A833" s="636">
        <v>51034</v>
      </c>
      <c r="B833" s="637" t="s">
        <v>33</v>
      </c>
      <c r="C833" s="636" t="s">
        <v>2725</v>
      </c>
      <c r="D833" s="637" t="s">
        <v>922</v>
      </c>
      <c r="E833" s="637" t="s">
        <v>3025</v>
      </c>
      <c r="F833" s="636">
        <v>57280</v>
      </c>
      <c r="G833" s="637" t="s">
        <v>57</v>
      </c>
      <c r="H833" s="637" t="s">
        <v>1162</v>
      </c>
      <c r="I833" s="637" t="s">
        <v>58</v>
      </c>
      <c r="J833" s="636">
        <v>22</v>
      </c>
      <c r="K833" s="636">
        <v>2</v>
      </c>
      <c r="L833" s="637" t="s">
        <v>52</v>
      </c>
      <c r="M833" s="637" t="s">
        <v>35</v>
      </c>
      <c r="N833" s="637" t="s">
        <v>36</v>
      </c>
      <c r="O833" s="637" t="s">
        <v>37</v>
      </c>
      <c r="P833" s="637" t="s">
        <v>1156</v>
      </c>
      <c r="Q833" s="638">
        <v>0</v>
      </c>
      <c r="R833" s="638">
        <v>0</v>
      </c>
      <c r="S833" s="638">
        <v>71958</v>
      </c>
      <c r="T833" s="638">
        <v>71958</v>
      </c>
      <c r="U833" s="638">
        <v>21089</v>
      </c>
      <c r="V833" s="636">
        <v>2022</v>
      </c>
      <c r="W833" s="640"/>
      <c r="X833" s="641">
        <f t="shared" si="36"/>
        <v>3.4121105789748212</v>
      </c>
      <c r="Y833" s="642" t="str">
        <f t="shared" si="37"/>
        <v/>
      </c>
      <c r="Z833" s="642" t="str">
        <f t="shared" si="38"/>
        <v/>
      </c>
    </row>
    <row r="834" spans="1:26" s="127" customFormat="1" ht="37.5" hidden="1">
      <c r="A834" s="636">
        <v>51038</v>
      </c>
      <c r="B834" s="637" t="s">
        <v>33</v>
      </c>
      <c r="C834" s="636" t="s">
        <v>2725</v>
      </c>
      <c r="D834" s="637" t="s">
        <v>923</v>
      </c>
      <c r="E834" s="637" t="s">
        <v>924</v>
      </c>
      <c r="F834" s="636">
        <v>56601</v>
      </c>
      <c r="G834" s="637" t="s">
        <v>57</v>
      </c>
      <c r="H834" s="637" t="s">
        <v>1162</v>
      </c>
      <c r="I834" s="637" t="s">
        <v>58</v>
      </c>
      <c r="J834" s="636">
        <v>562213</v>
      </c>
      <c r="K834" s="636">
        <v>4</v>
      </c>
      <c r="L834" s="637" t="s">
        <v>406</v>
      </c>
      <c r="M834" s="637" t="s">
        <v>42</v>
      </c>
      <c r="N834" s="637" t="s">
        <v>46</v>
      </c>
      <c r="O834" s="637" t="s">
        <v>46</v>
      </c>
      <c r="P834" s="637" t="s">
        <v>47</v>
      </c>
      <c r="Q834" s="638">
        <v>0</v>
      </c>
      <c r="R834" s="638">
        <v>0</v>
      </c>
      <c r="S834" s="638">
        <v>0</v>
      </c>
      <c r="T834" s="638">
        <v>0</v>
      </c>
      <c r="U834" s="638">
        <v>0</v>
      </c>
      <c r="V834" s="636">
        <v>2022</v>
      </c>
      <c r="W834" s="640"/>
      <c r="X834" s="641" t="str">
        <f t="shared" si="36"/>
        <v/>
      </c>
      <c r="Y834" s="642" t="str">
        <f t="shared" si="37"/>
        <v/>
      </c>
      <c r="Z834" s="642" t="str">
        <f t="shared" si="38"/>
        <v/>
      </c>
    </row>
    <row r="835" spans="1:26" s="127" customFormat="1" ht="37.5" hidden="1">
      <c r="A835" s="636">
        <v>51038</v>
      </c>
      <c r="B835" s="637" t="s">
        <v>33</v>
      </c>
      <c r="C835" s="636" t="s">
        <v>2725</v>
      </c>
      <c r="D835" s="637" t="s">
        <v>923</v>
      </c>
      <c r="E835" s="637" t="s">
        <v>924</v>
      </c>
      <c r="F835" s="636">
        <v>56601</v>
      </c>
      <c r="G835" s="637" t="s">
        <v>57</v>
      </c>
      <c r="H835" s="637" t="s">
        <v>1162</v>
      </c>
      <c r="I835" s="637" t="s">
        <v>58</v>
      </c>
      <c r="J835" s="636">
        <v>562213</v>
      </c>
      <c r="K835" s="636">
        <v>4</v>
      </c>
      <c r="L835" s="637" t="s">
        <v>406</v>
      </c>
      <c r="M835" s="637" t="s">
        <v>42</v>
      </c>
      <c r="N835" s="637" t="s">
        <v>16</v>
      </c>
      <c r="O835" s="637" t="s">
        <v>64</v>
      </c>
      <c r="P835" s="637" t="s">
        <v>45</v>
      </c>
      <c r="Q835" s="638">
        <v>97672</v>
      </c>
      <c r="R835" s="638">
        <v>97672</v>
      </c>
      <c r="S835" s="638">
        <v>720535</v>
      </c>
      <c r="T835" s="638">
        <v>720535</v>
      </c>
      <c r="U835" s="638">
        <v>22977.076000000001</v>
      </c>
      <c r="V835" s="636">
        <v>2022</v>
      </c>
      <c r="W835" s="640"/>
      <c r="X835" s="641" t="str">
        <f t="shared" si="36"/>
        <v/>
      </c>
      <c r="Y835" s="642" t="str">
        <f t="shared" si="37"/>
        <v/>
      </c>
      <c r="Z835" s="642" t="str">
        <f t="shared" si="38"/>
        <v/>
      </c>
    </row>
    <row r="836" spans="1:26" s="127" customFormat="1" ht="37.5" hidden="1">
      <c r="A836" s="636">
        <v>51038</v>
      </c>
      <c r="B836" s="637" t="s">
        <v>33</v>
      </c>
      <c r="C836" s="636" t="s">
        <v>2725</v>
      </c>
      <c r="D836" s="637" t="s">
        <v>923</v>
      </c>
      <c r="E836" s="637" t="s">
        <v>924</v>
      </c>
      <c r="F836" s="636">
        <v>56601</v>
      </c>
      <c r="G836" s="637" t="s">
        <v>57</v>
      </c>
      <c r="H836" s="637" t="s">
        <v>1162</v>
      </c>
      <c r="I836" s="637" t="s">
        <v>58</v>
      </c>
      <c r="J836" s="636">
        <v>562213</v>
      </c>
      <c r="K836" s="636">
        <v>4</v>
      </c>
      <c r="L836" s="637" t="s">
        <v>406</v>
      </c>
      <c r="M836" s="637" t="s">
        <v>42</v>
      </c>
      <c r="N836" s="637" t="s">
        <v>17</v>
      </c>
      <c r="O836" s="637" t="s">
        <v>82</v>
      </c>
      <c r="P836" s="637" t="s">
        <v>45</v>
      </c>
      <c r="Q836" s="638">
        <v>62447</v>
      </c>
      <c r="R836" s="638">
        <v>62447</v>
      </c>
      <c r="S836" s="638">
        <v>880654</v>
      </c>
      <c r="T836" s="638">
        <v>880654</v>
      </c>
      <c r="U836" s="638">
        <v>28083.11</v>
      </c>
      <c r="V836" s="636">
        <v>2022</v>
      </c>
      <c r="W836" s="640"/>
      <c r="X836" s="641" t="str">
        <f t="shared" si="36"/>
        <v/>
      </c>
      <c r="Y836" s="642" t="str">
        <f t="shared" si="37"/>
        <v/>
      </c>
      <c r="Z836" s="642" t="str">
        <f t="shared" si="38"/>
        <v/>
      </c>
    </row>
    <row r="837" spans="1:26" s="127" customFormat="1" ht="37.5" hidden="1">
      <c r="A837" s="636">
        <v>51038</v>
      </c>
      <c r="B837" s="637" t="s">
        <v>33</v>
      </c>
      <c r="C837" s="636" t="s">
        <v>2725</v>
      </c>
      <c r="D837" s="637" t="s">
        <v>923</v>
      </c>
      <c r="E837" s="637" t="s">
        <v>924</v>
      </c>
      <c r="F837" s="636">
        <v>56601</v>
      </c>
      <c r="G837" s="637" t="s">
        <v>57</v>
      </c>
      <c r="H837" s="637" t="s">
        <v>1162</v>
      </c>
      <c r="I837" s="637" t="s">
        <v>58</v>
      </c>
      <c r="J837" s="636">
        <v>562213</v>
      </c>
      <c r="K837" s="636">
        <v>4</v>
      </c>
      <c r="L837" s="637" t="s">
        <v>406</v>
      </c>
      <c r="M837" s="637" t="s">
        <v>42</v>
      </c>
      <c r="N837" s="637" t="s">
        <v>39</v>
      </c>
      <c r="O837" s="637" t="s">
        <v>39</v>
      </c>
      <c r="P837" s="637" t="s">
        <v>1020</v>
      </c>
      <c r="Q837" s="638">
        <v>22168</v>
      </c>
      <c r="R837" s="638">
        <v>22168</v>
      </c>
      <c r="S837" s="638">
        <v>22168</v>
      </c>
      <c r="T837" s="638">
        <v>22168</v>
      </c>
      <c r="U837" s="638">
        <v>690.81399999999996</v>
      </c>
      <c r="V837" s="636">
        <v>2022</v>
      </c>
      <c r="W837" s="640"/>
      <c r="X837" s="641" t="str">
        <f t="shared" si="36"/>
        <v/>
      </c>
      <c r="Y837" s="642" t="str">
        <f t="shared" si="37"/>
        <v/>
      </c>
      <c r="Z837" s="642" t="str">
        <f t="shared" si="38"/>
        <v/>
      </c>
    </row>
    <row r="838" spans="1:26" s="127" customFormat="1" ht="37.5" hidden="1">
      <c r="A838" s="636">
        <v>52024</v>
      </c>
      <c r="B838" s="637" t="s">
        <v>54</v>
      </c>
      <c r="C838" s="636" t="s">
        <v>2725</v>
      </c>
      <c r="D838" s="637" t="s">
        <v>925</v>
      </c>
      <c r="E838" s="637" t="s">
        <v>925</v>
      </c>
      <c r="F838" s="636">
        <v>16001</v>
      </c>
      <c r="G838" s="637" t="s">
        <v>130</v>
      </c>
      <c r="H838" s="637" t="s">
        <v>1163</v>
      </c>
      <c r="I838" s="637" t="s">
        <v>58</v>
      </c>
      <c r="J838" s="636">
        <v>622</v>
      </c>
      <c r="K838" s="636">
        <v>5</v>
      </c>
      <c r="L838" s="637" t="s">
        <v>407</v>
      </c>
      <c r="M838" s="637" t="s">
        <v>42</v>
      </c>
      <c r="N838" s="637" t="s">
        <v>39</v>
      </c>
      <c r="O838" s="637" t="s">
        <v>39</v>
      </c>
      <c r="P838" s="637" t="s">
        <v>1020</v>
      </c>
      <c r="Q838" s="638">
        <v>639878</v>
      </c>
      <c r="R838" s="638">
        <v>106067</v>
      </c>
      <c r="S838" s="638">
        <v>701246</v>
      </c>
      <c r="T838" s="638">
        <v>115850</v>
      </c>
      <c r="U838" s="638">
        <v>21493.627</v>
      </c>
      <c r="V838" s="636">
        <v>2022</v>
      </c>
      <c r="W838" s="640"/>
      <c r="X838" s="641" t="str">
        <f t="shared" si="36"/>
        <v/>
      </c>
      <c r="Y838" s="642" t="str">
        <f t="shared" si="37"/>
        <v/>
      </c>
      <c r="Z838" s="642" t="str">
        <f t="shared" si="38"/>
        <v/>
      </c>
    </row>
    <row r="839" spans="1:26" s="127" customFormat="1" ht="37.5" hidden="1">
      <c r="A839" s="636">
        <v>52024</v>
      </c>
      <c r="B839" s="637" t="s">
        <v>54</v>
      </c>
      <c r="C839" s="636" t="s">
        <v>2725</v>
      </c>
      <c r="D839" s="637" t="s">
        <v>925</v>
      </c>
      <c r="E839" s="637" t="s">
        <v>925</v>
      </c>
      <c r="F839" s="636">
        <v>16001</v>
      </c>
      <c r="G839" s="637" t="s">
        <v>130</v>
      </c>
      <c r="H839" s="637" t="s">
        <v>1163</v>
      </c>
      <c r="I839" s="637" t="s">
        <v>58</v>
      </c>
      <c r="J839" s="636">
        <v>622</v>
      </c>
      <c r="K839" s="636">
        <v>5</v>
      </c>
      <c r="L839" s="637" t="s">
        <v>407</v>
      </c>
      <c r="M839" s="637" t="s">
        <v>42</v>
      </c>
      <c r="N839" s="637" t="s">
        <v>61</v>
      </c>
      <c r="O839" s="637" t="s">
        <v>61</v>
      </c>
      <c r="P839" s="637" t="s">
        <v>47</v>
      </c>
      <c r="Q839" s="638">
        <v>9828</v>
      </c>
      <c r="R839" s="638">
        <v>2241</v>
      </c>
      <c r="S839" s="638">
        <v>62900</v>
      </c>
      <c r="T839" s="638">
        <v>14343</v>
      </c>
      <c r="U839" s="638">
        <v>2697.4029999999998</v>
      </c>
      <c r="V839" s="636">
        <v>2022</v>
      </c>
      <c r="W839" s="640"/>
      <c r="X839" s="641" t="str">
        <f t="shared" si="36"/>
        <v/>
      </c>
      <c r="Y839" s="642" t="str">
        <f t="shared" si="37"/>
        <v/>
      </c>
      <c r="Z839" s="642" t="str">
        <f t="shared" si="38"/>
        <v/>
      </c>
    </row>
    <row r="840" spans="1:26" s="127" customFormat="1" ht="37.5">
      <c r="A840" s="636">
        <v>52026</v>
      </c>
      <c r="B840" s="637" t="s">
        <v>33</v>
      </c>
      <c r="C840" s="636" t="s">
        <v>2725</v>
      </c>
      <c r="D840" s="637" t="s">
        <v>1042</v>
      </c>
      <c r="E840" s="637" t="s">
        <v>960</v>
      </c>
      <c r="F840" s="636">
        <v>56516</v>
      </c>
      <c r="G840" s="637" t="s">
        <v>81</v>
      </c>
      <c r="H840" s="637" t="s">
        <v>1163</v>
      </c>
      <c r="I840" s="637" t="s">
        <v>58</v>
      </c>
      <c r="J840" s="636">
        <v>22</v>
      </c>
      <c r="K840" s="636">
        <v>2</v>
      </c>
      <c r="L840" s="637" t="s">
        <v>52</v>
      </c>
      <c r="M840" s="637" t="s">
        <v>38</v>
      </c>
      <c r="N840" s="637" t="s">
        <v>46</v>
      </c>
      <c r="O840" s="637" t="s">
        <v>46</v>
      </c>
      <c r="P840" s="637" t="s">
        <v>47</v>
      </c>
      <c r="Q840" s="638">
        <v>0</v>
      </c>
      <c r="R840" s="638">
        <v>0</v>
      </c>
      <c r="S840" s="638">
        <v>0</v>
      </c>
      <c r="T840" s="638">
        <v>0</v>
      </c>
      <c r="U840" s="638">
        <v>0</v>
      </c>
      <c r="V840" s="636">
        <v>2022</v>
      </c>
      <c r="W840" s="640"/>
      <c r="X840" s="641" t="str">
        <f t="shared" ref="X840:X903" si="39">IF(OR(K840&gt;3,T840=0,NOT(U840&gt;0)),"",T840/U840)</f>
        <v/>
      </c>
      <c r="Y840" s="642" t="str">
        <f t="shared" ref="Y840:Y903" si="40">IF(AND($M840=$Y$2,$N840=$Y$3,NOT($Q840=$R840),NOT($U840=0)),IF($K840=5,$S840/($U840+(8/5)*$U840),IF($K840=7,$S840/($U840+(29/25)*$U840),"")),"")</f>
        <v/>
      </c>
      <c r="Z840" s="642" t="str">
        <f t="shared" si="38"/>
        <v/>
      </c>
    </row>
    <row r="841" spans="1:26" s="127" customFormat="1" ht="37.5">
      <c r="A841" s="636">
        <v>52026</v>
      </c>
      <c r="B841" s="637" t="s">
        <v>33</v>
      </c>
      <c r="C841" s="636" t="s">
        <v>2725</v>
      </c>
      <c r="D841" s="637" t="s">
        <v>1042</v>
      </c>
      <c r="E841" s="637" t="s">
        <v>960</v>
      </c>
      <c r="F841" s="636">
        <v>56516</v>
      </c>
      <c r="G841" s="637" t="s">
        <v>81</v>
      </c>
      <c r="H841" s="637" t="s">
        <v>1163</v>
      </c>
      <c r="I841" s="637" t="s">
        <v>58</v>
      </c>
      <c r="J841" s="636">
        <v>22</v>
      </c>
      <c r="K841" s="636">
        <v>2</v>
      </c>
      <c r="L841" s="637" t="s">
        <v>52</v>
      </c>
      <c r="M841" s="637" t="s">
        <v>38</v>
      </c>
      <c r="N841" s="637" t="s">
        <v>39</v>
      </c>
      <c r="O841" s="637" t="s">
        <v>39</v>
      </c>
      <c r="P841" s="637" t="s">
        <v>1020</v>
      </c>
      <c r="Q841" s="638">
        <v>3358</v>
      </c>
      <c r="R841" s="638">
        <v>3358</v>
      </c>
      <c r="S841" s="638">
        <v>3451</v>
      </c>
      <c r="T841" s="638">
        <v>3451</v>
      </c>
      <c r="U841" s="638">
        <v>0</v>
      </c>
      <c r="V841" s="636">
        <v>2022</v>
      </c>
      <c r="W841" s="640"/>
      <c r="X841" s="641" t="str">
        <f t="shared" si="39"/>
        <v/>
      </c>
      <c r="Y841" s="642" t="str">
        <f t="shared" si="40"/>
        <v/>
      </c>
      <c r="Z841" s="642" t="str">
        <f t="shared" si="38"/>
        <v/>
      </c>
    </row>
    <row r="842" spans="1:26" s="127" customFormat="1" ht="37.5">
      <c r="A842" s="636">
        <v>52026</v>
      </c>
      <c r="B842" s="637" t="s">
        <v>33</v>
      </c>
      <c r="C842" s="636" t="s">
        <v>2725</v>
      </c>
      <c r="D842" s="637" t="s">
        <v>1042</v>
      </c>
      <c r="E842" s="637" t="s">
        <v>960</v>
      </c>
      <c r="F842" s="636">
        <v>56516</v>
      </c>
      <c r="G842" s="637" t="s">
        <v>81</v>
      </c>
      <c r="H842" s="637" t="s">
        <v>1163</v>
      </c>
      <c r="I842" s="637" t="s">
        <v>58</v>
      </c>
      <c r="J842" s="636">
        <v>22</v>
      </c>
      <c r="K842" s="636">
        <v>2</v>
      </c>
      <c r="L842" s="637" t="s">
        <v>52</v>
      </c>
      <c r="M842" s="637" t="s">
        <v>41</v>
      </c>
      <c r="N842" s="637" t="s">
        <v>46</v>
      </c>
      <c r="O842" s="637" t="s">
        <v>46</v>
      </c>
      <c r="P842" s="637" t="s">
        <v>47</v>
      </c>
      <c r="Q842" s="638">
        <v>3216</v>
      </c>
      <c r="R842" s="638">
        <v>3216</v>
      </c>
      <c r="S842" s="638">
        <v>18652</v>
      </c>
      <c r="T842" s="638">
        <v>18652</v>
      </c>
      <c r="U842" s="638">
        <v>1977.1089999999999</v>
      </c>
      <c r="V842" s="636">
        <v>2022</v>
      </c>
      <c r="W842" s="640"/>
      <c r="X842" s="641">
        <f t="shared" si="39"/>
        <v>9.4339765789341925</v>
      </c>
      <c r="Y842" s="642" t="str">
        <f t="shared" si="40"/>
        <v/>
      </c>
      <c r="Z842" s="642" t="str">
        <f t="shared" si="38"/>
        <v/>
      </c>
    </row>
    <row r="843" spans="1:26" s="127" customFormat="1" ht="37.5">
      <c r="A843" s="636">
        <v>52026</v>
      </c>
      <c r="B843" s="637" t="s">
        <v>33</v>
      </c>
      <c r="C843" s="636" t="s">
        <v>2725</v>
      </c>
      <c r="D843" s="637" t="s">
        <v>1042</v>
      </c>
      <c r="E843" s="637" t="s">
        <v>960</v>
      </c>
      <c r="F843" s="636">
        <v>56516</v>
      </c>
      <c r="G843" s="637" t="s">
        <v>81</v>
      </c>
      <c r="H843" s="637" t="s">
        <v>1163</v>
      </c>
      <c r="I843" s="637" t="s">
        <v>58</v>
      </c>
      <c r="J843" s="636">
        <v>22</v>
      </c>
      <c r="K843" s="636">
        <v>2</v>
      </c>
      <c r="L843" s="637" t="s">
        <v>52</v>
      </c>
      <c r="M843" s="637" t="s">
        <v>41</v>
      </c>
      <c r="N843" s="637" t="s">
        <v>39</v>
      </c>
      <c r="O843" s="637" t="s">
        <v>39</v>
      </c>
      <c r="P843" s="637" t="s">
        <v>1020</v>
      </c>
      <c r="Q843" s="638">
        <v>385897</v>
      </c>
      <c r="R843" s="638">
        <v>385897</v>
      </c>
      <c r="S843" s="638">
        <v>396474</v>
      </c>
      <c r="T843" s="638">
        <v>396474</v>
      </c>
      <c r="U843" s="638">
        <v>44346.891000000003</v>
      </c>
      <c r="V843" s="636">
        <v>2022</v>
      </c>
      <c r="W843" s="640"/>
      <c r="X843" s="641">
        <f t="shared" si="39"/>
        <v>8.9402885086126993</v>
      </c>
      <c r="Y843" s="642" t="str">
        <f t="shared" si="40"/>
        <v/>
      </c>
      <c r="Z843" s="642" t="str">
        <f t="shared" si="38"/>
        <v/>
      </c>
    </row>
    <row r="844" spans="1:26" s="127" customFormat="1" ht="37.5">
      <c r="A844" s="636">
        <v>52026</v>
      </c>
      <c r="B844" s="637" t="s">
        <v>33</v>
      </c>
      <c r="C844" s="636" t="s">
        <v>2725</v>
      </c>
      <c r="D844" s="637" t="s">
        <v>1042</v>
      </c>
      <c r="E844" s="637" t="s">
        <v>960</v>
      </c>
      <c r="F844" s="636">
        <v>56516</v>
      </c>
      <c r="G844" s="637" t="s">
        <v>81</v>
      </c>
      <c r="H844" s="637" t="s">
        <v>1163</v>
      </c>
      <c r="I844" s="637" t="s">
        <v>58</v>
      </c>
      <c r="J844" s="636">
        <v>22</v>
      </c>
      <c r="K844" s="636">
        <v>2</v>
      </c>
      <c r="L844" s="637" t="s">
        <v>52</v>
      </c>
      <c r="M844" s="637" t="s">
        <v>50</v>
      </c>
      <c r="N844" s="637" t="s">
        <v>46</v>
      </c>
      <c r="O844" s="637" t="s">
        <v>46</v>
      </c>
      <c r="P844" s="637" t="s">
        <v>47</v>
      </c>
      <c r="Q844" s="638">
        <v>550</v>
      </c>
      <c r="R844" s="638">
        <v>550</v>
      </c>
      <c r="S844" s="638">
        <v>3191</v>
      </c>
      <c r="T844" s="638">
        <v>3191</v>
      </c>
      <c r="U844" s="638">
        <v>267.33800000000002</v>
      </c>
      <c r="V844" s="636">
        <v>2022</v>
      </c>
      <c r="W844" s="640"/>
      <c r="X844" s="641">
        <f t="shared" si="39"/>
        <v>11.936200614951858</v>
      </c>
      <c r="Y844" s="642" t="str">
        <f t="shared" si="40"/>
        <v/>
      </c>
      <c r="Z844" s="642" t="str">
        <f t="shared" si="38"/>
        <v/>
      </c>
    </row>
    <row r="845" spans="1:26" s="127" customFormat="1" ht="37.5">
      <c r="A845" s="636">
        <v>52026</v>
      </c>
      <c r="B845" s="637" t="s">
        <v>33</v>
      </c>
      <c r="C845" s="636" t="s">
        <v>2725</v>
      </c>
      <c r="D845" s="637" t="s">
        <v>1042</v>
      </c>
      <c r="E845" s="637" t="s">
        <v>960</v>
      </c>
      <c r="F845" s="636">
        <v>56516</v>
      </c>
      <c r="G845" s="637" t="s">
        <v>81</v>
      </c>
      <c r="H845" s="637" t="s">
        <v>1163</v>
      </c>
      <c r="I845" s="637" t="s">
        <v>58</v>
      </c>
      <c r="J845" s="636">
        <v>22</v>
      </c>
      <c r="K845" s="636">
        <v>2</v>
      </c>
      <c r="L845" s="637" t="s">
        <v>52</v>
      </c>
      <c r="M845" s="637" t="s">
        <v>50</v>
      </c>
      <c r="N845" s="637" t="s">
        <v>39</v>
      </c>
      <c r="O845" s="637" t="s">
        <v>39</v>
      </c>
      <c r="P845" s="637" t="s">
        <v>1020</v>
      </c>
      <c r="Q845" s="638">
        <v>161096</v>
      </c>
      <c r="R845" s="638">
        <v>161096</v>
      </c>
      <c r="S845" s="638">
        <v>165605</v>
      </c>
      <c r="T845" s="638">
        <v>165605</v>
      </c>
      <c r="U845" s="638">
        <v>13878.662</v>
      </c>
      <c r="V845" s="636">
        <v>2022</v>
      </c>
      <c r="W845" s="640"/>
      <c r="X845" s="641">
        <f t="shared" si="39"/>
        <v>11.932346216083365</v>
      </c>
      <c r="Y845" s="642" t="str">
        <f t="shared" si="40"/>
        <v/>
      </c>
      <c r="Z845" s="642" t="str">
        <f t="shared" si="38"/>
        <v/>
      </c>
    </row>
    <row r="846" spans="1:26" s="127" customFormat="1" ht="25">
      <c r="A846" s="636">
        <v>52056</v>
      </c>
      <c r="B846" s="637" t="s">
        <v>54</v>
      </c>
      <c r="C846" s="636" t="s">
        <v>2725</v>
      </c>
      <c r="D846" s="637" t="s">
        <v>926</v>
      </c>
      <c r="E846" s="637" t="s">
        <v>926</v>
      </c>
      <c r="F846" s="636">
        <v>19153</v>
      </c>
      <c r="G846" s="637" t="s">
        <v>57</v>
      </c>
      <c r="H846" s="637" t="s">
        <v>1162</v>
      </c>
      <c r="I846" s="637" t="s">
        <v>58</v>
      </c>
      <c r="J846" s="636">
        <v>22</v>
      </c>
      <c r="K846" s="636">
        <v>3</v>
      </c>
      <c r="L846" s="637" t="s">
        <v>55</v>
      </c>
      <c r="M846" s="637" t="s">
        <v>38</v>
      </c>
      <c r="N846" s="637" t="s">
        <v>46</v>
      </c>
      <c r="O846" s="637" t="s">
        <v>46</v>
      </c>
      <c r="P846" s="637" t="s">
        <v>47</v>
      </c>
      <c r="Q846" s="638">
        <v>1000</v>
      </c>
      <c r="R846" s="638">
        <v>0</v>
      </c>
      <c r="S846" s="638">
        <v>5769</v>
      </c>
      <c r="T846" s="638">
        <v>0</v>
      </c>
      <c r="U846" s="638">
        <v>0</v>
      </c>
      <c r="V846" s="636">
        <v>2022</v>
      </c>
      <c r="W846" s="640"/>
      <c r="X846" s="641" t="str">
        <f t="shared" si="39"/>
        <v/>
      </c>
      <c r="Y846" s="642" t="str">
        <f t="shared" si="40"/>
        <v/>
      </c>
      <c r="Z846" s="642" t="str">
        <f t="shared" si="38"/>
        <v/>
      </c>
    </row>
    <row r="847" spans="1:26" s="127" customFormat="1" ht="25">
      <c r="A847" s="636">
        <v>52056</v>
      </c>
      <c r="B847" s="637" t="s">
        <v>54</v>
      </c>
      <c r="C847" s="636" t="s">
        <v>2725</v>
      </c>
      <c r="D847" s="637" t="s">
        <v>926</v>
      </c>
      <c r="E847" s="637" t="s">
        <v>926</v>
      </c>
      <c r="F847" s="636">
        <v>19153</v>
      </c>
      <c r="G847" s="637" t="s">
        <v>57</v>
      </c>
      <c r="H847" s="637" t="s">
        <v>1162</v>
      </c>
      <c r="I847" s="637" t="s">
        <v>58</v>
      </c>
      <c r="J847" s="636">
        <v>22</v>
      </c>
      <c r="K847" s="636">
        <v>3</v>
      </c>
      <c r="L847" s="637" t="s">
        <v>55</v>
      </c>
      <c r="M847" s="637" t="s">
        <v>38</v>
      </c>
      <c r="N847" s="637" t="s">
        <v>39</v>
      </c>
      <c r="O847" s="637" t="s">
        <v>39</v>
      </c>
      <c r="P847" s="637" t="s">
        <v>1020</v>
      </c>
      <c r="Q847" s="638">
        <v>193760</v>
      </c>
      <c r="R847" s="638">
        <v>11707</v>
      </c>
      <c r="S847" s="638">
        <v>199357</v>
      </c>
      <c r="T847" s="638">
        <v>12046</v>
      </c>
      <c r="U847" s="638">
        <v>25539.13</v>
      </c>
      <c r="V847" s="636">
        <v>2022</v>
      </c>
      <c r="W847" s="640"/>
      <c r="X847" s="641">
        <f t="shared" si="39"/>
        <v>0.47166837711386406</v>
      </c>
      <c r="Y847" s="642" t="str">
        <f t="shared" si="40"/>
        <v/>
      </c>
      <c r="Z847" s="642" t="str">
        <f t="shared" si="38"/>
        <v/>
      </c>
    </row>
    <row r="848" spans="1:26" s="127" customFormat="1" ht="25">
      <c r="A848" s="636">
        <v>52056</v>
      </c>
      <c r="B848" s="637" t="s">
        <v>54</v>
      </c>
      <c r="C848" s="636" t="s">
        <v>2725</v>
      </c>
      <c r="D848" s="637" t="s">
        <v>926</v>
      </c>
      <c r="E848" s="637" t="s">
        <v>926</v>
      </c>
      <c r="F848" s="636">
        <v>19153</v>
      </c>
      <c r="G848" s="637" t="s">
        <v>57</v>
      </c>
      <c r="H848" s="637" t="s">
        <v>1162</v>
      </c>
      <c r="I848" s="637" t="s">
        <v>58</v>
      </c>
      <c r="J848" s="636">
        <v>22</v>
      </c>
      <c r="K848" s="636">
        <v>3</v>
      </c>
      <c r="L848" s="637" t="s">
        <v>55</v>
      </c>
      <c r="M848" s="637" t="s">
        <v>41</v>
      </c>
      <c r="N848" s="637" t="s">
        <v>46</v>
      </c>
      <c r="O848" s="637" t="s">
        <v>46</v>
      </c>
      <c r="P848" s="637" t="s">
        <v>47</v>
      </c>
      <c r="Q848" s="638">
        <v>0</v>
      </c>
      <c r="R848" s="638">
        <v>0</v>
      </c>
      <c r="S848" s="638">
        <v>0</v>
      </c>
      <c r="T848" s="638">
        <v>0</v>
      </c>
      <c r="U848" s="638">
        <v>0</v>
      </c>
      <c r="V848" s="636">
        <v>2022</v>
      </c>
      <c r="W848" s="640"/>
      <c r="X848" s="641" t="str">
        <f t="shared" si="39"/>
        <v/>
      </c>
      <c r="Y848" s="642" t="str">
        <f t="shared" si="40"/>
        <v/>
      </c>
      <c r="Z848" s="642" t="str">
        <f t="shared" ref="Z848:Z911" si="41">IF(AND($M848=$Y$2,$N848=$Y$4,NOT($Q848=$R848),NOT($U848=0)),IF($K848=5,$S848/($U848+(8/5)*$U848),IF($K848=7,$S848/($U848+(29/25)*$U848),"")),"")</f>
        <v/>
      </c>
    </row>
    <row r="849" spans="1:26" s="127" customFormat="1" ht="25">
      <c r="A849" s="636">
        <v>52056</v>
      </c>
      <c r="B849" s="637" t="s">
        <v>54</v>
      </c>
      <c r="C849" s="636" t="s">
        <v>2725</v>
      </c>
      <c r="D849" s="637" t="s">
        <v>926</v>
      </c>
      <c r="E849" s="637" t="s">
        <v>926</v>
      </c>
      <c r="F849" s="636">
        <v>19153</v>
      </c>
      <c r="G849" s="637" t="s">
        <v>57</v>
      </c>
      <c r="H849" s="637" t="s">
        <v>1162</v>
      </c>
      <c r="I849" s="637" t="s">
        <v>58</v>
      </c>
      <c r="J849" s="636">
        <v>22</v>
      </c>
      <c r="K849" s="636">
        <v>3</v>
      </c>
      <c r="L849" s="637" t="s">
        <v>55</v>
      </c>
      <c r="M849" s="637" t="s">
        <v>41</v>
      </c>
      <c r="N849" s="637" t="s">
        <v>39</v>
      </c>
      <c r="O849" s="637" t="s">
        <v>39</v>
      </c>
      <c r="P849" s="637" t="s">
        <v>1020</v>
      </c>
      <c r="Q849" s="638">
        <v>1338833</v>
      </c>
      <c r="R849" s="638">
        <v>599585</v>
      </c>
      <c r="S849" s="638">
        <v>1378999</v>
      </c>
      <c r="T849" s="638">
        <v>617573</v>
      </c>
      <c r="U849" s="638">
        <v>103337.01</v>
      </c>
      <c r="V849" s="636">
        <v>2022</v>
      </c>
      <c r="W849" s="640"/>
      <c r="X849" s="641">
        <f t="shared" si="39"/>
        <v>5.9763002626067854</v>
      </c>
      <c r="Y849" s="642" t="str">
        <f t="shared" si="40"/>
        <v/>
      </c>
      <c r="Z849" s="642" t="str">
        <f t="shared" si="41"/>
        <v/>
      </c>
    </row>
    <row r="850" spans="1:26" s="127" customFormat="1" ht="25">
      <c r="A850" s="636">
        <v>52057</v>
      </c>
      <c r="B850" s="637" t="s">
        <v>33</v>
      </c>
      <c r="C850" s="636" t="s">
        <v>2725</v>
      </c>
      <c r="D850" s="637" t="s">
        <v>3277</v>
      </c>
      <c r="E850" s="637" t="s">
        <v>3278</v>
      </c>
      <c r="F850" s="636">
        <v>60082</v>
      </c>
      <c r="G850" s="637" t="s">
        <v>57</v>
      </c>
      <c r="H850" s="637" t="s">
        <v>1162</v>
      </c>
      <c r="I850" s="637" t="s">
        <v>58</v>
      </c>
      <c r="J850" s="636">
        <v>22</v>
      </c>
      <c r="K850" s="636">
        <v>2</v>
      </c>
      <c r="L850" s="637" t="s">
        <v>52</v>
      </c>
      <c r="M850" s="637" t="s">
        <v>35</v>
      </c>
      <c r="N850" s="637" t="s">
        <v>36</v>
      </c>
      <c r="O850" s="637" t="s">
        <v>37</v>
      </c>
      <c r="P850" s="637" t="s">
        <v>1156</v>
      </c>
      <c r="Q850" s="638">
        <v>0</v>
      </c>
      <c r="R850" s="638">
        <v>0</v>
      </c>
      <c r="S850" s="638">
        <v>0</v>
      </c>
      <c r="T850" s="638">
        <v>0</v>
      </c>
      <c r="U850" s="638">
        <v>0</v>
      </c>
      <c r="V850" s="636">
        <v>2022</v>
      </c>
      <c r="W850" s="640"/>
      <c r="X850" s="641" t="str">
        <f t="shared" si="39"/>
        <v/>
      </c>
      <c r="Y850" s="642" t="str">
        <f t="shared" si="40"/>
        <v/>
      </c>
      <c r="Z850" s="642" t="str">
        <f t="shared" si="41"/>
        <v/>
      </c>
    </row>
    <row r="851" spans="1:26" s="127" customFormat="1" ht="25">
      <c r="A851" s="636">
        <v>52058</v>
      </c>
      <c r="B851" s="637" t="s">
        <v>33</v>
      </c>
      <c r="C851" s="636" t="s">
        <v>2725</v>
      </c>
      <c r="D851" s="637" t="s">
        <v>927</v>
      </c>
      <c r="E851" s="637" t="s">
        <v>3607</v>
      </c>
      <c r="F851" s="636">
        <v>57184</v>
      </c>
      <c r="G851" s="637" t="s">
        <v>57</v>
      </c>
      <c r="H851" s="637" t="s">
        <v>1162</v>
      </c>
      <c r="I851" s="637" t="s">
        <v>58</v>
      </c>
      <c r="J851" s="636">
        <v>22</v>
      </c>
      <c r="K851" s="636">
        <v>2</v>
      </c>
      <c r="L851" s="637" t="s">
        <v>52</v>
      </c>
      <c r="M851" s="637" t="s">
        <v>35</v>
      </c>
      <c r="N851" s="637" t="s">
        <v>36</v>
      </c>
      <c r="O851" s="637" t="s">
        <v>37</v>
      </c>
      <c r="P851" s="637" t="s">
        <v>1156</v>
      </c>
      <c r="Q851" s="638">
        <v>0</v>
      </c>
      <c r="R851" s="638">
        <v>0</v>
      </c>
      <c r="S851" s="638">
        <v>26613</v>
      </c>
      <c r="T851" s="638">
        <v>26613</v>
      </c>
      <c r="U851" s="638">
        <v>7800</v>
      </c>
      <c r="V851" s="636">
        <v>2022</v>
      </c>
      <c r="W851" s="640"/>
      <c r="X851" s="641">
        <f t="shared" si="39"/>
        <v>3.4119230769230771</v>
      </c>
      <c r="Y851" s="642" t="str">
        <f t="shared" si="40"/>
        <v/>
      </c>
      <c r="Z851" s="642" t="str">
        <f t="shared" si="41"/>
        <v/>
      </c>
    </row>
    <row r="852" spans="1:26" s="127" customFormat="1" ht="37.5" hidden="1">
      <c r="A852" s="636">
        <v>52061</v>
      </c>
      <c r="B852" s="637" t="s">
        <v>54</v>
      </c>
      <c r="C852" s="636" t="s">
        <v>2725</v>
      </c>
      <c r="D852" s="637" t="s">
        <v>928</v>
      </c>
      <c r="E852" s="637" t="s">
        <v>3608</v>
      </c>
      <c r="F852" s="636">
        <v>65384</v>
      </c>
      <c r="G852" s="637" t="s">
        <v>41</v>
      </c>
      <c r="H852" s="637" t="s">
        <v>1163</v>
      </c>
      <c r="I852" s="637" t="s">
        <v>58</v>
      </c>
      <c r="J852" s="636">
        <v>622</v>
      </c>
      <c r="K852" s="636">
        <v>5</v>
      </c>
      <c r="L852" s="637" t="s">
        <v>407</v>
      </c>
      <c r="M852" s="637" t="s">
        <v>38</v>
      </c>
      <c r="N852" s="637" t="s">
        <v>46</v>
      </c>
      <c r="O852" s="637" t="s">
        <v>46</v>
      </c>
      <c r="P852" s="637" t="s">
        <v>47</v>
      </c>
      <c r="Q852" s="638">
        <v>0</v>
      </c>
      <c r="R852" s="638">
        <v>0</v>
      </c>
      <c r="S852" s="638">
        <v>0</v>
      </c>
      <c r="T852" s="638">
        <v>0</v>
      </c>
      <c r="U852" s="638">
        <v>0</v>
      </c>
      <c r="V852" s="636">
        <v>2022</v>
      </c>
      <c r="W852" s="640"/>
      <c r="X852" s="641" t="str">
        <f t="shared" si="39"/>
        <v/>
      </c>
      <c r="Y852" s="642" t="str">
        <f t="shared" si="40"/>
        <v/>
      </c>
      <c r="Z852" s="642" t="str">
        <f t="shared" si="41"/>
        <v/>
      </c>
    </row>
    <row r="853" spans="1:26" s="127" customFormat="1" ht="37.5" hidden="1">
      <c r="A853" s="636">
        <v>52061</v>
      </c>
      <c r="B853" s="637" t="s">
        <v>54</v>
      </c>
      <c r="C853" s="636" t="s">
        <v>2725</v>
      </c>
      <c r="D853" s="637" t="s">
        <v>928</v>
      </c>
      <c r="E853" s="637" t="s">
        <v>3608</v>
      </c>
      <c r="F853" s="636">
        <v>65384</v>
      </c>
      <c r="G853" s="637" t="s">
        <v>41</v>
      </c>
      <c r="H853" s="637" t="s">
        <v>1163</v>
      </c>
      <c r="I853" s="637" t="s">
        <v>58</v>
      </c>
      <c r="J853" s="636">
        <v>622</v>
      </c>
      <c r="K853" s="636">
        <v>5</v>
      </c>
      <c r="L853" s="637" t="s">
        <v>407</v>
      </c>
      <c r="M853" s="637" t="s">
        <v>38</v>
      </c>
      <c r="N853" s="637" t="s">
        <v>39</v>
      </c>
      <c r="O853" s="637" t="s">
        <v>39</v>
      </c>
      <c r="P853" s="637" t="s">
        <v>1020</v>
      </c>
      <c r="Q853" s="638">
        <v>0</v>
      </c>
      <c r="R853" s="638">
        <v>0</v>
      </c>
      <c r="S853" s="638">
        <v>0</v>
      </c>
      <c r="T853" s="638">
        <v>0</v>
      </c>
      <c r="U853" s="638">
        <v>0</v>
      </c>
      <c r="V853" s="636">
        <v>2022</v>
      </c>
      <c r="W853" s="640"/>
      <c r="X853" s="641" t="str">
        <f t="shared" si="39"/>
        <v/>
      </c>
      <c r="Y853" s="642" t="str">
        <f t="shared" si="40"/>
        <v/>
      </c>
      <c r="Z853" s="642" t="str">
        <f t="shared" si="41"/>
        <v/>
      </c>
    </row>
    <row r="854" spans="1:26" s="127" customFormat="1" ht="37.5" hidden="1">
      <c r="A854" s="636">
        <v>52061</v>
      </c>
      <c r="B854" s="637" t="s">
        <v>54</v>
      </c>
      <c r="C854" s="636" t="s">
        <v>2725</v>
      </c>
      <c r="D854" s="637" t="s">
        <v>928</v>
      </c>
      <c r="E854" s="637" t="s">
        <v>3608</v>
      </c>
      <c r="F854" s="636">
        <v>65384</v>
      </c>
      <c r="G854" s="637" t="s">
        <v>41</v>
      </c>
      <c r="H854" s="637" t="s">
        <v>1163</v>
      </c>
      <c r="I854" s="637" t="s">
        <v>58</v>
      </c>
      <c r="J854" s="636">
        <v>622</v>
      </c>
      <c r="K854" s="636">
        <v>5</v>
      </c>
      <c r="L854" s="637" t="s">
        <v>407</v>
      </c>
      <c r="M854" s="637" t="s">
        <v>41</v>
      </c>
      <c r="N854" s="637" t="s">
        <v>46</v>
      </c>
      <c r="O854" s="637" t="s">
        <v>46</v>
      </c>
      <c r="P854" s="637" t="s">
        <v>47</v>
      </c>
      <c r="Q854" s="638">
        <v>0</v>
      </c>
      <c r="R854" s="638">
        <v>0</v>
      </c>
      <c r="S854" s="638">
        <v>0</v>
      </c>
      <c r="T854" s="638">
        <v>0</v>
      </c>
      <c r="U854" s="638">
        <v>0</v>
      </c>
      <c r="V854" s="636">
        <v>2022</v>
      </c>
      <c r="W854" s="640"/>
      <c r="X854" s="641" t="str">
        <f t="shared" si="39"/>
        <v/>
      </c>
      <c r="Y854" s="642" t="str">
        <f t="shared" si="40"/>
        <v/>
      </c>
      <c r="Z854" s="642" t="str">
        <f t="shared" si="41"/>
        <v/>
      </c>
    </row>
    <row r="855" spans="1:26" s="127" customFormat="1" ht="37.5" hidden="1">
      <c r="A855" s="636">
        <v>52061</v>
      </c>
      <c r="B855" s="637" t="s">
        <v>54</v>
      </c>
      <c r="C855" s="636" t="s">
        <v>2725</v>
      </c>
      <c r="D855" s="637" t="s">
        <v>928</v>
      </c>
      <c r="E855" s="637" t="s">
        <v>3608</v>
      </c>
      <c r="F855" s="636">
        <v>65384</v>
      </c>
      <c r="G855" s="637" t="s">
        <v>41</v>
      </c>
      <c r="H855" s="637" t="s">
        <v>1163</v>
      </c>
      <c r="I855" s="637" t="s">
        <v>58</v>
      </c>
      <c r="J855" s="636">
        <v>622</v>
      </c>
      <c r="K855" s="636">
        <v>5</v>
      </c>
      <c r="L855" s="637" t="s">
        <v>407</v>
      </c>
      <c r="M855" s="637" t="s">
        <v>41</v>
      </c>
      <c r="N855" s="637" t="s">
        <v>39</v>
      </c>
      <c r="O855" s="637" t="s">
        <v>39</v>
      </c>
      <c r="P855" s="637" t="s">
        <v>1020</v>
      </c>
      <c r="Q855" s="638">
        <v>439207</v>
      </c>
      <c r="R855" s="638">
        <v>223206</v>
      </c>
      <c r="S855" s="638">
        <v>451067</v>
      </c>
      <c r="T855" s="638">
        <v>229233</v>
      </c>
      <c r="U855" s="638">
        <v>38309</v>
      </c>
      <c r="V855" s="636">
        <v>2022</v>
      </c>
      <c r="W855" s="640"/>
      <c r="X855" s="641" t="str">
        <f t="shared" si="39"/>
        <v/>
      </c>
      <c r="Y855" s="642" t="str">
        <f t="shared" si="40"/>
        <v/>
      </c>
      <c r="Z855" s="642" t="str">
        <f t="shared" si="41"/>
        <v/>
      </c>
    </row>
    <row r="856" spans="1:26" s="127" customFormat="1" ht="37.5" hidden="1">
      <c r="A856" s="636">
        <v>52061</v>
      </c>
      <c r="B856" s="637" t="s">
        <v>54</v>
      </c>
      <c r="C856" s="636" t="s">
        <v>2725</v>
      </c>
      <c r="D856" s="637" t="s">
        <v>928</v>
      </c>
      <c r="E856" s="637" t="s">
        <v>3608</v>
      </c>
      <c r="F856" s="636">
        <v>65384</v>
      </c>
      <c r="G856" s="637" t="s">
        <v>41</v>
      </c>
      <c r="H856" s="637" t="s">
        <v>1163</v>
      </c>
      <c r="I856" s="637" t="s">
        <v>58</v>
      </c>
      <c r="J856" s="636">
        <v>622</v>
      </c>
      <c r="K856" s="636">
        <v>5</v>
      </c>
      <c r="L856" s="637" t="s">
        <v>407</v>
      </c>
      <c r="M856" s="637" t="s">
        <v>1232</v>
      </c>
      <c r="N856" s="637" t="s">
        <v>39</v>
      </c>
      <c r="O856" s="637" t="s">
        <v>39</v>
      </c>
      <c r="P856" s="637" t="s">
        <v>1020</v>
      </c>
      <c r="Q856" s="638">
        <v>102553</v>
      </c>
      <c r="R856" s="638">
        <v>53391</v>
      </c>
      <c r="S856" s="638">
        <v>105324</v>
      </c>
      <c r="T856" s="638">
        <v>54834</v>
      </c>
      <c r="U856" s="638">
        <v>10262</v>
      </c>
      <c r="V856" s="636">
        <v>2022</v>
      </c>
      <c r="W856" s="640"/>
      <c r="X856" s="641" t="str">
        <f t="shared" si="39"/>
        <v/>
      </c>
      <c r="Y856" s="642" t="str">
        <f t="shared" si="40"/>
        <v/>
      </c>
      <c r="Z856" s="642" t="str">
        <f t="shared" si="41"/>
        <v/>
      </c>
    </row>
    <row r="857" spans="1:26" s="127" customFormat="1" ht="37.5" hidden="1">
      <c r="A857" s="636">
        <v>52091</v>
      </c>
      <c r="B857" s="637" t="s">
        <v>33</v>
      </c>
      <c r="C857" s="636" t="s">
        <v>2725</v>
      </c>
      <c r="D857" s="637" t="s">
        <v>3279</v>
      </c>
      <c r="E857" s="637" t="s">
        <v>3279</v>
      </c>
      <c r="F857" s="636">
        <v>13484</v>
      </c>
      <c r="G857" s="637" t="s">
        <v>57</v>
      </c>
      <c r="H857" s="637" t="s">
        <v>1162</v>
      </c>
      <c r="I857" s="637" t="s">
        <v>58</v>
      </c>
      <c r="J857" s="636">
        <v>622</v>
      </c>
      <c r="K857" s="636">
        <v>4</v>
      </c>
      <c r="L857" s="637" t="s">
        <v>406</v>
      </c>
      <c r="M857" s="637" t="s">
        <v>51</v>
      </c>
      <c r="N857" s="637" t="s">
        <v>46</v>
      </c>
      <c r="O857" s="637" t="s">
        <v>46</v>
      </c>
      <c r="P857" s="637" t="s">
        <v>47</v>
      </c>
      <c r="Q857" s="638">
        <v>47</v>
      </c>
      <c r="R857" s="638">
        <v>47</v>
      </c>
      <c r="S857" s="638">
        <v>270</v>
      </c>
      <c r="T857" s="638">
        <v>270</v>
      </c>
      <c r="U857" s="638">
        <v>24</v>
      </c>
      <c r="V857" s="636">
        <v>2022</v>
      </c>
      <c r="W857" s="640"/>
      <c r="X857" s="641" t="str">
        <f t="shared" si="39"/>
        <v/>
      </c>
      <c r="Y857" s="642" t="str">
        <f t="shared" si="40"/>
        <v/>
      </c>
      <c r="Z857" s="642" t="str">
        <f t="shared" si="41"/>
        <v/>
      </c>
    </row>
    <row r="858" spans="1:26" s="127" customFormat="1" ht="37.5" hidden="1">
      <c r="A858" s="636">
        <v>52091</v>
      </c>
      <c r="B858" s="637" t="s">
        <v>33</v>
      </c>
      <c r="C858" s="636" t="s">
        <v>2725</v>
      </c>
      <c r="D858" s="637" t="s">
        <v>3279</v>
      </c>
      <c r="E858" s="637" t="s">
        <v>3279</v>
      </c>
      <c r="F858" s="636">
        <v>13484</v>
      </c>
      <c r="G858" s="637" t="s">
        <v>57</v>
      </c>
      <c r="H858" s="637" t="s">
        <v>1162</v>
      </c>
      <c r="I858" s="637" t="s">
        <v>58</v>
      </c>
      <c r="J858" s="636">
        <v>622</v>
      </c>
      <c r="K858" s="636">
        <v>4</v>
      </c>
      <c r="L858" s="637" t="s">
        <v>406</v>
      </c>
      <c r="M858" s="637" t="s">
        <v>51</v>
      </c>
      <c r="N858" s="637" t="s">
        <v>39</v>
      </c>
      <c r="O858" s="637" t="s">
        <v>39</v>
      </c>
      <c r="P858" s="637" t="s">
        <v>1020</v>
      </c>
      <c r="Q858" s="638">
        <v>0</v>
      </c>
      <c r="R858" s="638">
        <v>0</v>
      </c>
      <c r="S858" s="638">
        <v>0</v>
      </c>
      <c r="T858" s="638">
        <v>0</v>
      </c>
      <c r="U858" s="638">
        <v>0</v>
      </c>
      <c r="V858" s="636">
        <v>2022</v>
      </c>
      <c r="W858" s="640"/>
      <c r="X858" s="641" t="str">
        <f t="shared" si="39"/>
        <v/>
      </c>
      <c r="Y858" s="642" t="str">
        <f t="shared" si="40"/>
        <v/>
      </c>
      <c r="Z858" s="642" t="str">
        <f t="shared" si="41"/>
        <v/>
      </c>
    </row>
    <row r="859" spans="1:26" s="127" customFormat="1" ht="25">
      <c r="A859" s="636">
        <v>52166</v>
      </c>
      <c r="B859" s="637" t="s">
        <v>33</v>
      </c>
      <c r="C859" s="636" t="s">
        <v>2725</v>
      </c>
      <c r="D859" s="637" t="s">
        <v>929</v>
      </c>
      <c r="E859" s="637" t="s">
        <v>3605</v>
      </c>
      <c r="F859" s="636">
        <v>65466</v>
      </c>
      <c r="G859" s="637" t="s">
        <v>81</v>
      </c>
      <c r="H859" s="637" t="s">
        <v>1163</v>
      </c>
      <c r="I859" s="637" t="s">
        <v>58</v>
      </c>
      <c r="J859" s="636">
        <v>22</v>
      </c>
      <c r="K859" s="636">
        <v>2</v>
      </c>
      <c r="L859" s="637" t="s">
        <v>52</v>
      </c>
      <c r="M859" s="637" t="s">
        <v>35</v>
      </c>
      <c r="N859" s="637" t="s">
        <v>36</v>
      </c>
      <c r="O859" s="637" t="s">
        <v>37</v>
      </c>
      <c r="P859" s="637" t="s">
        <v>1156</v>
      </c>
      <c r="Q859" s="638">
        <v>0</v>
      </c>
      <c r="R859" s="638">
        <v>0</v>
      </c>
      <c r="S859" s="638">
        <v>16968</v>
      </c>
      <c r="T859" s="638">
        <v>16968</v>
      </c>
      <c r="U859" s="638">
        <v>4973</v>
      </c>
      <c r="V859" s="636">
        <v>2022</v>
      </c>
      <c r="W859" s="640"/>
      <c r="X859" s="641">
        <f t="shared" si="39"/>
        <v>3.4120249346470941</v>
      </c>
      <c r="Y859" s="642" t="str">
        <f t="shared" si="40"/>
        <v/>
      </c>
      <c r="Z859" s="642" t="str">
        <f t="shared" si="41"/>
        <v/>
      </c>
    </row>
    <row r="860" spans="1:26" s="127" customFormat="1" ht="37.5" hidden="1">
      <c r="A860" s="636">
        <v>52168</v>
      </c>
      <c r="B860" s="637" t="s">
        <v>54</v>
      </c>
      <c r="C860" s="636" t="s">
        <v>2725</v>
      </c>
      <c r="D860" s="637" t="s">
        <v>3609</v>
      </c>
      <c r="E860" s="637" t="s">
        <v>3610</v>
      </c>
      <c r="F860" s="636">
        <v>24210</v>
      </c>
      <c r="G860" s="637" t="s">
        <v>57</v>
      </c>
      <c r="H860" s="637" t="s">
        <v>1162</v>
      </c>
      <c r="I860" s="637" t="s">
        <v>58</v>
      </c>
      <c r="J860" s="636">
        <v>814</v>
      </c>
      <c r="K860" s="636">
        <v>5</v>
      </c>
      <c r="L860" s="637" t="s">
        <v>407</v>
      </c>
      <c r="M860" s="637" t="s">
        <v>38</v>
      </c>
      <c r="N860" s="637" t="s">
        <v>46</v>
      </c>
      <c r="O860" s="637" t="s">
        <v>46</v>
      </c>
      <c r="P860" s="637" t="s">
        <v>47</v>
      </c>
      <c r="Q860" s="638">
        <v>18636</v>
      </c>
      <c r="R860" s="638">
        <v>282</v>
      </c>
      <c r="S860" s="638">
        <v>107250</v>
      </c>
      <c r="T860" s="638">
        <v>1625</v>
      </c>
      <c r="U860" s="638">
        <v>295.73399999999998</v>
      </c>
      <c r="V860" s="636">
        <v>2022</v>
      </c>
      <c r="W860" s="640"/>
      <c r="X860" s="641" t="str">
        <f t="shared" si="39"/>
        <v/>
      </c>
      <c r="Y860" s="642" t="str">
        <f t="shared" si="40"/>
        <v/>
      </c>
      <c r="Z860" s="642" t="str">
        <f t="shared" si="41"/>
        <v/>
      </c>
    </row>
    <row r="861" spans="1:26" s="127" customFormat="1" ht="37.5" hidden="1">
      <c r="A861" s="636">
        <v>52168</v>
      </c>
      <c r="B861" s="637" t="s">
        <v>54</v>
      </c>
      <c r="C861" s="636" t="s">
        <v>2725</v>
      </c>
      <c r="D861" s="637" t="s">
        <v>3609</v>
      </c>
      <c r="E861" s="637" t="s">
        <v>3610</v>
      </c>
      <c r="F861" s="636">
        <v>24210</v>
      </c>
      <c r="G861" s="637" t="s">
        <v>57</v>
      </c>
      <c r="H861" s="637" t="s">
        <v>1162</v>
      </c>
      <c r="I861" s="637" t="s">
        <v>58</v>
      </c>
      <c r="J861" s="636">
        <v>814</v>
      </c>
      <c r="K861" s="636">
        <v>5</v>
      </c>
      <c r="L861" s="637" t="s">
        <v>407</v>
      </c>
      <c r="M861" s="637" t="s">
        <v>38</v>
      </c>
      <c r="N861" s="637" t="s">
        <v>39</v>
      </c>
      <c r="O861" s="637" t="s">
        <v>39</v>
      </c>
      <c r="P861" s="637" t="s">
        <v>1020</v>
      </c>
      <c r="Q861" s="638">
        <v>2421514</v>
      </c>
      <c r="R861" s="638">
        <v>224661</v>
      </c>
      <c r="S861" s="638">
        <v>2501424</v>
      </c>
      <c r="T861" s="638">
        <v>232074</v>
      </c>
      <c r="U861" s="638">
        <v>42225.186000000002</v>
      </c>
      <c r="V861" s="636">
        <v>2022</v>
      </c>
      <c r="W861" s="640"/>
      <c r="X861" s="641" t="str">
        <f t="shared" si="39"/>
        <v/>
      </c>
      <c r="Y861" s="642" t="str">
        <f t="shared" si="40"/>
        <v/>
      </c>
      <c r="Z861" s="642" t="str">
        <f t="shared" si="41"/>
        <v/>
      </c>
    </row>
    <row r="862" spans="1:26" s="127" customFormat="1" ht="37.5" hidden="1">
      <c r="A862" s="636">
        <v>52168</v>
      </c>
      <c r="B862" s="637" t="s">
        <v>54</v>
      </c>
      <c r="C862" s="636" t="s">
        <v>2725</v>
      </c>
      <c r="D862" s="637" t="s">
        <v>3609</v>
      </c>
      <c r="E862" s="637" t="s">
        <v>3610</v>
      </c>
      <c r="F862" s="636">
        <v>24210</v>
      </c>
      <c r="G862" s="637" t="s">
        <v>57</v>
      </c>
      <c r="H862" s="637" t="s">
        <v>1162</v>
      </c>
      <c r="I862" s="637" t="s">
        <v>58</v>
      </c>
      <c r="J862" s="636">
        <v>814</v>
      </c>
      <c r="K862" s="636">
        <v>5</v>
      </c>
      <c r="L862" s="637" t="s">
        <v>407</v>
      </c>
      <c r="M862" s="637" t="s">
        <v>41</v>
      </c>
      <c r="N862" s="637" t="s">
        <v>46</v>
      </c>
      <c r="O862" s="637" t="s">
        <v>46</v>
      </c>
      <c r="P862" s="637" t="s">
        <v>47</v>
      </c>
      <c r="Q862" s="638">
        <v>6312</v>
      </c>
      <c r="R862" s="638">
        <v>2789</v>
      </c>
      <c r="S862" s="638">
        <v>36326</v>
      </c>
      <c r="T862" s="638">
        <v>16056</v>
      </c>
      <c r="U862" s="638">
        <v>2921.4580000000001</v>
      </c>
      <c r="V862" s="636">
        <v>2022</v>
      </c>
      <c r="W862" s="640"/>
      <c r="X862" s="641" t="str">
        <f t="shared" si="39"/>
        <v/>
      </c>
      <c r="Y862" s="642" t="str">
        <f t="shared" si="40"/>
        <v/>
      </c>
      <c r="Z862" s="642" t="str">
        <f t="shared" si="41"/>
        <v/>
      </c>
    </row>
    <row r="863" spans="1:26" s="127" customFormat="1" ht="37.5" hidden="1">
      <c r="A863" s="636">
        <v>52168</v>
      </c>
      <c r="B863" s="637" t="s">
        <v>54</v>
      </c>
      <c r="C863" s="636" t="s">
        <v>2725</v>
      </c>
      <c r="D863" s="637" t="s">
        <v>3609</v>
      </c>
      <c r="E863" s="637" t="s">
        <v>3610</v>
      </c>
      <c r="F863" s="636">
        <v>24210</v>
      </c>
      <c r="G863" s="637" t="s">
        <v>57</v>
      </c>
      <c r="H863" s="637" t="s">
        <v>1162</v>
      </c>
      <c r="I863" s="637" t="s">
        <v>58</v>
      </c>
      <c r="J863" s="636">
        <v>814</v>
      </c>
      <c r="K863" s="636">
        <v>5</v>
      </c>
      <c r="L863" s="637" t="s">
        <v>407</v>
      </c>
      <c r="M863" s="637" t="s">
        <v>41</v>
      </c>
      <c r="N863" s="637" t="s">
        <v>39</v>
      </c>
      <c r="O863" s="637" t="s">
        <v>39</v>
      </c>
      <c r="P863" s="637" t="s">
        <v>1020</v>
      </c>
      <c r="Q863" s="638">
        <v>1602252</v>
      </c>
      <c r="R863" s="638">
        <v>684685</v>
      </c>
      <c r="S863" s="638">
        <v>1655125</v>
      </c>
      <c r="T863" s="638">
        <v>707281</v>
      </c>
      <c r="U863" s="638">
        <v>128687.17</v>
      </c>
      <c r="V863" s="636">
        <v>2022</v>
      </c>
      <c r="W863" s="640"/>
      <c r="X863" s="641" t="str">
        <f t="shared" si="39"/>
        <v/>
      </c>
      <c r="Y863" s="642" t="str">
        <f t="shared" si="40"/>
        <v/>
      </c>
      <c r="Z863" s="642" t="str">
        <f t="shared" si="41"/>
        <v/>
      </c>
    </row>
    <row r="864" spans="1:26" s="127" customFormat="1" ht="37.5" hidden="1">
      <c r="A864" s="636">
        <v>52168</v>
      </c>
      <c r="B864" s="637" t="s">
        <v>54</v>
      </c>
      <c r="C864" s="636" t="s">
        <v>2725</v>
      </c>
      <c r="D864" s="637" t="s">
        <v>3609</v>
      </c>
      <c r="E864" s="637" t="s">
        <v>3610</v>
      </c>
      <c r="F864" s="636">
        <v>24210</v>
      </c>
      <c r="G864" s="637" t="s">
        <v>57</v>
      </c>
      <c r="H864" s="637" t="s">
        <v>1162</v>
      </c>
      <c r="I864" s="637" t="s">
        <v>58</v>
      </c>
      <c r="J864" s="636">
        <v>814</v>
      </c>
      <c r="K864" s="636">
        <v>5</v>
      </c>
      <c r="L864" s="637" t="s">
        <v>407</v>
      </c>
      <c r="M864" s="637" t="s">
        <v>41</v>
      </c>
      <c r="N864" s="637" t="s">
        <v>61</v>
      </c>
      <c r="O864" s="637" t="s">
        <v>61</v>
      </c>
      <c r="P864" s="637" t="s">
        <v>47</v>
      </c>
      <c r="Q864" s="638">
        <v>0</v>
      </c>
      <c r="R864" s="638">
        <v>0</v>
      </c>
      <c r="S864" s="638">
        <v>0</v>
      </c>
      <c r="T864" s="638">
        <v>0</v>
      </c>
      <c r="U864" s="638">
        <v>0</v>
      </c>
      <c r="V864" s="636">
        <v>2022</v>
      </c>
      <c r="W864" s="640"/>
      <c r="X864" s="641" t="str">
        <f t="shared" si="39"/>
        <v/>
      </c>
      <c r="Y864" s="642" t="str">
        <f t="shared" si="40"/>
        <v/>
      </c>
      <c r="Z864" s="642" t="str">
        <f t="shared" si="41"/>
        <v/>
      </c>
    </row>
    <row r="865" spans="1:26" s="127" customFormat="1" ht="37.5" hidden="1">
      <c r="A865" s="636">
        <v>52168</v>
      </c>
      <c r="B865" s="637" t="s">
        <v>54</v>
      </c>
      <c r="C865" s="636" t="s">
        <v>2725</v>
      </c>
      <c r="D865" s="637" t="s">
        <v>3609</v>
      </c>
      <c r="E865" s="637" t="s">
        <v>3610</v>
      </c>
      <c r="F865" s="636">
        <v>24210</v>
      </c>
      <c r="G865" s="637" t="s">
        <v>57</v>
      </c>
      <c r="H865" s="637" t="s">
        <v>1162</v>
      </c>
      <c r="I865" s="637" t="s">
        <v>58</v>
      </c>
      <c r="J865" s="636">
        <v>814</v>
      </c>
      <c r="K865" s="636">
        <v>5</v>
      </c>
      <c r="L865" s="637" t="s">
        <v>407</v>
      </c>
      <c r="M865" s="637" t="s">
        <v>51</v>
      </c>
      <c r="N865" s="637" t="s">
        <v>46</v>
      </c>
      <c r="O865" s="637" t="s">
        <v>46</v>
      </c>
      <c r="P865" s="637" t="s">
        <v>47</v>
      </c>
      <c r="Q865" s="638">
        <v>114</v>
      </c>
      <c r="R865" s="638">
        <v>38</v>
      </c>
      <c r="S865" s="638">
        <v>656</v>
      </c>
      <c r="T865" s="638">
        <v>222</v>
      </c>
      <c r="U865" s="638">
        <v>41.16</v>
      </c>
      <c r="V865" s="636">
        <v>2022</v>
      </c>
      <c r="W865" s="640"/>
      <c r="X865" s="641" t="str">
        <f t="shared" si="39"/>
        <v/>
      </c>
      <c r="Y865" s="642" t="str">
        <f t="shared" si="40"/>
        <v/>
      </c>
      <c r="Z865" s="642" t="str">
        <f t="shared" si="41"/>
        <v/>
      </c>
    </row>
    <row r="866" spans="1:26" s="127" customFormat="1" ht="25">
      <c r="A866" s="636">
        <v>52171</v>
      </c>
      <c r="B866" s="637" t="s">
        <v>33</v>
      </c>
      <c r="C866" s="636" t="s">
        <v>2725</v>
      </c>
      <c r="D866" s="637" t="s">
        <v>1043</v>
      </c>
      <c r="E866" s="637" t="s">
        <v>1036</v>
      </c>
      <c r="F866" s="636">
        <v>56838</v>
      </c>
      <c r="G866" s="637" t="s">
        <v>90</v>
      </c>
      <c r="H866" s="637" t="s">
        <v>1163</v>
      </c>
      <c r="I866" s="637" t="s">
        <v>58</v>
      </c>
      <c r="J866" s="636">
        <v>22</v>
      </c>
      <c r="K866" s="636">
        <v>2</v>
      </c>
      <c r="L866" s="637" t="s">
        <v>52</v>
      </c>
      <c r="M866" s="637" t="s">
        <v>35</v>
      </c>
      <c r="N866" s="637" t="s">
        <v>36</v>
      </c>
      <c r="O866" s="637" t="s">
        <v>37</v>
      </c>
      <c r="P866" s="637" t="s">
        <v>1156</v>
      </c>
      <c r="Q866" s="638">
        <v>0</v>
      </c>
      <c r="R866" s="638">
        <v>0</v>
      </c>
      <c r="S866" s="638">
        <v>15832</v>
      </c>
      <c r="T866" s="638">
        <v>15832</v>
      </c>
      <c r="U866" s="638">
        <v>4640</v>
      </c>
      <c r="V866" s="636">
        <v>2022</v>
      </c>
      <c r="W866" s="640"/>
      <c r="X866" s="641">
        <f t="shared" si="39"/>
        <v>3.4120689655172414</v>
      </c>
      <c r="Y866" s="642" t="str">
        <f t="shared" si="40"/>
        <v/>
      </c>
      <c r="Z866" s="642" t="str">
        <f t="shared" si="41"/>
        <v/>
      </c>
    </row>
    <row r="867" spans="1:26" s="127" customFormat="1" ht="25">
      <c r="A867" s="636">
        <v>54034</v>
      </c>
      <c r="B867" s="637" t="s">
        <v>33</v>
      </c>
      <c r="C867" s="636" t="s">
        <v>2725</v>
      </c>
      <c r="D867" s="637" t="s">
        <v>18</v>
      </c>
      <c r="E867" s="637" t="s">
        <v>1871</v>
      </c>
      <c r="F867" s="636">
        <v>6838</v>
      </c>
      <c r="G867" s="637" t="s">
        <v>57</v>
      </c>
      <c r="H867" s="637" t="s">
        <v>1162</v>
      </c>
      <c r="I867" s="637" t="s">
        <v>58</v>
      </c>
      <c r="J867" s="636">
        <v>22</v>
      </c>
      <c r="K867" s="636">
        <v>2</v>
      </c>
      <c r="L867" s="637" t="s">
        <v>52</v>
      </c>
      <c r="M867" s="637" t="s">
        <v>38</v>
      </c>
      <c r="N867" s="637" t="s">
        <v>46</v>
      </c>
      <c r="O867" s="637" t="s">
        <v>46</v>
      </c>
      <c r="P867" s="637" t="s">
        <v>47</v>
      </c>
      <c r="Q867" s="638">
        <v>0</v>
      </c>
      <c r="R867" s="638">
        <v>0</v>
      </c>
      <c r="S867" s="638">
        <v>0</v>
      </c>
      <c r="T867" s="638">
        <v>0</v>
      </c>
      <c r="U867" s="638">
        <v>0</v>
      </c>
      <c r="V867" s="636">
        <v>2022</v>
      </c>
      <c r="W867" s="640" t="s">
        <v>3934</v>
      </c>
      <c r="X867" s="641" t="str">
        <f t="shared" si="39"/>
        <v/>
      </c>
      <c r="Y867" s="642" t="str">
        <f t="shared" si="40"/>
        <v/>
      </c>
      <c r="Z867" s="642" t="str">
        <f t="shared" si="41"/>
        <v/>
      </c>
    </row>
    <row r="868" spans="1:26" s="127" customFormat="1" ht="25">
      <c r="A868" s="636">
        <v>54034</v>
      </c>
      <c r="B868" s="637" t="s">
        <v>33</v>
      </c>
      <c r="C868" s="636" t="s">
        <v>2725</v>
      </c>
      <c r="D868" s="637" t="s">
        <v>18</v>
      </c>
      <c r="E868" s="637" t="s">
        <v>1871</v>
      </c>
      <c r="F868" s="636">
        <v>6838</v>
      </c>
      <c r="G868" s="637" t="s">
        <v>57</v>
      </c>
      <c r="H868" s="637" t="s">
        <v>1162</v>
      </c>
      <c r="I868" s="637" t="s">
        <v>58</v>
      </c>
      <c r="J868" s="636">
        <v>22</v>
      </c>
      <c r="K868" s="636">
        <v>2</v>
      </c>
      <c r="L868" s="637" t="s">
        <v>52</v>
      </c>
      <c r="M868" s="637" t="s">
        <v>38</v>
      </c>
      <c r="N868" s="637" t="s">
        <v>39</v>
      </c>
      <c r="O868" s="637" t="s">
        <v>39</v>
      </c>
      <c r="P868" s="637" t="s">
        <v>1020</v>
      </c>
      <c r="Q868" s="638">
        <v>52840</v>
      </c>
      <c r="R868" s="638">
        <v>52840</v>
      </c>
      <c r="S868" s="638">
        <v>54371</v>
      </c>
      <c r="T868" s="638">
        <v>54371</v>
      </c>
      <c r="U868" s="638">
        <v>23771</v>
      </c>
      <c r="V868" s="636">
        <v>2022</v>
      </c>
      <c r="W868" s="640" t="s">
        <v>3934</v>
      </c>
      <c r="X868" s="641">
        <f t="shared" si="39"/>
        <v>2.2872828236085989</v>
      </c>
      <c r="Y868" s="642" t="str">
        <f t="shared" si="40"/>
        <v/>
      </c>
      <c r="Z868" s="642" t="str">
        <f t="shared" si="41"/>
        <v/>
      </c>
    </row>
    <row r="869" spans="1:26" s="127" customFormat="1" ht="25">
      <c r="A869" s="636">
        <v>54034</v>
      </c>
      <c r="B869" s="637" t="s">
        <v>33</v>
      </c>
      <c r="C869" s="636" t="s">
        <v>2725</v>
      </c>
      <c r="D869" s="637" t="s">
        <v>18</v>
      </c>
      <c r="E869" s="637" t="s">
        <v>1871</v>
      </c>
      <c r="F869" s="636">
        <v>6838</v>
      </c>
      <c r="G869" s="637" t="s">
        <v>57</v>
      </c>
      <c r="H869" s="637" t="s">
        <v>1162</v>
      </c>
      <c r="I869" s="637" t="s">
        <v>58</v>
      </c>
      <c r="J869" s="636">
        <v>22</v>
      </c>
      <c r="K869" s="636">
        <v>2</v>
      </c>
      <c r="L869" s="637" t="s">
        <v>52</v>
      </c>
      <c r="M869" s="637" t="s">
        <v>41</v>
      </c>
      <c r="N869" s="637" t="s">
        <v>46</v>
      </c>
      <c r="O869" s="637" t="s">
        <v>46</v>
      </c>
      <c r="P869" s="637" t="s">
        <v>47</v>
      </c>
      <c r="Q869" s="638">
        <v>0</v>
      </c>
      <c r="R869" s="638">
        <v>0</v>
      </c>
      <c r="S869" s="638">
        <v>0</v>
      </c>
      <c r="T869" s="638">
        <v>0</v>
      </c>
      <c r="U869" s="638">
        <v>0</v>
      </c>
      <c r="V869" s="636">
        <v>2022</v>
      </c>
      <c r="W869" s="640" t="s">
        <v>3934</v>
      </c>
      <c r="X869" s="641" t="str">
        <f t="shared" si="39"/>
        <v/>
      </c>
      <c r="Y869" s="642" t="str">
        <f t="shared" si="40"/>
        <v/>
      </c>
      <c r="Z869" s="642" t="str">
        <f t="shared" si="41"/>
        <v/>
      </c>
    </row>
    <row r="870" spans="1:26" s="127" customFormat="1" ht="25">
      <c r="A870" s="636">
        <v>54034</v>
      </c>
      <c r="B870" s="637" t="s">
        <v>33</v>
      </c>
      <c r="C870" s="636" t="s">
        <v>2725</v>
      </c>
      <c r="D870" s="637" t="s">
        <v>18</v>
      </c>
      <c r="E870" s="637" t="s">
        <v>1871</v>
      </c>
      <c r="F870" s="636">
        <v>6838</v>
      </c>
      <c r="G870" s="637" t="s">
        <v>57</v>
      </c>
      <c r="H870" s="637" t="s">
        <v>1162</v>
      </c>
      <c r="I870" s="637" t="s">
        <v>58</v>
      </c>
      <c r="J870" s="636">
        <v>22</v>
      </c>
      <c r="K870" s="636">
        <v>2</v>
      </c>
      <c r="L870" s="637" t="s">
        <v>52</v>
      </c>
      <c r="M870" s="637" t="s">
        <v>41</v>
      </c>
      <c r="N870" s="637" t="s">
        <v>39</v>
      </c>
      <c r="O870" s="637" t="s">
        <v>39</v>
      </c>
      <c r="P870" s="637" t="s">
        <v>1020</v>
      </c>
      <c r="Q870" s="638">
        <v>562542</v>
      </c>
      <c r="R870" s="638">
        <v>562542</v>
      </c>
      <c r="S870" s="638">
        <v>578861</v>
      </c>
      <c r="T870" s="638">
        <v>578861</v>
      </c>
      <c r="U870" s="638">
        <v>47684</v>
      </c>
      <c r="V870" s="636">
        <v>2022</v>
      </c>
      <c r="W870" s="640" t="s">
        <v>3934</v>
      </c>
      <c r="X870" s="641">
        <f t="shared" si="39"/>
        <v>12.139522691049409</v>
      </c>
      <c r="Y870" s="642" t="str">
        <f t="shared" si="40"/>
        <v/>
      </c>
      <c r="Z870" s="642" t="str">
        <f t="shared" si="41"/>
        <v/>
      </c>
    </row>
    <row r="871" spans="1:26" s="127" customFormat="1" ht="25">
      <c r="A871" s="636">
        <v>54041</v>
      </c>
      <c r="B871" s="637" t="s">
        <v>54</v>
      </c>
      <c r="C871" s="636" t="s">
        <v>2725</v>
      </c>
      <c r="D871" s="637" t="s">
        <v>19</v>
      </c>
      <c r="E871" s="637" t="s">
        <v>19</v>
      </c>
      <c r="F871" s="636">
        <v>11127</v>
      </c>
      <c r="G871" s="637" t="s">
        <v>57</v>
      </c>
      <c r="H871" s="637" t="s">
        <v>1162</v>
      </c>
      <c r="I871" s="637" t="s">
        <v>58</v>
      </c>
      <c r="J871" s="636">
        <v>22</v>
      </c>
      <c r="K871" s="636">
        <v>3</v>
      </c>
      <c r="L871" s="637" t="s">
        <v>55</v>
      </c>
      <c r="M871" s="637" t="s">
        <v>38</v>
      </c>
      <c r="N871" s="637" t="s">
        <v>46</v>
      </c>
      <c r="O871" s="637" t="s">
        <v>46</v>
      </c>
      <c r="P871" s="637" t="s">
        <v>47</v>
      </c>
      <c r="Q871" s="638">
        <v>0</v>
      </c>
      <c r="R871" s="638">
        <v>0</v>
      </c>
      <c r="S871" s="638">
        <v>0</v>
      </c>
      <c r="T871" s="638">
        <v>0</v>
      </c>
      <c r="U871" s="638">
        <v>0</v>
      </c>
      <c r="V871" s="636">
        <v>2022</v>
      </c>
      <c r="W871" s="640"/>
      <c r="X871" s="641" t="str">
        <f t="shared" si="39"/>
        <v/>
      </c>
      <c r="Y871" s="642" t="str">
        <f t="shared" si="40"/>
        <v/>
      </c>
      <c r="Z871" s="642" t="str">
        <f t="shared" si="41"/>
        <v/>
      </c>
    </row>
    <row r="872" spans="1:26" s="127" customFormat="1" ht="25">
      <c r="A872" s="636">
        <v>54041</v>
      </c>
      <c r="B872" s="637" t="s">
        <v>54</v>
      </c>
      <c r="C872" s="636" t="s">
        <v>2725</v>
      </c>
      <c r="D872" s="637" t="s">
        <v>19</v>
      </c>
      <c r="E872" s="637" t="s">
        <v>19</v>
      </c>
      <c r="F872" s="636">
        <v>11127</v>
      </c>
      <c r="G872" s="637" t="s">
        <v>57</v>
      </c>
      <c r="H872" s="637" t="s">
        <v>1162</v>
      </c>
      <c r="I872" s="637" t="s">
        <v>58</v>
      </c>
      <c r="J872" s="636">
        <v>22</v>
      </c>
      <c r="K872" s="636">
        <v>3</v>
      </c>
      <c r="L872" s="637" t="s">
        <v>55</v>
      </c>
      <c r="M872" s="637" t="s">
        <v>38</v>
      </c>
      <c r="N872" s="637" t="s">
        <v>39</v>
      </c>
      <c r="O872" s="637" t="s">
        <v>39</v>
      </c>
      <c r="P872" s="637" t="s">
        <v>1020</v>
      </c>
      <c r="Q872" s="638">
        <v>0</v>
      </c>
      <c r="R872" s="638">
        <v>0</v>
      </c>
      <c r="S872" s="638">
        <v>0</v>
      </c>
      <c r="T872" s="638">
        <v>0</v>
      </c>
      <c r="U872" s="638">
        <v>64416.73</v>
      </c>
      <c r="V872" s="636">
        <v>2022</v>
      </c>
      <c r="W872" s="640"/>
      <c r="X872" s="641" t="str">
        <f t="shared" si="39"/>
        <v/>
      </c>
      <c r="Y872" s="642" t="str">
        <f t="shared" si="40"/>
        <v/>
      </c>
      <c r="Z872" s="642" t="str">
        <f t="shared" si="41"/>
        <v/>
      </c>
    </row>
    <row r="873" spans="1:26" s="127" customFormat="1" ht="25">
      <c r="A873" s="636">
        <v>54041</v>
      </c>
      <c r="B873" s="637" t="s">
        <v>54</v>
      </c>
      <c r="C873" s="636" t="s">
        <v>2725</v>
      </c>
      <c r="D873" s="637" t="s">
        <v>19</v>
      </c>
      <c r="E873" s="637" t="s">
        <v>19</v>
      </c>
      <c r="F873" s="636">
        <v>11127</v>
      </c>
      <c r="G873" s="637" t="s">
        <v>57</v>
      </c>
      <c r="H873" s="637" t="s">
        <v>1162</v>
      </c>
      <c r="I873" s="637" t="s">
        <v>58</v>
      </c>
      <c r="J873" s="636">
        <v>22</v>
      </c>
      <c r="K873" s="636">
        <v>3</v>
      </c>
      <c r="L873" s="637" t="s">
        <v>55</v>
      </c>
      <c r="M873" s="637" t="s">
        <v>41</v>
      </c>
      <c r="N873" s="637" t="s">
        <v>46</v>
      </c>
      <c r="O873" s="637" t="s">
        <v>46</v>
      </c>
      <c r="P873" s="637" t="s">
        <v>47</v>
      </c>
      <c r="Q873" s="638">
        <v>0</v>
      </c>
      <c r="R873" s="638">
        <v>0</v>
      </c>
      <c r="S873" s="638">
        <v>0</v>
      </c>
      <c r="T873" s="638">
        <v>0</v>
      </c>
      <c r="U873" s="638">
        <v>0</v>
      </c>
      <c r="V873" s="636">
        <v>2022</v>
      </c>
      <c r="W873" s="640"/>
      <c r="X873" s="641" t="str">
        <f t="shared" si="39"/>
        <v/>
      </c>
      <c r="Y873" s="642" t="str">
        <f t="shared" si="40"/>
        <v/>
      </c>
      <c r="Z873" s="642" t="str">
        <f t="shared" si="41"/>
        <v/>
      </c>
    </row>
    <row r="874" spans="1:26" s="127" customFormat="1" ht="25">
      <c r="A874" s="636">
        <v>54041</v>
      </c>
      <c r="B874" s="637" t="s">
        <v>54</v>
      </c>
      <c r="C874" s="636" t="s">
        <v>2725</v>
      </c>
      <c r="D874" s="637" t="s">
        <v>19</v>
      </c>
      <c r="E874" s="637" t="s">
        <v>19</v>
      </c>
      <c r="F874" s="636">
        <v>11127</v>
      </c>
      <c r="G874" s="637" t="s">
        <v>57</v>
      </c>
      <c r="H874" s="637" t="s">
        <v>1162</v>
      </c>
      <c r="I874" s="637" t="s">
        <v>58</v>
      </c>
      <c r="J874" s="636">
        <v>22</v>
      </c>
      <c r="K874" s="636">
        <v>3</v>
      </c>
      <c r="L874" s="637" t="s">
        <v>55</v>
      </c>
      <c r="M874" s="637" t="s">
        <v>41</v>
      </c>
      <c r="N874" s="637" t="s">
        <v>39</v>
      </c>
      <c r="O874" s="637" t="s">
        <v>39</v>
      </c>
      <c r="P874" s="637" t="s">
        <v>1020</v>
      </c>
      <c r="Q874" s="638">
        <v>1684437</v>
      </c>
      <c r="R874" s="638">
        <v>1684437</v>
      </c>
      <c r="S874" s="638">
        <v>1738340</v>
      </c>
      <c r="T874" s="638">
        <v>1738340</v>
      </c>
      <c r="U874" s="638">
        <v>130088.64</v>
      </c>
      <c r="V874" s="636">
        <v>2022</v>
      </c>
      <c r="W874" s="640"/>
      <c r="X874" s="641">
        <f t="shared" si="39"/>
        <v>13.362734824501201</v>
      </c>
      <c r="Y874" s="642" t="str">
        <f t="shared" si="40"/>
        <v/>
      </c>
      <c r="Z874" s="642" t="str">
        <f t="shared" si="41"/>
        <v/>
      </c>
    </row>
    <row r="875" spans="1:26" s="127" customFormat="1" ht="25">
      <c r="A875" s="636">
        <v>54076</v>
      </c>
      <c r="B875" s="637" t="s">
        <v>54</v>
      </c>
      <c r="C875" s="636" t="s">
        <v>2725</v>
      </c>
      <c r="D875" s="637" t="s">
        <v>930</v>
      </c>
      <c r="E875" s="637" t="s">
        <v>931</v>
      </c>
      <c r="F875" s="636">
        <v>9261</v>
      </c>
      <c r="G875" s="637" t="s">
        <v>57</v>
      </c>
      <c r="H875" s="637" t="s">
        <v>1162</v>
      </c>
      <c r="I875" s="637" t="s">
        <v>58</v>
      </c>
      <c r="J875" s="636">
        <v>22</v>
      </c>
      <c r="K875" s="636">
        <v>3</v>
      </c>
      <c r="L875" s="637" t="s">
        <v>55</v>
      </c>
      <c r="M875" s="637" t="s">
        <v>38</v>
      </c>
      <c r="N875" s="637" t="s">
        <v>46</v>
      </c>
      <c r="O875" s="637" t="s">
        <v>46</v>
      </c>
      <c r="P875" s="637" t="s">
        <v>47</v>
      </c>
      <c r="Q875" s="638">
        <v>0</v>
      </c>
      <c r="R875" s="638">
        <v>0</v>
      </c>
      <c r="S875" s="638">
        <v>0</v>
      </c>
      <c r="T875" s="638">
        <v>0</v>
      </c>
      <c r="U875" s="638">
        <v>153.518</v>
      </c>
      <c r="V875" s="636">
        <v>2022</v>
      </c>
      <c r="W875" s="640"/>
      <c r="X875" s="641" t="str">
        <f t="shared" si="39"/>
        <v/>
      </c>
      <c r="Y875" s="642" t="str">
        <f t="shared" si="40"/>
        <v/>
      </c>
      <c r="Z875" s="642" t="str">
        <f t="shared" si="41"/>
        <v/>
      </c>
    </row>
    <row r="876" spans="1:26" s="127" customFormat="1" ht="25">
      <c r="A876" s="636">
        <v>54076</v>
      </c>
      <c r="B876" s="637" t="s">
        <v>54</v>
      </c>
      <c r="C876" s="636" t="s">
        <v>2725</v>
      </c>
      <c r="D876" s="637" t="s">
        <v>930</v>
      </c>
      <c r="E876" s="637" t="s">
        <v>931</v>
      </c>
      <c r="F876" s="636">
        <v>9261</v>
      </c>
      <c r="G876" s="637" t="s">
        <v>57</v>
      </c>
      <c r="H876" s="637" t="s">
        <v>1162</v>
      </c>
      <c r="I876" s="637" t="s">
        <v>58</v>
      </c>
      <c r="J876" s="636">
        <v>22</v>
      </c>
      <c r="K876" s="636">
        <v>3</v>
      </c>
      <c r="L876" s="637" t="s">
        <v>55</v>
      </c>
      <c r="M876" s="637" t="s">
        <v>38</v>
      </c>
      <c r="N876" s="637" t="s">
        <v>39</v>
      </c>
      <c r="O876" s="637" t="s">
        <v>39</v>
      </c>
      <c r="P876" s="637" t="s">
        <v>1020</v>
      </c>
      <c r="Q876" s="638">
        <v>213694</v>
      </c>
      <c r="R876" s="638">
        <v>213694</v>
      </c>
      <c r="S876" s="638">
        <v>227213</v>
      </c>
      <c r="T876" s="638">
        <v>227213</v>
      </c>
      <c r="U876" s="638">
        <v>44796.482000000004</v>
      </c>
      <c r="V876" s="636">
        <v>2022</v>
      </c>
      <c r="W876" s="640"/>
      <c r="X876" s="641">
        <f t="shared" si="39"/>
        <v>5.0721170470484713</v>
      </c>
      <c r="Y876" s="642" t="str">
        <f t="shared" si="40"/>
        <v/>
      </c>
      <c r="Z876" s="642" t="str">
        <f t="shared" si="41"/>
        <v/>
      </c>
    </row>
    <row r="877" spans="1:26" s="127" customFormat="1" ht="25">
      <c r="A877" s="636">
        <v>54076</v>
      </c>
      <c r="B877" s="637" t="s">
        <v>54</v>
      </c>
      <c r="C877" s="636" t="s">
        <v>2725</v>
      </c>
      <c r="D877" s="637" t="s">
        <v>930</v>
      </c>
      <c r="E877" s="637" t="s">
        <v>931</v>
      </c>
      <c r="F877" s="636">
        <v>9261</v>
      </c>
      <c r="G877" s="637" t="s">
        <v>57</v>
      </c>
      <c r="H877" s="637" t="s">
        <v>1162</v>
      </c>
      <c r="I877" s="637" t="s">
        <v>58</v>
      </c>
      <c r="J877" s="636">
        <v>22</v>
      </c>
      <c r="K877" s="636">
        <v>3</v>
      </c>
      <c r="L877" s="637" t="s">
        <v>55</v>
      </c>
      <c r="M877" s="637" t="s">
        <v>41</v>
      </c>
      <c r="N877" s="637" t="s">
        <v>46</v>
      </c>
      <c r="O877" s="637" t="s">
        <v>46</v>
      </c>
      <c r="P877" s="637" t="s">
        <v>47</v>
      </c>
      <c r="Q877" s="638">
        <v>516</v>
      </c>
      <c r="R877" s="638">
        <v>516</v>
      </c>
      <c r="S877" s="638">
        <v>2936</v>
      </c>
      <c r="T877" s="638">
        <v>2936</v>
      </c>
      <c r="U877" s="638">
        <v>254.761</v>
      </c>
      <c r="V877" s="636">
        <v>2022</v>
      </c>
      <c r="W877" s="640"/>
      <c r="X877" s="641">
        <f t="shared" si="39"/>
        <v>11.524526909534819</v>
      </c>
      <c r="Y877" s="642" t="str">
        <f t="shared" si="40"/>
        <v/>
      </c>
      <c r="Z877" s="642" t="str">
        <f t="shared" si="41"/>
        <v/>
      </c>
    </row>
    <row r="878" spans="1:26" s="127" customFormat="1" ht="25">
      <c r="A878" s="636">
        <v>54076</v>
      </c>
      <c r="B878" s="637" t="s">
        <v>54</v>
      </c>
      <c r="C878" s="636" t="s">
        <v>2725</v>
      </c>
      <c r="D878" s="637" t="s">
        <v>930</v>
      </c>
      <c r="E878" s="637" t="s">
        <v>931</v>
      </c>
      <c r="F878" s="636">
        <v>9261</v>
      </c>
      <c r="G878" s="637" t="s">
        <v>57</v>
      </c>
      <c r="H878" s="637" t="s">
        <v>1162</v>
      </c>
      <c r="I878" s="637" t="s">
        <v>58</v>
      </c>
      <c r="J878" s="636">
        <v>22</v>
      </c>
      <c r="K878" s="636">
        <v>3</v>
      </c>
      <c r="L878" s="637" t="s">
        <v>55</v>
      </c>
      <c r="M878" s="637" t="s">
        <v>41</v>
      </c>
      <c r="N878" s="637" t="s">
        <v>39</v>
      </c>
      <c r="O878" s="637" t="s">
        <v>39</v>
      </c>
      <c r="P878" s="637" t="s">
        <v>1020</v>
      </c>
      <c r="Q878" s="638">
        <v>631395</v>
      </c>
      <c r="R878" s="638">
        <v>626887</v>
      </c>
      <c r="S878" s="638">
        <v>671486</v>
      </c>
      <c r="T878" s="638">
        <v>666727</v>
      </c>
      <c r="U878" s="638">
        <v>55287.239000000001</v>
      </c>
      <c r="V878" s="636">
        <v>2022</v>
      </c>
      <c r="W878" s="640"/>
      <c r="X878" s="641">
        <f t="shared" si="39"/>
        <v>12.059328916750571</v>
      </c>
      <c r="Y878" s="642" t="str">
        <f t="shared" si="40"/>
        <v/>
      </c>
      <c r="Z878" s="642" t="str">
        <f t="shared" si="41"/>
        <v/>
      </c>
    </row>
    <row r="879" spans="1:26" s="127" customFormat="1" ht="37.5" hidden="1">
      <c r="A879" s="636">
        <v>54085</v>
      </c>
      <c r="B879" s="637" t="s">
        <v>54</v>
      </c>
      <c r="C879" s="636" t="s">
        <v>2725</v>
      </c>
      <c r="D879" s="637" t="s">
        <v>422</v>
      </c>
      <c r="E879" s="637" t="s">
        <v>3032</v>
      </c>
      <c r="F879" s="636">
        <v>55738</v>
      </c>
      <c r="G879" s="637" t="s">
        <v>90</v>
      </c>
      <c r="H879" s="637" t="s">
        <v>1163</v>
      </c>
      <c r="I879" s="637" t="s">
        <v>58</v>
      </c>
      <c r="J879" s="636">
        <v>322</v>
      </c>
      <c r="K879" s="636">
        <v>7</v>
      </c>
      <c r="L879" s="637" t="s">
        <v>403</v>
      </c>
      <c r="M879" s="637" t="s">
        <v>42</v>
      </c>
      <c r="N879" s="637" t="s">
        <v>151</v>
      </c>
      <c r="O879" s="637" t="s">
        <v>70</v>
      </c>
      <c r="P879" s="637" t="s">
        <v>45</v>
      </c>
      <c r="Q879" s="638">
        <v>0</v>
      </c>
      <c r="R879" s="638">
        <v>0</v>
      </c>
      <c r="S879" s="638">
        <v>0</v>
      </c>
      <c r="T879" s="638">
        <v>0</v>
      </c>
      <c r="U879" s="638">
        <v>35252.773999999998</v>
      </c>
      <c r="V879" s="636">
        <v>2022</v>
      </c>
      <c r="W879" s="640"/>
      <c r="X879" s="641" t="str">
        <f t="shared" si="39"/>
        <v/>
      </c>
      <c r="Y879" s="642" t="str">
        <f t="shared" si="40"/>
        <v/>
      </c>
      <c r="Z879" s="642" t="str">
        <f t="shared" si="41"/>
        <v/>
      </c>
    </row>
    <row r="880" spans="1:26" s="127" customFormat="1" ht="37.5" hidden="1">
      <c r="A880" s="636">
        <v>54085</v>
      </c>
      <c r="B880" s="637" t="s">
        <v>54</v>
      </c>
      <c r="C880" s="636" t="s">
        <v>2725</v>
      </c>
      <c r="D880" s="637" t="s">
        <v>422</v>
      </c>
      <c r="E880" s="637" t="s">
        <v>3032</v>
      </c>
      <c r="F880" s="636">
        <v>55738</v>
      </c>
      <c r="G880" s="637" t="s">
        <v>90</v>
      </c>
      <c r="H880" s="637" t="s">
        <v>1163</v>
      </c>
      <c r="I880" s="637" t="s">
        <v>58</v>
      </c>
      <c r="J880" s="636">
        <v>322</v>
      </c>
      <c r="K880" s="636">
        <v>7</v>
      </c>
      <c r="L880" s="637" t="s">
        <v>403</v>
      </c>
      <c r="M880" s="637" t="s">
        <v>42</v>
      </c>
      <c r="N880" s="637" t="s">
        <v>76</v>
      </c>
      <c r="O880" s="637" t="s">
        <v>67</v>
      </c>
      <c r="P880" s="637" t="s">
        <v>47</v>
      </c>
      <c r="Q880" s="638">
        <v>0</v>
      </c>
      <c r="R880" s="638">
        <v>0</v>
      </c>
      <c r="S880" s="638">
        <v>0</v>
      </c>
      <c r="T880" s="638">
        <v>0</v>
      </c>
      <c r="U880" s="638">
        <v>0</v>
      </c>
      <c r="V880" s="636">
        <v>2022</v>
      </c>
      <c r="W880" s="640"/>
      <c r="X880" s="641" t="str">
        <f t="shared" si="39"/>
        <v/>
      </c>
      <c r="Y880" s="642" t="str">
        <f t="shared" si="40"/>
        <v/>
      </c>
      <c r="Z880" s="642" t="str">
        <f t="shared" si="41"/>
        <v/>
      </c>
    </row>
    <row r="881" spans="1:26" s="127" customFormat="1" ht="37.5" hidden="1">
      <c r="A881" s="636">
        <v>54085</v>
      </c>
      <c r="B881" s="637" t="s">
        <v>54</v>
      </c>
      <c r="C881" s="636" t="s">
        <v>2725</v>
      </c>
      <c r="D881" s="637" t="s">
        <v>422</v>
      </c>
      <c r="E881" s="637" t="s">
        <v>3032</v>
      </c>
      <c r="F881" s="636">
        <v>55738</v>
      </c>
      <c r="G881" s="637" t="s">
        <v>90</v>
      </c>
      <c r="H881" s="637" t="s">
        <v>1163</v>
      </c>
      <c r="I881" s="637" t="s">
        <v>58</v>
      </c>
      <c r="J881" s="636">
        <v>322</v>
      </c>
      <c r="K881" s="636">
        <v>7</v>
      </c>
      <c r="L881" s="637" t="s">
        <v>403</v>
      </c>
      <c r="M881" s="637" t="s">
        <v>42</v>
      </c>
      <c r="N881" s="637" t="s">
        <v>39</v>
      </c>
      <c r="O881" s="637" t="s">
        <v>39</v>
      </c>
      <c r="P881" s="637" t="s">
        <v>1020</v>
      </c>
      <c r="Q881" s="638">
        <v>0</v>
      </c>
      <c r="R881" s="638">
        <v>0</v>
      </c>
      <c r="S881" s="638">
        <v>0</v>
      </c>
      <c r="T881" s="638">
        <v>0</v>
      </c>
      <c r="U881" s="638">
        <v>48153.277999999998</v>
      </c>
      <c r="V881" s="636">
        <v>2022</v>
      </c>
      <c r="W881" s="640"/>
      <c r="X881" s="641" t="str">
        <f t="shared" si="39"/>
        <v/>
      </c>
      <c r="Y881" s="642" t="str">
        <f t="shared" si="40"/>
        <v/>
      </c>
      <c r="Z881" s="642" t="str">
        <f t="shared" si="41"/>
        <v/>
      </c>
    </row>
    <row r="882" spans="1:26" s="127" customFormat="1" ht="37.5" hidden="1">
      <c r="A882" s="636">
        <v>54085</v>
      </c>
      <c r="B882" s="637" t="s">
        <v>54</v>
      </c>
      <c r="C882" s="636" t="s">
        <v>2725</v>
      </c>
      <c r="D882" s="637" t="s">
        <v>422</v>
      </c>
      <c r="E882" s="637" t="s">
        <v>3032</v>
      </c>
      <c r="F882" s="636">
        <v>55738</v>
      </c>
      <c r="G882" s="637" t="s">
        <v>90</v>
      </c>
      <c r="H882" s="637" t="s">
        <v>1163</v>
      </c>
      <c r="I882" s="637" t="s">
        <v>58</v>
      </c>
      <c r="J882" s="636">
        <v>322</v>
      </c>
      <c r="K882" s="636">
        <v>7</v>
      </c>
      <c r="L882" s="637" t="s">
        <v>403</v>
      </c>
      <c r="M882" s="637" t="s">
        <v>42</v>
      </c>
      <c r="N882" s="637" t="s">
        <v>61</v>
      </c>
      <c r="O882" s="637" t="s">
        <v>61</v>
      </c>
      <c r="P882" s="637" t="s">
        <v>47</v>
      </c>
      <c r="Q882" s="638">
        <v>0</v>
      </c>
      <c r="R882" s="638">
        <v>0</v>
      </c>
      <c r="S882" s="638">
        <v>0</v>
      </c>
      <c r="T882" s="638">
        <v>0</v>
      </c>
      <c r="U882" s="638">
        <v>0</v>
      </c>
      <c r="V882" s="636">
        <v>2022</v>
      </c>
      <c r="W882" s="640"/>
      <c r="X882" s="641" t="str">
        <f t="shared" si="39"/>
        <v/>
      </c>
      <c r="Y882" s="642" t="str">
        <f t="shared" si="40"/>
        <v/>
      </c>
      <c r="Z882" s="642" t="str">
        <f t="shared" si="41"/>
        <v/>
      </c>
    </row>
    <row r="883" spans="1:26" s="127" customFormat="1" ht="37.5" hidden="1">
      <c r="A883" s="636">
        <v>54085</v>
      </c>
      <c r="B883" s="637" t="s">
        <v>54</v>
      </c>
      <c r="C883" s="636" t="s">
        <v>2725</v>
      </c>
      <c r="D883" s="637" t="s">
        <v>422</v>
      </c>
      <c r="E883" s="637" t="s">
        <v>3032</v>
      </c>
      <c r="F883" s="636">
        <v>55738</v>
      </c>
      <c r="G883" s="637" t="s">
        <v>90</v>
      </c>
      <c r="H883" s="637" t="s">
        <v>1163</v>
      </c>
      <c r="I883" s="637" t="s">
        <v>58</v>
      </c>
      <c r="J883" s="636">
        <v>322</v>
      </c>
      <c r="K883" s="636">
        <v>7</v>
      </c>
      <c r="L883" s="637" t="s">
        <v>403</v>
      </c>
      <c r="M883" s="637" t="s">
        <v>42</v>
      </c>
      <c r="N883" s="637" t="s">
        <v>69</v>
      </c>
      <c r="O883" s="637" t="s">
        <v>70</v>
      </c>
      <c r="P883" s="637" t="s">
        <v>45</v>
      </c>
      <c r="Q883" s="638">
        <v>0</v>
      </c>
      <c r="R883" s="638">
        <v>0</v>
      </c>
      <c r="S883" s="638">
        <v>0</v>
      </c>
      <c r="T883" s="638">
        <v>0</v>
      </c>
      <c r="U883" s="638">
        <v>10900.948</v>
      </c>
      <c r="V883" s="636">
        <v>2022</v>
      </c>
      <c r="W883" s="640"/>
      <c r="X883" s="641" t="str">
        <f t="shared" si="39"/>
        <v/>
      </c>
      <c r="Y883" s="642" t="str">
        <f t="shared" si="40"/>
        <v/>
      </c>
      <c r="Z883" s="642" t="str">
        <f t="shared" si="41"/>
        <v/>
      </c>
    </row>
    <row r="884" spans="1:26" s="127" customFormat="1" ht="37.5" hidden="1">
      <c r="A884" s="636">
        <v>54099</v>
      </c>
      <c r="B884" s="637" t="s">
        <v>54</v>
      </c>
      <c r="C884" s="636" t="s">
        <v>2725</v>
      </c>
      <c r="D884" s="637" t="s">
        <v>423</v>
      </c>
      <c r="E884" s="637" t="s">
        <v>424</v>
      </c>
      <c r="F884" s="636">
        <v>9350</v>
      </c>
      <c r="G884" s="637" t="s">
        <v>57</v>
      </c>
      <c r="H884" s="637" t="s">
        <v>1162</v>
      </c>
      <c r="I884" s="637" t="s">
        <v>58</v>
      </c>
      <c r="J884" s="636">
        <v>322122</v>
      </c>
      <c r="K884" s="636">
        <v>7</v>
      </c>
      <c r="L884" s="637" t="s">
        <v>403</v>
      </c>
      <c r="M884" s="637" t="s">
        <v>42</v>
      </c>
      <c r="N884" s="637" t="s">
        <v>151</v>
      </c>
      <c r="O884" s="637" t="s">
        <v>70</v>
      </c>
      <c r="P884" s="637" t="s">
        <v>45</v>
      </c>
      <c r="Q884" s="638">
        <v>197689</v>
      </c>
      <c r="R884" s="638">
        <v>50730</v>
      </c>
      <c r="S884" s="638">
        <v>1673636</v>
      </c>
      <c r="T884" s="638">
        <v>429479</v>
      </c>
      <c r="U884" s="638">
        <v>75039.913</v>
      </c>
      <c r="V884" s="636">
        <v>2022</v>
      </c>
      <c r="W884" s="640"/>
      <c r="X884" s="641" t="str">
        <f t="shared" si="39"/>
        <v/>
      </c>
      <c r="Y884" s="642" t="str">
        <f t="shared" si="40"/>
        <v/>
      </c>
      <c r="Z884" s="642" t="str">
        <f t="shared" si="41"/>
        <v/>
      </c>
    </row>
    <row r="885" spans="1:26" s="127" customFormat="1" ht="37.5" hidden="1">
      <c r="A885" s="636">
        <v>54099</v>
      </c>
      <c r="B885" s="637" t="s">
        <v>54</v>
      </c>
      <c r="C885" s="636" t="s">
        <v>2725</v>
      </c>
      <c r="D885" s="637" t="s">
        <v>423</v>
      </c>
      <c r="E885" s="637" t="s">
        <v>424</v>
      </c>
      <c r="F885" s="636">
        <v>9350</v>
      </c>
      <c r="G885" s="637" t="s">
        <v>57</v>
      </c>
      <c r="H885" s="637" t="s">
        <v>1162</v>
      </c>
      <c r="I885" s="637" t="s">
        <v>58</v>
      </c>
      <c r="J885" s="636">
        <v>322122</v>
      </c>
      <c r="K885" s="636">
        <v>7</v>
      </c>
      <c r="L885" s="637" t="s">
        <v>403</v>
      </c>
      <c r="M885" s="637" t="s">
        <v>42</v>
      </c>
      <c r="N885" s="637" t="s">
        <v>39</v>
      </c>
      <c r="O885" s="637" t="s">
        <v>39</v>
      </c>
      <c r="P885" s="637" t="s">
        <v>1020</v>
      </c>
      <c r="Q885" s="638">
        <v>2418243</v>
      </c>
      <c r="R885" s="638">
        <v>606593</v>
      </c>
      <c r="S885" s="638">
        <v>2418243</v>
      </c>
      <c r="T885" s="638">
        <v>606593</v>
      </c>
      <c r="U885" s="638">
        <v>105985.53</v>
      </c>
      <c r="V885" s="636">
        <v>2022</v>
      </c>
      <c r="W885" s="640"/>
      <c r="X885" s="641" t="str">
        <f t="shared" si="39"/>
        <v/>
      </c>
      <c r="Y885" s="642" t="str">
        <f t="shared" si="40"/>
        <v/>
      </c>
      <c r="Z885" s="642" t="str">
        <f t="shared" si="41"/>
        <v/>
      </c>
    </row>
    <row r="886" spans="1:26" s="127" customFormat="1" ht="37.5" hidden="1">
      <c r="A886" s="636">
        <v>54099</v>
      </c>
      <c r="B886" s="637" t="s">
        <v>54</v>
      </c>
      <c r="C886" s="636" t="s">
        <v>2725</v>
      </c>
      <c r="D886" s="637" t="s">
        <v>423</v>
      </c>
      <c r="E886" s="637" t="s">
        <v>424</v>
      </c>
      <c r="F886" s="636">
        <v>9350</v>
      </c>
      <c r="G886" s="637" t="s">
        <v>57</v>
      </c>
      <c r="H886" s="637" t="s">
        <v>1162</v>
      </c>
      <c r="I886" s="637" t="s">
        <v>58</v>
      </c>
      <c r="J886" s="636">
        <v>322122</v>
      </c>
      <c r="K886" s="636">
        <v>7</v>
      </c>
      <c r="L886" s="637" t="s">
        <v>403</v>
      </c>
      <c r="M886" s="637" t="s">
        <v>42</v>
      </c>
      <c r="N886" s="637" t="s">
        <v>1659</v>
      </c>
      <c r="O886" s="637" t="s">
        <v>421</v>
      </c>
      <c r="P886" s="637" t="s">
        <v>1020</v>
      </c>
      <c r="Q886" s="638">
        <v>0</v>
      </c>
      <c r="R886" s="638">
        <v>0</v>
      </c>
      <c r="S886" s="638">
        <v>0</v>
      </c>
      <c r="T886" s="638">
        <v>0</v>
      </c>
      <c r="U886" s="638">
        <v>0</v>
      </c>
      <c r="V886" s="636">
        <v>2022</v>
      </c>
      <c r="W886" s="640"/>
      <c r="X886" s="641" t="str">
        <f t="shared" si="39"/>
        <v/>
      </c>
      <c r="Y886" s="642" t="str">
        <f t="shared" si="40"/>
        <v/>
      </c>
      <c r="Z886" s="642" t="str">
        <f t="shared" si="41"/>
        <v/>
      </c>
    </row>
    <row r="887" spans="1:26" s="127" customFormat="1" ht="37.5" hidden="1">
      <c r="A887" s="636">
        <v>54099</v>
      </c>
      <c r="B887" s="637" t="s">
        <v>54</v>
      </c>
      <c r="C887" s="636" t="s">
        <v>2725</v>
      </c>
      <c r="D887" s="637" t="s">
        <v>423</v>
      </c>
      <c r="E887" s="637" t="s">
        <v>424</v>
      </c>
      <c r="F887" s="636">
        <v>9350</v>
      </c>
      <c r="G887" s="637" t="s">
        <v>57</v>
      </c>
      <c r="H887" s="637" t="s">
        <v>1162</v>
      </c>
      <c r="I887" s="637" t="s">
        <v>58</v>
      </c>
      <c r="J887" s="636">
        <v>322122</v>
      </c>
      <c r="K887" s="636">
        <v>7</v>
      </c>
      <c r="L887" s="637" t="s">
        <v>403</v>
      </c>
      <c r="M887" s="637" t="s">
        <v>42</v>
      </c>
      <c r="N887" s="637" t="s">
        <v>420</v>
      </c>
      <c r="O887" s="637" t="s">
        <v>67</v>
      </c>
      <c r="P887" s="637" t="s">
        <v>1020</v>
      </c>
      <c r="Q887" s="638">
        <v>0</v>
      </c>
      <c r="R887" s="638">
        <v>0</v>
      </c>
      <c r="S887" s="638">
        <v>0</v>
      </c>
      <c r="T887" s="638">
        <v>0</v>
      </c>
      <c r="U887" s="638">
        <v>0</v>
      </c>
      <c r="V887" s="636">
        <v>2022</v>
      </c>
      <c r="W887" s="640"/>
      <c r="X887" s="641" t="str">
        <f t="shared" si="39"/>
        <v/>
      </c>
      <c r="Y887" s="642" t="str">
        <f t="shared" si="40"/>
        <v/>
      </c>
      <c r="Z887" s="642" t="str">
        <f t="shared" si="41"/>
        <v/>
      </c>
    </row>
    <row r="888" spans="1:26" s="127" customFormat="1" ht="37.5" hidden="1">
      <c r="A888" s="636">
        <v>54099</v>
      </c>
      <c r="B888" s="637" t="s">
        <v>54</v>
      </c>
      <c r="C888" s="636" t="s">
        <v>2725</v>
      </c>
      <c r="D888" s="637" t="s">
        <v>423</v>
      </c>
      <c r="E888" s="637" t="s">
        <v>424</v>
      </c>
      <c r="F888" s="636">
        <v>9350</v>
      </c>
      <c r="G888" s="637" t="s">
        <v>57</v>
      </c>
      <c r="H888" s="637" t="s">
        <v>1162</v>
      </c>
      <c r="I888" s="637" t="s">
        <v>58</v>
      </c>
      <c r="J888" s="636">
        <v>322122</v>
      </c>
      <c r="K888" s="636">
        <v>7</v>
      </c>
      <c r="L888" s="637" t="s">
        <v>403</v>
      </c>
      <c r="M888" s="637" t="s">
        <v>42</v>
      </c>
      <c r="N888" s="637" t="s">
        <v>61</v>
      </c>
      <c r="O888" s="637" t="s">
        <v>61</v>
      </c>
      <c r="P888" s="637" t="s">
        <v>47</v>
      </c>
      <c r="Q888" s="638">
        <v>35098</v>
      </c>
      <c r="R888" s="638">
        <v>9149</v>
      </c>
      <c r="S888" s="638">
        <v>222522</v>
      </c>
      <c r="T888" s="638">
        <v>57995</v>
      </c>
      <c r="U888" s="638">
        <v>10133.005999999999</v>
      </c>
      <c r="V888" s="636">
        <v>2022</v>
      </c>
      <c r="W888" s="640"/>
      <c r="X888" s="641" t="str">
        <f t="shared" si="39"/>
        <v/>
      </c>
      <c r="Y888" s="642" t="str">
        <f t="shared" si="40"/>
        <v/>
      </c>
      <c r="Z888" s="642" t="str">
        <f t="shared" si="41"/>
        <v/>
      </c>
    </row>
    <row r="889" spans="1:26" s="127" customFormat="1" ht="37.5" hidden="1">
      <c r="A889" s="636">
        <v>54099</v>
      </c>
      <c r="B889" s="637" t="s">
        <v>54</v>
      </c>
      <c r="C889" s="636" t="s">
        <v>2725</v>
      </c>
      <c r="D889" s="637" t="s">
        <v>423</v>
      </c>
      <c r="E889" s="637" t="s">
        <v>424</v>
      </c>
      <c r="F889" s="636">
        <v>9350</v>
      </c>
      <c r="G889" s="637" t="s">
        <v>57</v>
      </c>
      <c r="H889" s="637" t="s">
        <v>1162</v>
      </c>
      <c r="I889" s="637" t="s">
        <v>58</v>
      </c>
      <c r="J889" s="636">
        <v>322122</v>
      </c>
      <c r="K889" s="636">
        <v>7</v>
      </c>
      <c r="L889" s="637" t="s">
        <v>403</v>
      </c>
      <c r="M889" s="637" t="s">
        <v>42</v>
      </c>
      <c r="N889" s="637" t="s">
        <v>69</v>
      </c>
      <c r="O889" s="637" t="s">
        <v>70</v>
      </c>
      <c r="P889" s="637" t="s">
        <v>45</v>
      </c>
      <c r="Q889" s="638">
        <v>18442</v>
      </c>
      <c r="R889" s="638">
        <v>4802</v>
      </c>
      <c r="S889" s="638">
        <v>156131</v>
      </c>
      <c r="T889" s="638">
        <v>40657</v>
      </c>
      <c r="U889" s="638">
        <v>7103.8239999999996</v>
      </c>
      <c r="V889" s="636">
        <v>2022</v>
      </c>
      <c r="W889" s="640"/>
      <c r="X889" s="641" t="str">
        <f t="shared" si="39"/>
        <v/>
      </c>
      <c r="Y889" s="642" t="str">
        <f t="shared" si="40"/>
        <v/>
      </c>
      <c r="Z889" s="642" t="str">
        <f t="shared" si="41"/>
        <v/>
      </c>
    </row>
    <row r="890" spans="1:26" s="127" customFormat="1" ht="25">
      <c r="A890" s="636">
        <v>54114</v>
      </c>
      <c r="B890" s="637" t="s">
        <v>54</v>
      </c>
      <c r="C890" s="636" t="s">
        <v>2725</v>
      </c>
      <c r="D890" s="637" t="s">
        <v>932</v>
      </c>
      <c r="E890" s="637" t="s">
        <v>933</v>
      </c>
      <c r="F890" s="636">
        <v>10349</v>
      </c>
      <c r="G890" s="637" t="s">
        <v>57</v>
      </c>
      <c r="H890" s="637" t="s">
        <v>1162</v>
      </c>
      <c r="I890" s="637" t="s">
        <v>58</v>
      </c>
      <c r="J890" s="636">
        <v>22</v>
      </c>
      <c r="K890" s="636">
        <v>3</v>
      </c>
      <c r="L890" s="637" t="s">
        <v>55</v>
      </c>
      <c r="M890" s="637" t="s">
        <v>38</v>
      </c>
      <c r="N890" s="637" t="s">
        <v>46</v>
      </c>
      <c r="O890" s="637" t="s">
        <v>46</v>
      </c>
      <c r="P890" s="637" t="s">
        <v>47</v>
      </c>
      <c r="Q890" s="638">
        <v>0</v>
      </c>
      <c r="R890" s="638">
        <v>0</v>
      </c>
      <c r="S890" s="638">
        <v>0</v>
      </c>
      <c r="T890" s="638">
        <v>0</v>
      </c>
      <c r="U890" s="638">
        <v>396.26100000000002</v>
      </c>
      <c r="V890" s="636">
        <v>2022</v>
      </c>
      <c r="W890" s="640"/>
      <c r="X890" s="641" t="str">
        <f t="shared" si="39"/>
        <v/>
      </c>
      <c r="Y890" s="642" t="str">
        <f t="shared" si="40"/>
        <v/>
      </c>
      <c r="Z890" s="642" t="str">
        <f t="shared" si="41"/>
        <v/>
      </c>
    </row>
    <row r="891" spans="1:26" s="127" customFormat="1" ht="25">
      <c r="A891" s="636">
        <v>54114</v>
      </c>
      <c r="B891" s="637" t="s">
        <v>54</v>
      </c>
      <c r="C891" s="636" t="s">
        <v>2725</v>
      </c>
      <c r="D891" s="637" t="s">
        <v>932</v>
      </c>
      <c r="E891" s="637" t="s">
        <v>933</v>
      </c>
      <c r="F891" s="636">
        <v>10349</v>
      </c>
      <c r="G891" s="637" t="s">
        <v>57</v>
      </c>
      <c r="H891" s="637" t="s">
        <v>1162</v>
      </c>
      <c r="I891" s="637" t="s">
        <v>58</v>
      </c>
      <c r="J891" s="636">
        <v>22</v>
      </c>
      <c r="K891" s="636">
        <v>3</v>
      </c>
      <c r="L891" s="637" t="s">
        <v>55</v>
      </c>
      <c r="M891" s="637" t="s">
        <v>38</v>
      </c>
      <c r="N891" s="637" t="s">
        <v>39</v>
      </c>
      <c r="O891" s="637" t="s">
        <v>39</v>
      </c>
      <c r="P891" s="637" t="s">
        <v>1020</v>
      </c>
      <c r="Q891" s="638">
        <v>0</v>
      </c>
      <c r="R891" s="638">
        <v>0</v>
      </c>
      <c r="S891" s="638">
        <v>0</v>
      </c>
      <c r="T891" s="638">
        <v>0</v>
      </c>
      <c r="U891" s="638">
        <v>110661.74</v>
      </c>
      <c r="V891" s="636">
        <v>2022</v>
      </c>
      <c r="W891" s="640"/>
      <c r="X891" s="641" t="str">
        <f t="shared" si="39"/>
        <v/>
      </c>
      <c r="Y891" s="642" t="str">
        <f t="shared" si="40"/>
        <v/>
      </c>
      <c r="Z891" s="642" t="str">
        <f t="shared" si="41"/>
        <v/>
      </c>
    </row>
    <row r="892" spans="1:26" s="127" customFormat="1" ht="25">
      <c r="A892" s="636">
        <v>54114</v>
      </c>
      <c r="B892" s="637" t="s">
        <v>54</v>
      </c>
      <c r="C892" s="636" t="s">
        <v>2725</v>
      </c>
      <c r="D892" s="637" t="s">
        <v>932</v>
      </c>
      <c r="E892" s="637" t="s">
        <v>933</v>
      </c>
      <c r="F892" s="636">
        <v>10349</v>
      </c>
      <c r="G892" s="637" t="s">
        <v>57</v>
      </c>
      <c r="H892" s="637" t="s">
        <v>1162</v>
      </c>
      <c r="I892" s="637" t="s">
        <v>58</v>
      </c>
      <c r="J892" s="636">
        <v>22</v>
      </c>
      <c r="K892" s="636">
        <v>3</v>
      </c>
      <c r="L892" s="637" t="s">
        <v>55</v>
      </c>
      <c r="M892" s="637" t="s">
        <v>41</v>
      </c>
      <c r="N892" s="637" t="s">
        <v>46</v>
      </c>
      <c r="O892" s="637" t="s">
        <v>46</v>
      </c>
      <c r="P892" s="637" t="s">
        <v>47</v>
      </c>
      <c r="Q892" s="638">
        <v>3176</v>
      </c>
      <c r="R892" s="638">
        <v>3176</v>
      </c>
      <c r="S892" s="638">
        <v>17633</v>
      </c>
      <c r="T892" s="638">
        <v>17633</v>
      </c>
      <c r="U892" s="638">
        <v>1653.761</v>
      </c>
      <c r="V892" s="636">
        <v>2022</v>
      </c>
      <c r="W892" s="640"/>
      <c r="X892" s="641">
        <f t="shared" si="39"/>
        <v>10.662362941198879</v>
      </c>
      <c r="Y892" s="642" t="str">
        <f t="shared" si="40"/>
        <v/>
      </c>
      <c r="Z892" s="642" t="str">
        <f t="shared" si="41"/>
        <v/>
      </c>
    </row>
    <row r="893" spans="1:26" s="127" customFormat="1" ht="25">
      <c r="A893" s="636">
        <v>54114</v>
      </c>
      <c r="B893" s="637" t="s">
        <v>54</v>
      </c>
      <c r="C893" s="636" t="s">
        <v>2725</v>
      </c>
      <c r="D893" s="637" t="s">
        <v>932</v>
      </c>
      <c r="E893" s="637" t="s">
        <v>933</v>
      </c>
      <c r="F893" s="636">
        <v>10349</v>
      </c>
      <c r="G893" s="637" t="s">
        <v>57</v>
      </c>
      <c r="H893" s="637" t="s">
        <v>1162</v>
      </c>
      <c r="I893" s="637" t="s">
        <v>58</v>
      </c>
      <c r="J893" s="636">
        <v>22</v>
      </c>
      <c r="K893" s="636">
        <v>3</v>
      </c>
      <c r="L893" s="637" t="s">
        <v>55</v>
      </c>
      <c r="M893" s="637" t="s">
        <v>41</v>
      </c>
      <c r="N893" s="637" t="s">
        <v>39</v>
      </c>
      <c r="O893" s="637" t="s">
        <v>39</v>
      </c>
      <c r="P893" s="637" t="s">
        <v>1020</v>
      </c>
      <c r="Q893" s="638">
        <v>4903003</v>
      </c>
      <c r="R893" s="638">
        <v>4890937</v>
      </c>
      <c r="S893" s="638">
        <v>5089905</v>
      </c>
      <c r="T893" s="638">
        <v>5077380</v>
      </c>
      <c r="U893" s="638">
        <v>444775.24</v>
      </c>
      <c r="V893" s="636">
        <v>2022</v>
      </c>
      <c r="W893" s="640"/>
      <c r="X893" s="641">
        <f t="shared" si="39"/>
        <v>11.415608476766828</v>
      </c>
      <c r="Y893" s="642" t="str">
        <f t="shared" si="40"/>
        <v/>
      </c>
      <c r="Z893" s="642" t="str">
        <f t="shared" si="41"/>
        <v/>
      </c>
    </row>
    <row r="894" spans="1:26" s="127" customFormat="1" ht="25">
      <c r="A894" s="636">
        <v>54123</v>
      </c>
      <c r="B894" s="637" t="s">
        <v>33</v>
      </c>
      <c r="C894" s="636" t="s">
        <v>2725</v>
      </c>
      <c r="D894" s="637" t="s">
        <v>934</v>
      </c>
      <c r="E894" s="637" t="s">
        <v>1044</v>
      </c>
      <c r="F894" s="636">
        <v>56839</v>
      </c>
      <c r="G894" s="637" t="s">
        <v>90</v>
      </c>
      <c r="H894" s="637" t="s">
        <v>1163</v>
      </c>
      <c r="I894" s="637" t="s">
        <v>58</v>
      </c>
      <c r="J894" s="636">
        <v>22</v>
      </c>
      <c r="K894" s="636">
        <v>2</v>
      </c>
      <c r="L894" s="637" t="s">
        <v>52</v>
      </c>
      <c r="M894" s="637" t="s">
        <v>35</v>
      </c>
      <c r="N894" s="637" t="s">
        <v>36</v>
      </c>
      <c r="O894" s="637" t="s">
        <v>37</v>
      </c>
      <c r="P894" s="637" t="s">
        <v>1156</v>
      </c>
      <c r="Q894" s="638">
        <v>0</v>
      </c>
      <c r="R894" s="638">
        <v>0</v>
      </c>
      <c r="S894" s="638">
        <v>8427</v>
      </c>
      <c r="T894" s="638">
        <v>8427</v>
      </c>
      <c r="U894" s="638">
        <v>2470</v>
      </c>
      <c r="V894" s="636">
        <v>2022</v>
      </c>
      <c r="W894" s="640"/>
      <c r="X894" s="641">
        <f t="shared" si="39"/>
        <v>3.4117408906882591</v>
      </c>
      <c r="Y894" s="642" t="str">
        <f t="shared" si="40"/>
        <v/>
      </c>
      <c r="Z894" s="642" t="str">
        <f t="shared" si="41"/>
        <v/>
      </c>
    </row>
    <row r="895" spans="1:26" s="127" customFormat="1" ht="25">
      <c r="A895" s="636">
        <v>54124</v>
      </c>
      <c r="B895" s="637" t="s">
        <v>33</v>
      </c>
      <c r="C895" s="636" t="s">
        <v>2725</v>
      </c>
      <c r="D895" s="637" t="s">
        <v>1571</v>
      </c>
      <c r="E895" s="637" t="s">
        <v>1041</v>
      </c>
      <c r="F895" s="636">
        <v>56837</v>
      </c>
      <c r="G895" s="637" t="s">
        <v>90</v>
      </c>
      <c r="H895" s="637" t="s">
        <v>1163</v>
      </c>
      <c r="I895" s="637" t="s">
        <v>58</v>
      </c>
      <c r="J895" s="636">
        <v>22</v>
      </c>
      <c r="K895" s="636">
        <v>2</v>
      </c>
      <c r="L895" s="637" t="s">
        <v>52</v>
      </c>
      <c r="M895" s="637" t="s">
        <v>35</v>
      </c>
      <c r="N895" s="637" t="s">
        <v>36</v>
      </c>
      <c r="O895" s="637" t="s">
        <v>37</v>
      </c>
      <c r="P895" s="637" t="s">
        <v>1156</v>
      </c>
      <c r="Q895" s="638">
        <v>0</v>
      </c>
      <c r="R895" s="638">
        <v>0</v>
      </c>
      <c r="S895" s="638">
        <v>12671</v>
      </c>
      <c r="T895" s="638">
        <v>12671</v>
      </c>
      <c r="U895" s="638">
        <v>3714</v>
      </c>
      <c r="V895" s="636">
        <v>2022</v>
      </c>
      <c r="W895" s="640"/>
      <c r="X895" s="641">
        <f t="shared" si="39"/>
        <v>3.4116855142703284</v>
      </c>
      <c r="Y895" s="642" t="str">
        <f t="shared" si="40"/>
        <v/>
      </c>
      <c r="Z895" s="642" t="str">
        <f t="shared" si="41"/>
        <v/>
      </c>
    </row>
    <row r="896" spans="1:26" s="127" customFormat="1" ht="25">
      <c r="A896" s="636">
        <v>54131</v>
      </c>
      <c r="B896" s="637" t="s">
        <v>54</v>
      </c>
      <c r="C896" s="636" t="s">
        <v>2725</v>
      </c>
      <c r="D896" s="637" t="s">
        <v>935</v>
      </c>
      <c r="E896" s="637" t="s">
        <v>936</v>
      </c>
      <c r="F896" s="636">
        <v>50136</v>
      </c>
      <c r="G896" s="637" t="s">
        <v>57</v>
      </c>
      <c r="H896" s="637" t="s">
        <v>1162</v>
      </c>
      <c r="I896" s="637" t="s">
        <v>58</v>
      </c>
      <c r="J896" s="636">
        <v>22</v>
      </c>
      <c r="K896" s="636">
        <v>3</v>
      </c>
      <c r="L896" s="637" t="s">
        <v>55</v>
      </c>
      <c r="M896" s="637" t="s">
        <v>38</v>
      </c>
      <c r="N896" s="637" t="s">
        <v>46</v>
      </c>
      <c r="O896" s="637" t="s">
        <v>46</v>
      </c>
      <c r="P896" s="637" t="s">
        <v>47</v>
      </c>
      <c r="Q896" s="638">
        <v>0</v>
      </c>
      <c r="R896" s="638">
        <v>0</v>
      </c>
      <c r="S896" s="638">
        <v>0</v>
      </c>
      <c r="T896" s="638">
        <v>0</v>
      </c>
      <c r="U896" s="638">
        <v>0</v>
      </c>
      <c r="V896" s="636">
        <v>2022</v>
      </c>
      <c r="W896" s="640"/>
      <c r="X896" s="641" t="str">
        <f t="shared" si="39"/>
        <v/>
      </c>
      <c r="Y896" s="642" t="str">
        <f t="shared" si="40"/>
        <v/>
      </c>
      <c r="Z896" s="642" t="str">
        <f t="shared" si="41"/>
        <v/>
      </c>
    </row>
    <row r="897" spans="1:26" s="127" customFormat="1" ht="25">
      <c r="A897" s="636">
        <v>54131</v>
      </c>
      <c r="B897" s="637" t="s">
        <v>54</v>
      </c>
      <c r="C897" s="636" t="s">
        <v>2725</v>
      </c>
      <c r="D897" s="637" t="s">
        <v>935</v>
      </c>
      <c r="E897" s="637" t="s">
        <v>936</v>
      </c>
      <c r="F897" s="636">
        <v>50136</v>
      </c>
      <c r="G897" s="637" t="s">
        <v>57</v>
      </c>
      <c r="H897" s="637" t="s">
        <v>1162</v>
      </c>
      <c r="I897" s="637" t="s">
        <v>58</v>
      </c>
      <c r="J897" s="636">
        <v>22</v>
      </c>
      <c r="K897" s="636">
        <v>3</v>
      </c>
      <c r="L897" s="637" t="s">
        <v>55</v>
      </c>
      <c r="M897" s="637" t="s">
        <v>38</v>
      </c>
      <c r="N897" s="637" t="s">
        <v>39</v>
      </c>
      <c r="O897" s="637" t="s">
        <v>39</v>
      </c>
      <c r="P897" s="637" t="s">
        <v>1020</v>
      </c>
      <c r="Q897" s="638">
        <v>0</v>
      </c>
      <c r="R897" s="638">
        <v>0</v>
      </c>
      <c r="S897" s="638">
        <v>0</v>
      </c>
      <c r="T897" s="638">
        <v>0</v>
      </c>
      <c r="U897" s="638">
        <v>15757</v>
      </c>
      <c r="V897" s="636">
        <v>2022</v>
      </c>
      <c r="W897" s="640"/>
      <c r="X897" s="641" t="str">
        <f t="shared" si="39"/>
        <v/>
      </c>
      <c r="Y897" s="642" t="str">
        <f t="shared" si="40"/>
        <v/>
      </c>
      <c r="Z897" s="642" t="str">
        <f t="shared" si="41"/>
        <v/>
      </c>
    </row>
    <row r="898" spans="1:26" s="127" customFormat="1" ht="25">
      <c r="A898" s="636">
        <v>54131</v>
      </c>
      <c r="B898" s="637" t="s">
        <v>54</v>
      </c>
      <c r="C898" s="636" t="s">
        <v>2725</v>
      </c>
      <c r="D898" s="637" t="s">
        <v>935</v>
      </c>
      <c r="E898" s="637" t="s">
        <v>936</v>
      </c>
      <c r="F898" s="636">
        <v>50136</v>
      </c>
      <c r="G898" s="637" t="s">
        <v>57</v>
      </c>
      <c r="H898" s="637" t="s">
        <v>1162</v>
      </c>
      <c r="I898" s="637" t="s">
        <v>58</v>
      </c>
      <c r="J898" s="636">
        <v>22</v>
      </c>
      <c r="K898" s="636">
        <v>3</v>
      </c>
      <c r="L898" s="637" t="s">
        <v>55</v>
      </c>
      <c r="M898" s="637" t="s">
        <v>41</v>
      </c>
      <c r="N898" s="637" t="s">
        <v>46</v>
      </c>
      <c r="O898" s="637" t="s">
        <v>46</v>
      </c>
      <c r="P898" s="637" t="s">
        <v>47</v>
      </c>
      <c r="Q898" s="638">
        <v>0</v>
      </c>
      <c r="R898" s="638">
        <v>0</v>
      </c>
      <c r="S898" s="638">
        <v>0</v>
      </c>
      <c r="T898" s="638">
        <v>0</v>
      </c>
      <c r="U898" s="638">
        <v>0</v>
      </c>
      <c r="V898" s="636">
        <v>2022</v>
      </c>
      <c r="W898" s="640"/>
      <c r="X898" s="641" t="str">
        <f t="shared" si="39"/>
        <v/>
      </c>
      <c r="Y898" s="642" t="str">
        <f t="shared" si="40"/>
        <v/>
      </c>
      <c r="Z898" s="642" t="str">
        <f t="shared" si="41"/>
        <v/>
      </c>
    </row>
    <row r="899" spans="1:26" s="127" customFormat="1" ht="25">
      <c r="A899" s="636">
        <v>54131</v>
      </c>
      <c r="B899" s="637" t="s">
        <v>54</v>
      </c>
      <c r="C899" s="636" t="s">
        <v>2725</v>
      </c>
      <c r="D899" s="637" t="s">
        <v>935</v>
      </c>
      <c r="E899" s="637" t="s">
        <v>936</v>
      </c>
      <c r="F899" s="636">
        <v>50136</v>
      </c>
      <c r="G899" s="637" t="s">
        <v>57</v>
      </c>
      <c r="H899" s="637" t="s">
        <v>1162</v>
      </c>
      <c r="I899" s="637" t="s">
        <v>58</v>
      </c>
      <c r="J899" s="636">
        <v>22</v>
      </c>
      <c r="K899" s="636">
        <v>3</v>
      </c>
      <c r="L899" s="637" t="s">
        <v>55</v>
      </c>
      <c r="M899" s="637" t="s">
        <v>41</v>
      </c>
      <c r="N899" s="637" t="s">
        <v>39</v>
      </c>
      <c r="O899" s="637" t="s">
        <v>39</v>
      </c>
      <c r="P899" s="637" t="s">
        <v>1020</v>
      </c>
      <c r="Q899" s="638">
        <v>503020</v>
      </c>
      <c r="R899" s="638">
        <v>433774</v>
      </c>
      <c r="S899" s="638">
        <v>498426</v>
      </c>
      <c r="T899" s="638">
        <v>429655</v>
      </c>
      <c r="U899" s="638">
        <v>39591</v>
      </c>
      <c r="V899" s="636">
        <v>2022</v>
      </c>
      <c r="W899" s="640"/>
      <c r="X899" s="641">
        <f t="shared" si="39"/>
        <v>10.852340178323356</v>
      </c>
      <c r="Y899" s="642" t="str">
        <f t="shared" si="40"/>
        <v/>
      </c>
      <c r="Z899" s="642" t="str">
        <f t="shared" si="41"/>
        <v/>
      </c>
    </row>
    <row r="900" spans="1:26" s="127" customFormat="1" ht="25">
      <c r="A900" s="636">
        <v>54134</v>
      </c>
      <c r="B900" s="637" t="s">
        <v>33</v>
      </c>
      <c r="C900" s="636" t="s">
        <v>2725</v>
      </c>
      <c r="D900" s="637" t="s">
        <v>20</v>
      </c>
      <c r="E900" s="637" t="s">
        <v>21</v>
      </c>
      <c r="F900" s="636">
        <v>7595</v>
      </c>
      <c r="G900" s="637" t="s">
        <v>90</v>
      </c>
      <c r="H900" s="637" t="s">
        <v>1163</v>
      </c>
      <c r="I900" s="637" t="s">
        <v>58</v>
      </c>
      <c r="J900" s="636">
        <v>22</v>
      </c>
      <c r="K900" s="636">
        <v>2</v>
      </c>
      <c r="L900" s="637" t="s">
        <v>52</v>
      </c>
      <c r="M900" s="637" t="s">
        <v>1852</v>
      </c>
      <c r="N900" s="637" t="s">
        <v>1035</v>
      </c>
      <c r="O900" s="637" t="s">
        <v>82</v>
      </c>
      <c r="P900" s="637" t="s">
        <v>2726</v>
      </c>
      <c r="Q900" s="638">
        <v>14818</v>
      </c>
      <c r="R900" s="638">
        <v>14818</v>
      </c>
      <c r="S900" s="638">
        <v>0</v>
      </c>
      <c r="T900" s="638">
        <v>0</v>
      </c>
      <c r="U900" s="638">
        <v>-2826</v>
      </c>
      <c r="V900" s="636">
        <v>2022</v>
      </c>
      <c r="W900" s="640"/>
      <c r="X900" s="641" t="str">
        <f t="shared" si="39"/>
        <v/>
      </c>
      <c r="Y900" s="642" t="str">
        <f t="shared" si="40"/>
        <v/>
      </c>
      <c r="Z900" s="642" t="str">
        <f t="shared" si="41"/>
        <v/>
      </c>
    </row>
    <row r="901" spans="1:26" s="127" customFormat="1" ht="25">
      <c r="A901" s="636">
        <v>54134</v>
      </c>
      <c r="B901" s="637" t="s">
        <v>33</v>
      </c>
      <c r="C901" s="636" t="s">
        <v>2725</v>
      </c>
      <c r="D901" s="637" t="s">
        <v>20</v>
      </c>
      <c r="E901" s="637" t="s">
        <v>21</v>
      </c>
      <c r="F901" s="636">
        <v>7595</v>
      </c>
      <c r="G901" s="637" t="s">
        <v>90</v>
      </c>
      <c r="H901" s="637" t="s">
        <v>1163</v>
      </c>
      <c r="I901" s="637" t="s">
        <v>58</v>
      </c>
      <c r="J901" s="636">
        <v>22</v>
      </c>
      <c r="K901" s="636">
        <v>2</v>
      </c>
      <c r="L901" s="637" t="s">
        <v>52</v>
      </c>
      <c r="M901" s="637" t="s">
        <v>35</v>
      </c>
      <c r="N901" s="637" t="s">
        <v>36</v>
      </c>
      <c r="O901" s="637" t="s">
        <v>37</v>
      </c>
      <c r="P901" s="637" t="s">
        <v>1156</v>
      </c>
      <c r="Q901" s="638">
        <v>0</v>
      </c>
      <c r="R901" s="638">
        <v>0</v>
      </c>
      <c r="S901" s="638">
        <v>1852099</v>
      </c>
      <c r="T901" s="638">
        <v>1852099</v>
      </c>
      <c r="U901" s="638">
        <v>542819</v>
      </c>
      <c r="V901" s="636">
        <v>2022</v>
      </c>
      <c r="W901" s="640"/>
      <c r="X901" s="641">
        <f t="shared" si="39"/>
        <v>3.4120010537582508</v>
      </c>
      <c r="Y901" s="642" t="str">
        <f t="shared" si="40"/>
        <v/>
      </c>
      <c r="Z901" s="642" t="str">
        <f t="shared" si="41"/>
        <v/>
      </c>
    </row>
    <row r="902" spans="1:26" s="127" customFormat="1" ht="25">
      <c r="A902" s="636">
        <v>54148</v>
      </c>
      <c r="B902" s="637" t="s">
        <v>33</v>
      </c>
      <c r="C902" s="636" t="s">
        <v>2725</v>
      </c>
      <c r="D902" s="637" t="s">
        <v>937</v>
      </c>
      <c r="E902" s="637" t="s">
        <v>938</v>
      </c>
      <c r="F902" s="636">
        <v>56597</v>
      </c>
      <c r="G902" s="637" t="s">
        <v>90</v>
      </c>
      <c r="H902" s="637" t="s">
        <v>1163</v>
      </c>
      <c r="I902" s="637" t="s">
        <v>58</v>
      </c>
      <c r="J902" s="636">
        <v>22</v>
      </c>
      <c r="K902" s="636">
        <v>2</v>
      </c>
      <c r="L902" s="637" t="s">
        <v>52</v>
      </c>
      <c r="M902" s="637" t="s">
        <v>35</v>
      </c>
      <c r="N902" s="637" t="s">
        <v>36</v>
      </c>
      <c r="O902" s="637" t="s">
        <v>37</v>
      </c>
      <c r="P902" s="637" t="s">
        <v>1156</v>
      </c>
      <c r="Q902" s="638">
        <v>0</v>
      </c>
      <c r="R902" s="638">
        <v>0</v>
      </c>
      <c r="S902" s="638">
        <v>159774</v>
      </c>
      <c r="T902" s="638">
        <v>159774</v>
      </c>
      <c r="U902" s="638">
        <v>46827</v>
      </c>
      <c r="V902" s="636">
        <v>2022</v>
      </c>
      <c r="W902" s="640"/>
      <c r="X902" s="641">
        <f t="shared" si="39"/>
        <v>3.4120058940354925</v>
      </c>
      <c r="Y902" s="642" t="str">
        <f t="shared" si="40"/>
        <v/>
      </c>
      <c r="Z902" s="642" t="str">
        <f t="shared" si="41"/>
        <v/>
      </c>
    </row>
    <row r="903" spans="1:26" s="127" customFormat="1" ht="25">
      <c r="A903" s="636">
        <v>54149</v>
      </c>
      <c r="B903" s="637" t="s">
        <v>54</v>
      </c>
      <c r="C903" s="636" t="s">
        <v>2725</v>
      </c>
      <c r="D903" s="637" t="s">
        <v>939</v>
      </c>
      <c r="E903" s="637" t="s">
        <v>940</v>
      </c>
      <c r="F903" s="636">
        <v>13587</v>
      </c>
      <c r="G903" s="637" t="s">
        <v>57</v>
      </c>
      <c r="H903" s="637" t="s">
        <v>1162</v>
      </c>
      <c r="I903" s="637" t="s">
        <v>58</v>
      </c>
      <c r="J903" s="636">
        <v>22</v>
      </c>
      <c r="K903" s="636">
        <v>3</v>
      </c>
      <c r="L903" s="637" t="s">
        <v>55</v>
      </c>
      <c r="M903" s="637" t="s">
        <v>50</v>
      </c>
      <c r="N903" s="637" t="s">
        <v>46</v>
      </c>
      <c r="O903" s="637" t="s">
        <v>46</v>
      </c>
      <c r="P903" s="637" t="s">
        <v>47</v>
      </c>
      <c r="Q903" s="638">
        <v>3599</v>
      </c>
      <c r="R903" s="638">
        <v>1877</v>
      </c>
      <c r="S903" s="638">
        <v>21163</v>
      </c>
      <c r="T903" s="638">
        <v>11039</v>
      </c>
      <c r="U903" s="638">
        <v>2008.16</v>
      </c>
      <c r="V903" s="636">
        <v>2022</v>
      </c>
      <c r="W903" s="640"/>
      <c r="X903" s="641">
        <f t="shared" si="39"/>
        <v>5.4970719464584494</v>
      </c>
      <c r="Y903" s="642" t="str">
        <f t="shared" si="40"/>
        <v/>
      </c>
      <c r="Z903" s="642" t="str">
        <f t="shared" si="41"/>
        <v/>
      </c>
    </row>
    <row r="904" spans="1:26" s="127" customFormat="1" ht="25">
      <c r="A904" s="636">
        <v>54149</v>
      </c>
      <c r="B904" s="637" t="s">
        <v>54</v>
      </c>
      <c r="C904" s="636" t="s">
        <v>2725</v>
      </c>
      <c r="D904" s="637" t="s">
        <v>939</v>
      </c>
      <c r="E904" s="637" t="s">
        <v>940</v>
      </c>
      <c r="F904" s="636">
        <v>13587</v>
      </c>
      <c r="G904" s="637" t="s">
        <v>57</v>
      </c>
      <c r="H904" s="637" t="s">
        <v>1162</v>
      </c>
      <c r="I904" s="637" t="s">
        <v>58</v>
      </c>
      <c r="J904" s="636">
        <v>22</v>
      </c>
      <c r="K904" s="636">
        <v>3</v>
      </c>
      <c r="L904" s="637" t="s">
        <v>55</v>
      </c>
      <c r="M904" s="637" t="s">
        <v>50</v>
      </c>
      <c r="N904" s="637" t="s">
        <v>39</v>
      </c>
      <c r="O904" s="637" t="s">
        <v>39</v>
      </c>
      <c r="P904" s="637" t="s">
        <v>1020</v>
      </c>
      <c r="Q904" s="638">
        <v>2857213</v>
      </c>
      <c r="R904" s="638">
        <v>1490065</v>
      </c>
      <c r="S904" s="638">
        <v>2948643</v>
      </c>
      <c r="T904" s="638">
        <v>1537748</v>
      </c>
      <c r="U904" s="638">
        <v>279808.84000000003</v>
      </c>
      <c r="V904" s="636">
        <v>2022</v>
      </c>
      <c r="W904" s="640"/>
      <c r="X904" s="641">
        <f t="shared" ref="X904:X967" si="42">IF(OR(K904&gt;3,T904=0,NOT(U904&gt;0)),"",T904/U904)</f>
        <v>5.4957091419985149</v>
      </c>
      <c r="Y904" s="642" t="str">
        <f t="shared" ref="Y904:Y967" si="43">IF(AND($M904=$Y$2,$N904=$Y$3,NOT($Q904=$R904),NOT($U904=0)),IF($K904=5,$S904/($U904+(8/5)*$U904),IF($K904=7,$S904/($U904+(29/25)*$U904),"")),"")</f>
        <v/>
      </c>
      <c r="Z904" s="642" t="str">
        <f t="shared" si="41"/>
        <v/>
      </c>
    </row>
    <row r="905" spans="1:26" s="127" customFormat="1" ht="37.5" hidden="1">
      <c r="A905" s="636">
        <v>54225</v>
      </c>
      <c r="B905" s="637" t="s">
        <v>54</v>
      </c>
      <c r="C905" s="636" t="s">
        <v>2725</v>
      </c>
      <c r="D905" s="637" t="s">
        <v>941</v>
      </c>
      <c r="E905" s="637" t="s">
        <v>942</v>
      </c>
      <c r="F905" s="636">
        <v>7209</v>
      </c>
      <c r="G905" s="637" t="s">
        <v>81</v>
      </c>
      <c r="H905" s="637" t="s">
        <v>1163</v>
      </c>
      <c r="I905" s="637" t="s">
        <v>58</v>
      </c>
      <c r="J905" s="636">
        <v>332</v>
      </c>
      <c r="K905" s="636">
        <v>7</v>
      </c>
      <c r="L905" s="637" t="s">
        <v>403</v>
      </c>
      <c r="M905" s="637" t="s">
        <v>50</v>
      </c>
      <c r="N905" s="637" t="s">
        <v>46</v>
      </c>
      <c r="O905" s="637" t="s">
        <v>46</v>
      </c>
      <c r="P905" s="637" t="s">
        <v>47</v>
      </c>
      <c r="Q905" s="638">
        <v>45</v>
      </c>
      <c r="R905" s="638">
        <v>12</v>
      </c>
      <c r="S905" s="638">
        <v>265</v>
      </c>
      <c r="T905" s="638">
        <v>75</v>
      </c>
      <c r="U905" s="638">
        <v>18.303000000000001</v>
      </c>
      <c r="V905" s="636">
        <v>2022</v>
      </c>
      <c r="W905" s="640"/>
      <c r="X905" s="641" t="str">
        <f t="shared" si="42"/>
        <v/>
      </c>
      <c r="Y905" s="642" t="str">
        <f t="shared" si="43"/>
        <v/>
      </c>
      <c r="Z905" s="642">
        <f t="shared" si="41"/>
        <v>6.7030096260277103</v>
      </c>
    </row>
    <row r="906" spans="1:26" s="127" customFormat="1" ht="37.5" hidden="1">
      <c r="A906" s="636">
        <v>54225</v>
      </c>
      <c r="B906" s="637" t="s">
        <v>54</v>
      </c>
      <c r="C906" s="636" t="s">
        <v>2725</v>
      </c>
      <c r="D906" s="637" t="s">
        <v>941</v>
      </c>
      <c r="E906" s="637" t="s">
        <v>942</v>
      </c>
      <c r="F906" s="636">
        <v>7209</v>
      </c>
      <c r="G906" s="637" t="s">
        <v>81</v>
      </c>
      <c r="H906" s="637" t="s">
        <v>1163</v>
      </c>
      <c r="I906" s="637" t="s">
        <v>58</v>
      </c>
      <c r="J906" s="636">
        <v>332</v>
      </c>
      <c r="K906" s="636">
        <v>7</v>
      </c>
      <c r="L906" s="637" t="s">
        <v>403</v>
      </c>
      <c r="M906" s="637" t="s">
        <v>50</v>
      </c>
      <c r="N906" s="637" t="s">
        <v>39</v>
      </c>
      <c r="O906" s="637" t="s">
        <v>39</v>
      </c>
      <c r="P906" s="637" t="s">
        <v>1020</v>
      </c>
      <c r="Q906" s="638">
        <v>829878</v>
      </c>
      <c r="R906" s="638">
        <v>224975</v>
      </c>
      <c r="S906" s="638">
        <v>846671</v>
      </c>
      <c r="T906" s="638">
        <v>229522</v>
      </c>
      <c r="U906" s="638">
        <v>55833.697</v>
      </c>
      <c r="V906" s="636">
        <v>2022</v>
      </c>
      <c r="W906" s="640"/>
      <c r="X906" s="641" t="str">
        <f t="shared" si="42"/>
        <v/>
      </c>
      <c r="Y906" s="642">
        <f t="shared" si="43"/>
        <v>7.0204434933766757</v>
      </c>
      <c r="Z906" s="642" t="str">
        <f t="shared" si="41"/>
        <v/>
      </c>
    </row>
    <row r="907" spans="1:26" s="127" customFormat="1" ht="37.5" hidden="1">
      <c r="A907" s="636">
        <v>54225</v>
      </c>
      <c r="B907" s="637" t="s">
        <v>54</v>
      </c>
      <c r="C907" s="636" t="s">
        <v>2725</v>
      </c>
      <c r="D907" s="637" t="s">
        <v>941</v>
      </c>
      <c r="E907" s="637" t="s">
        <v>942</v>
      </c>
      <c r="F907" s="636">
        <v>7209</v>
      </c>
      <c r="G907" s="637" t="s">
        <v>81</v>
      </c>
      <c r="H907" s="637" t="s">
        <v>1163</v>
      </c>
      <c r="I907" s="637" t="s">
        <v>58</v>
      </c>
      <c r="J907" s="636">
        <v>332</v>
      </c>
      <c r="K907" s="636">
        <v>7</v>
      </c>
      <c r="L907" s="637" t="s">
        <v>403</v>
      </c>
      <c r="M907" s="637" t="s">
        <v>50</v>
      </c>
      <c r="N907" s="637" t="s">
        <v>61</v>
      </c>
      <c r="O907" s="637" t="s">
        <v>61</v>
      </c>
      <c r="P907" s="637" t="s">
        <v>47</v>
      </c>
      <c r="Q907" s="638">
        <v>0</v>
      </c>
      <c r="R907" s="638">
        <v>0</v>
      </c>
      <c r="S907" s="638">
        <v>0</v>
      </c>
      <c r="T907" s="638">
        <v>0</v>
      </c>
      <c r="U907" s="638">
        <v>0</v>
      </c>
      <c r="V907" s="636">
        <v>2022</v>
      </c>
      <c r="W907" s="640"/>
      <c r="X907" s="641" t="str">
        <f t="shared" si="42"/>
        <v/>
      </c>
      <c r="Y907" s="642" t="str">
        <f t="shared" si="43"/>
        <v/>
      </c>
      <c r="Z907" s="642" t="str">
        <f t="shared" si="41"/>
        <v/>
      </c>
    </row>
    <row r="908" spans="1:26" s="127" customFormat="1" ht="37.5" hidden="1">
      <c r="A908" s="636">
        <v>54225</v>
      </c>
      <c r="B908" s="637" t="s">
        <v>54</v>
      </c>
      <c r="C908" s="636" t="s">
        <v>2725</v>
      </c>
      <c r="D908" s="637" t="s">
        <v>941</v>
      </c>
      <c r="E908" s="637" t="s">
        <v>942</v>
      </c>
      <c r="F908" s="636">
        <v>7209</v>
      </c>
      <c r="G908" s="637" t="s">
        <v>81</v>
      </c>
      <c r="H908" s="637" t="s">
        <v>1163</v>
      </c>
      <c r="I908" s="637" t="s">
        <v>58</v>
      </c>
      <c r="J908" s="636">
        <v>332</v>
      </c>
      <c r="K908" s="636">
        <v>7</v>
      </c>
      <c r="L908" s="637" t="s">
        <v>403</v>
      </c>
      <c r="M908" s="637" t="s">
        <v>51</v>
      </c>
      <c r="N908" s="637" t="s">
        <v>46</v>
      </c>
      <c r="O908" s="637" t="s">
        <v>46</v>
      </c>
      <c r="P908" s="637" t="s">
        <v>47</v>
      </c>
      <c r="Q908" s="638">
        <v>1</v>
      </c>
      <c r="R908" s="638">
        <v>0</v>
      </c>
      <c r="S908" s="638">
        <v>6</v>
      </c>
      <c r="T908" s="638">
        <v>0</v>
      </c>
      <c r="U908" s="638">
        <v>0</v>
      </c>
      <c r="V908" s="636">
        <v>2022</v>
      </c>
      <c r="W908" s="640"/>
      <c r="X908" s="641" t="str">
        <f t="shared" si="42"/>
        <v/>
      </c>
      <c r="Y908" s="642" t="str">
        <f t="shared" si="43"/>
        <v/>
      </c>
      <c r="Z908" s="642" t="str">
        <f t="shared" si="41"/>
        <v/>
      </c>
    </row>
    <row r="909" spans="1:26" s="127" customFormat="1" ht="37.5" hidden="1">
      <c r="A909" s="636">
        <v>54225</v>
      </c>
      <c r="B909" s="637" t="s">
        <v>54</v>
      </c>
      <c r="C909" s="636" t="s">
        <v>2725</v>
      </c>
      <c r="D909" s="637" t="s">
        <v>941</v>
      </c>
      <c r="E909" s="637" t="s">
        <v>942</v>
      </c>
      <c r="F909" s="636">
        <v>7209</v>
      </c>
      <c r="G909" s="637" t="s">
        <v>81</v>
      </c>
      <c r="H909" s="637" t="s">
        <v>1163</v>
      </c>
      <c r="I909" s="637" t="s">
        <v>58</v>
      </c>
      <c r="J909" s="636">
        <v>332</v>
      </c>
      <c r="K909" s="636">
        <v>7</v>
      </c>
      <c r="L909" s="637" t="s">
        <v>403</v>
      </c>
      <c r="M909" s="637" t="s">
        <v>42</v>
      </c>
      <c r="N909" s="637" t="s">
        <v>46</v>
      </c>
      <c r="O909" s="637" t="s">
        <v>46</v>
      </c>
      <c r="P909" s="637" t="s">
        <v>47</v>
      </c>
      <c r="Q909" s="638">
        <v>0</v>
      </c>
      <c r="R909" s="638">
        <v>0</v>
      </c>
      <c r="S909" s="638">
        <v>0</v>
      </c>
      <c r="T909" s="638">
        <v>0</v>
      </c>
      <c r="U909" s="638">
        <v>0</v>
      </c>
      <c r="V909" s="636">
        <v>2022</v>
      </c>
      <c r="W909" s="640"/>
      <c r="X909" s="641" t="str">
        <f t="shared" si="42"/>
        <v/>
      </c>
      <c r="Y909" s="642" t="str">
        <f t="shared" si="43"/>
        <v/>
      </c>
      <c r="Z909" s="642" t="str">
        <f t="shared" si="41"/>
        <v/>
      </c>
    </row>
    <row r="910" spans="1:26" s="127" customFormat="1" ht="37.5" hidden="1">
      <c r="A910" s="636">
        <v>54225</v>
      </c>
      <c r="B910" s="637" t="s">
        <v>54</v>
      </c>
      <c r="C910" s="636" t="s">
        <v>2725</v>
      </c>
      <c r="D910" s="637" t="s">
        <v>941</v>
      </c>
      <c r="E910" s="637" t="s">
        <v>942</v>
      </c>
      <c r="F910" s="636">
        <v>7209</v>
      </c>
      <c r="G910" s="637" t="s">
        <v>81</v>
      </c>
      <c r="H910" s="637" t="s">
        <v>1163</v>
      </c>
      <c r="I910" s="637" t="s">
        <v>58</v>
      </c>
      <c r="J910" s="636">
        <v>332</v>
      </c>
      <c r="K910" s="636">
        <v>7</v>
      </c>
      <c r="L910" s="637" t="s">
        <v>403</v>
      </c>
      <c r="M910" s="637" t="s">
        <v>42</v>
      </c>
      <c r="N910" s="637" t="s">
        <v>39</v>
      </c>
      <c r="O910" s="637" t="s">
        <v>39</v>
      </c>
      <c r="P910" s="637" t="s">
        <v>1020</v>
      </c>
      <c r="Q910" s="638">
        <v>741</v>
      </c>
      <c r="R910" s="638">
        <v>741</v>
      </c>
      <c r="S910" s="638">
        <v>756</v>
      </c>
      <c r="T910" s="638">
        <v>756</v>
      </c>
      <c r="U910" s="638">
        <v>13616</v>
      </c>
      <c r="V910" s="636">
        <v>2022</v>
      </c>
      <c r="W910" s="640"/>
      <c r="X910" s="641" t="str">
        <f t="shared" si="42"/>
        <v/>
      </c>
      <c r="Y910" s="642" t="str">
        <f t="shared" si="43"/>
        <v/>
      </c>
      <c r="Z910" s="642" t="str">
        <f t="shared" si="41"/>
        <v/>
      </c>
    </row>
    <row r="911" spans="1:26" s="127" customFormat="1" ht="37.5" hidden="1">
      <c r="A911" s="636">
        <v>54228</v>
      </c>
      <c r="B911" s="637" t="s">
        <v>54</v>
      </c>
      <c r="C911" s="636" t="s">
        <v>2725</v>
      </c>
      <c r="D911" s="637" t="s">
        <v>1798</v>
      </c>
      <c r="E911" s="637" t="s">
        <v>1799</v>
      </c>
      <c r="F911" s="636">
        <v>5989</v>
      </c>
      <c r="G911" s="637" t="s">
        <v>81</v>
      </c>
      <c r="H911" s="637" t="s">
        <v>1163</v>
      </c>
      <c r="I911" s="637" t="s">
        <v>58</v>
      </c>
      <c r="J911" s="636">
        <v>322122</v>
      </c>
      <c r="K911" s="636">
        <v>7</v>
      </c>
      <c r="L911" s="637" t="s">
        <v>403</v>
      </c>
      <c r="M911" s="637" t="s">
        <v>50</v>
      </c>
      <c r="N911" s="637" t="s">
        <v>46</v>
      </c>
      <c r="O911" s="637" t="s">
        <v>46</v>
      </c>
      <c r="P911" s="637" t="s">
        <v>47</v>
      </c>
      <c r="Q911" s="638">
        <v>4539</v>
      </c>
      <c r="R911" s="638">
        <v>1590</v>
      </c>
      <c r="S911" s="638">
        <v>26689</v>
      </c>
      <c r="T911" s="638">
        <v>9344</v>
      </c>
      <c r="U911" s="638">
        <v>1921.373</v>
      </c>
      <c r="V911" s="636">
        <v>2022</v>
      </c>
      <c r="W911" s="640"/>
      <c r="X911" s="641" t="str">
        <f t="shared" si="42"/>
        <v/>
      </c>
      <c r="Y911" s="642" t="str">
        <f t="shared" si="43"/>
        <v/>
      </c>
      <c r="Z911" s="642">
        <f t="shared" si="41"/>
        <v>6.4308276001164364</v>
      </c>
    </row>
    <row r="912" spans="1:26" s="127" customFormat="1" ht="37.5" hidden="1">
      <c r="A912" s="636">
        <v>54228</v>
      </c>
      <c r="B912" s="637" t="s">
        <v>54</v>
      </c>
      <c r="C912" s="636" t="s">
        <v>2725</v>
      </c>
      <c r="D912" s="637" t="s">
        <v>1798</v>
      </c>
      <c r="E912" s="637" t="s">
        <v>1799</v>
      </c>
      <c r="F912" s="636">
        <v>5989</v>
      </c>
      <c r="G912" s="637" t="s">
        <v>81</v>
      </c>
      <c r="H912" s="637" t="s">
        <v>1163</v>
      </c>
      <c r="I912" s="637" t="s">
        <v>58</v>
      </c>
      <c r="J912" s="636">
        <v>322122</v>
      </c>
      <c r="K912" s="636">
        <v>7</v>
      </c>
      <c r="L912" s="637" t="s">
        <v>403</v>
      </c>
      <c r="M912" s="637" t="s">
        <v>50</v>
      </c>
      <c r="N912" s="637" t="s">
        <v>39</v>
      </c>
      <c r="O912" s="637" t="s">
        <v>39</v>
      </c>
      <c r="P912" s="637" t="s">
        <v>1020</v>
      </c>
      <c r="Q912" s="638">
        <v>539781</v>
      </c>
      <c r="R912" s="638">
        <v>184878</v>
      </c>
      <c r="S912" s="638">
        <v>539781</v>
      </c>
      <c r="T912" s="638">
        <v>184878</v>
      </c>
      <c r="U912" s="638">
        <v>38188.627</v>
      </c>
      <c r="V912" s="636">
        <v>2022</v>
      </c>
      <c r="W912" s="640"/>
      <c r="X912" s="641" t="str">
        <f t="shared" si="42"/>
        <v/>
      </c>
      <c r="Y912" s="642">
        <f t="shared" si="43"/>
        <v>6.543796694002932</v>
      </c>
      <c r="Z912" s="642" t="str">
        <f t="shared" ref="Z912:Z975" si="44">IF(AND($M912=$Y$2,$N912=$Y$4,NOT($Q912=$R912),NOT($U912=0)),IF($K912=5,$S912/($U912+(8/5)*$U912),IF($K912=7,$S912/($U912+(29/25)*$U912),"")),"")</f>
        <v/>
      </c>
    </row>
    <row r="913" spans="1:26" s="127" customFormat="1" ht="37.5" hidden="1">
      <c r="A913" s="636">
        <v>54228</v>
      </c>
      <c r="B913" s="637" t="s">
        <v>54</v>
      </c>
      <c r="C913" s="636" t="s">
        <v>2725</v>
      </c>
      <c r="D913" s="637" t="s">
        <v>1798</v>
      </c>
      <c r="E913" s="637" t="s">
        <v>1799</v>
      </c>
      <c r="F913" s="636">
        <v>5989</v>
      </c>
      <c r="G913" s="637" t="s">
        <v>81</v>
      </c>
      <c r="H913" s="637" t="s">
        <v>1163</v>
      </c>
      <c r="I913" s="637" t="s">
        <v>58</v>
      </c>
      <c r="J913" s="636">
        <v>322122</v>
      </c>
      <c r="K913" s="636">
        <v>7</v>
      </c>
      <c r="L913" s="637" t="s">
        <v>403</v>
      </c>
      <c r="M913" s="637" t="s">
        <v>42</v>
      </c>
      <c r="N913" s="637" t="s">
        <v>39</v>
      </c>
      <c r="O913" s="637" t="s">
        <v>39</v>
      </c>
      <c r="P913" s="637" t="s">
        <v>1020</v>
      </c>
      <c r="Q913" s="638">
        <v>0</v>
      </c>
      <c r="R913" s="638">
        <v>0</v>
      </c>
      <c r="S913" s="638">
        <v>0</v>
      </c>
      <c r="T913" s="638">
        <v>0</v>
      </c>
      <c r="U913" s="638">
        <v>2506.48</v>
      </c>
      <c r="V913" s="636">
        <v>2022</v>
      </c>
      <c r="W913" s="640"/>
      <c r="X913" s="641" t="str">
        <f t="shared" si="42"/>
        <v/>
      </c>
      <c r="Y913" s="642" t="str">
        <f t="shared" si="43"/>
        <v/>
      </c>
      <c r="Z913" s="642" t="str">
        <f t="shared" si="44"/>
        <v/>
      </c>
    </row>
    <row r="914" spans="1:26" s="127" customFormat="1" ht="37.5" hidden="1">
      <c r="A914" s="636">
        <v>54228</v>
      </c>
      <c r="B914" s="637" t="s">
        <v>54</v>
      </c>
      <c r="C914" s="636" t="s">
        <v>2725</v>
      </c>
      <c r="D914" s="637" t="s">
        <v>1798</v>
      </c>
      <c r="E914" s="637" t="s">
        <v>1799</v>
      </c>
      <c r="F914" s="636">
        <v>5989</v>
      </c>
      <c r="G914" s="637" t="s">
        <v>81</v>
      </c>
      <c r="H914" s="637" t="s">
        <v>1163</v>
      </c>
      <c r="I914" s="637" t="s">
        <v>58</v>
      </c>
      <c r="J914" s="636">
        <v>322122</v>
      </c>
      <c r="K914" s="636">
        <v>7</v>
      </c>
      <c r="L914" s="637" t="s">
        <v>403</v>
      </c>
      <c r="M914" s="637" t="s">
        <v>42</v>
      </c>
      <c r="N914" s="637" t="s">
        <v>82</v>
      </c>
      <c r="O914" s="637" t="s">
        <v>82</v>
      </c>
      <c r="P914" s="637" t="s">
        <v>1156</v>
      </c>
      <c r="Q914" s="638">
        <v>0</v>
      </c>
      <c r="R914" s="638">
        <v>0</v>
      </c>
      <c r="S914" s="638">
        <v>0</v>
      </c>
      <c r="T914" s="638">
        <v>0</v>
      </c>
      <c r="U914" s="638">
        <v>0</v>
      </c>
      <c r="V914" s="636">
        <v>2022</v>
      </c>
      <c r="W914" s="640"/>
      <c r="X914" s="641" t="str">
        <f t="shared" si="42"/>
        <v/>
      </c>
      <c r="Y914" s="642" t="str">
        <f t="shared" si="43"/>
        <v/>
      </c>
      <c r="Z914" s="642" t="str">
        <f t="shared" si="44"/>
        <v/>
      </c>
    </row>
    <row r="915" spans="1:26" s="127" customFormat="1" ht="37.5" hidden="1">
      <c r="A915" s="636">
        <v>54236</v>
      </c>
      <c r="B915" s="637" t="s">
        <v>54</v>
      </c>
      <c r="C915" s="636" t="s">
        <v>2725</v>
      </c>
      <c r="D915" s="637" t="s">
        <v>943</v>
      </c>
      <c r="E915" s="637" t="s">
        <v>944</v>
      </c>
      <c r="F915" s="636">
        <v>14928</v>
      </c>
      <c r="G915" s="637" t="s">
        <v>41</v>
      </c>
      <c r="H915" s="637" t="s">
        <v>1163</v>
      </c>
      <c r="I915" s="637" t="s">
        <v>58</v>
      </c>
      <c r="J915" s="636">
        <v>325</v>
      </c>
      <c r="K915" s="636">
        <v>7</v>
      </c>
      <c r="L915" s="637" t="s">
        <v>403</v>
      </c>
      <c r="M915" s="637" t="s">
        <v>50</v>
      </c>
      <c r="N915" s="637" t="s">
        <v>46</v>
      </c>
      <c r="O915" s="637" t="s">
        <v>46</v>
      </c>
      <c r="P915" s="637" t="s">
        <v>47</v>
      </c>
      <c r="Q915" s="638">
        <v>1892</v>
      </c>
      <c r="R915" s="638">
        <v>572</v>
      </c>
      <c r="S915" s="638">
        <v>11011</v>
      </c>
      <c r="T915" s="638">
        <v>3331</v>
      </c>
      <c r="U915" s="638">
        <v>741.97699999999998</v>
      </c>
      <c r="V915" s="636">
        <v>2022</v>
      </c>
      <c r="W915" s="640"/>
      <c r="X915" s="641" t="str">
        <f t="shared" si="42"/>
        <v/>
      </c>
      <c r="Y915" s="642" t="str">
        <f t="shared" si="43"/>
        <v/>
      </c>
      <c r="Z915" s="642">
        <f t="shared" si="44"/>
        <v>6.8704086315144348</v>
      </c>
    </row>
    <row r="916" spans="1:26" s="127" customFormat="1" ht="37.5" hidden="1">
      <c r="A916" s="636">
        <v>54236</v>
      </c>
      <c r="B916" s="637" t="s">
        <v>54</v>
      </c>
      <c r="C916" s="636" t="s">
        <v>2725</v>
      </c>
      <c r="D916" s="637" t="s">
        <v>943</v>
      </c>
      <c r="E916" s="637" t="s">
        <v>944</v>
      </c>
      <c r="F916" s="636">
        <v>14928</v>
      </c>
      <c r="G916" s="637" t="s">
        <v>41</v>
      </c>
      <c r="H916" s="637" t="s">
        <v>1163</v>
      </c>
      <c r="I916" s="637" t="s">
        <v>58</v>
      </c>
      <c r="J916" s="636">
        <v>325</v>
      </c>
      <c r="K916" s="636">
        <v>7</v>
      </c>
      <c r="L916" s="637" t="s">
        <v>403</v>
      </c>
      <c r="M916" s="637" t="s">
        <v>50</v>
      </c>
      <c r="N916" s="637" t="s">
        <v>39</v>
      </c>
      <c r="O916" s="637" t="s">
        <v>39</v>
      </c>
      <c r="P916" s="637" t="s">
        <v>1020</v>
      </c>
      <c r="Q916" s="638">
        <v>736588</v>
      </c>
      <c r="R916" s="638">
        <v>243897</v>
      </c>
      <c r="S916" s="638">
        <v>756475</v>
      </c>
      <c r="T916" s="638">
        <v>250482</v>
      </c>
      <c r="U916" s="638">
        <v>55793.023000000001</v>
      </c>
      <c r="V916" s="636">
        <v>2022</v>
      </c>
      <c r="W916" s="640"/>
      <c r="X916" s="641" t="str">
        <f t="shared" si="42"/>
        <v/>
      </c>
      <c r="Y916" s="642">
        <f t="shared" si="43"/>
        <v>6.2771272925542574</v>
      </c>
      <c r="Z916" s="642" t="str">
        <f t="shared" si="44"/>
        <v/>
      </c>
    </row>
    <row r="917" spans="1:26" s="127" customFormat="1" ht="37.5" hidden="1">
      <c r="A917" s="636">
        <v>54236</v>
      </c>
      <c r="B917" s="637" t="s">
        <v>54</v>
      </c>
      <c r="C917" s="636" t="s">
        <v>2725</v>
      </c>
      <c r="D917" s="637" t="s">
        <v>943</v>
      </c>
      <c r="E917" s="637" t="s">
        <v>944</v>
      </c>
      <c r="F917" s="636">
        <v>14928</v>
      </c>
      <c r="G917" s="637" t="s">
        <v>41</v>
      </c>
      <c r="H917" s="637" t="s">
        <v>1163</v>
      </c>
      <c r="I917" s="637" t="s">
        <v>58</v>
      </c>
      <c r="J917" s="636">
        <v>325</v>
      </c>
      <c r="K917" s="636">
        <v>7</v>
      </c>
      <c r="L917" s="637" t="s">
        <v>403</v>
      </c>
      <c r="M917" s="637" t="s">
        <v>50</v>
      </c>
      <c r="N917" s="637" t="s">
        <v>61</v>
      </c>
      <c r="O917" s="637" t="s">
        <v>61</v>
      </c>
      <c r="P917" s="637" t="s">
        <v>47</v>
      </c>
      <c r="Q917" s="638">
        <v>0</v>
      </c>
      <c r="R917" s="638">
        <v>0</v>
      </c>
      <c r="S917" s="638">
        <v>0</v>
      </c>
      <c r="T917" s="638">
        <v>0</v>
      </c>
      <c r="U917" s="638">
        <v>0</v>
      </c>
      <c r="V917" s="636">
        <v>2022</v>
      </c>
      <c r="W917" s="640"/>
      <c r="X917" s="641" t="str">
        <f t="shared" si="42"/>
        <v/>
      </c>
      <c r="Y917" s="642" t="str">
        <f t="shared" si="43"/>
        <v/>
      </c>
      <c r="Z917" s="642" t="str">
        <f t="shared" si="44"/>
        <v/>
      </c>
    </row>
    <row r="918" spans="1:26" s="127" customFormat="1" ht="37.5" hidden="1">
      <c r="A918" s="636">
        <v>54236</v>
      </c>
      <c r="B918" s="637" t="s">
        <v>54</v>
      </c>
      <c r="C918" s="636" t="s">
        <v>2725</v>
      </c>
      <c r="D918" s="637" t="s">
        <v>943</v>
      </c>
      <c r="E918" s="637" t="s">
        <v>944</v>
      </c>
      <c r="F918" s="636">
        <v>14928</v>
      </c>
      <c r="G918" s="637" t="s">
        <v>41</v>
      </c>
      <c r="H918" s="637" t="s">
        <v>1163</v>
      </c>
      <c r="I918" s="637" t="s">
        <v>58</v>
      </c>
      <c r="J918" s="636">
        <v>325</v>
      </c>
      <c r="K918" s="636">
        <v>7</v>
      </c>
      <c r="L918" s="637" t="s">
        <v>403</v>
      </c>
      <c r="M918" s="637" t="s">
        <v>42</v>
      </c>
      <c r="N918" s="637" t="s">
        <v>46</v>
      </c>
      <c r="O918" s="637" t="s">
        <v>46</v>
      </c>
      <c r="P918" s="637" t="s">
        <v>47</v>
      </c>
      <c r="Q918" s="638">
        <v>18277</v>
      </c>
      <c r="R918" s="638">
        <v>1038</v>
      </c>
      <c r="S918" s="638">
        <v>106372</v>
      </c>
      <c r="T918" s="638">
        <v>6038</v>
      </c>
      <c r="U918" s="638">
        <v>1291.605</v>
      </c>
      <c r="V918" s="636">
        <v>2022</v>
      </c>
      <c r="W918" s="640"/>
      <c r="X918" s="641" t="str">
        <f t="shared" si="42"/>
        <v/>
      </c>
      <c r="Y918" s="642" t="str">
        <f t="shared" si="43"/>
        <v/>
      </c>
      <c r="Z918" s="642" t="str">
        <f t="shared" si="44"/>
        <v/>
      </c>
    </row>
    <row r="919" spans="1:26" s="127" customFormat="1" ht="37.5" hidden="1">
      <c r="A919" s="636">
        <v>54236</v>
      </c>
      <c r="B919" s="637" t="s">
        <v>54</v>
      </c>
      <c r="C919" s="636" t="s">
        <v>2725</v>
      </c>
      <c r="D919" s="637" t="s">
        <v>943</v>
      </c>
      <c r="E919" s="637" t="s">
        <v>944</v>
      </c>
      <c r="F919" s="636">
        <v>14928</v>
      </c>
      <c r="G919" s="637" t="s">
        <v>41</v>
      </c>
      <c r="H919" s="637" t="s">
        <v>1163</v>
      </c>
      <c r="I919" s="637" t="s">
        <v>58</v>
      </c>
      <c r="J919" s="636">
        <v>325</v>
      </c>
      <c r="K919" s="636">
        <v>7</v>
      </c>
      <c r="L919" s="637" t="s">
        <v>403</v>
      </c>
      <c r="M919" s="637" t="s">
        <v>42</v>
      </c>
      <c r="N919" s="637" t="s">
        <v>39</v>
      </c>
      <c r="O919" s="637" t="s">
        <v>39</v>
      </c>
      <c r="P919" s="637" t="s">
        <v>1020</v>
      </c>
      <c r="Q919" s="638">
        <v>1033119</v>
      </c>
      <c r="R919" s="638">
        <v>79066</v>
      </c>
      <c r="S919" s="638">
        <v>1061013</v>
      </c>
      <c r="T919" s="638">
        <v>81201</v>
      </c>
      <c r="U919" s="638">
        <v>17368.946</v>
      </c>
      <c r="V919" s="636">
        <v>2022</v>
      </c>
      <c r="W919" s="640"/>
      <c r="X919" s="641" t="str">
        <f t="shared" si="42"/>
        <v/>
      </c>
      <c r="Y919" s="642" t="str">
        <f t="shared" si="43"/>
        <v/>
      </c>
      <c r="Z919" s="642" t="str">
        <f t="shared" si="44"/>
        <v/>
      </c>
    </row>
    <row r="920" spans="1:26" s="127" customFormat="1" ht="37.5" hidden="1">
      <c r="A920" s="636">
        <v>54236</v>
      </c>
      <c r="B920" s="637" t="s">
        <v>54</v>
      </c>
      <c r="C920" s="636" t="s">
        <v>2725</v>
      </c>
      <c r="D920" s="637" t="s">
        <v>943</v>
      </c>
      <c r="E920" s="637" t="s">
        <v>944</v>
      </c>
      <c r="F920" s="636">
        <v>14928</v>
      </c>
      <c r="G920" s="637" t="s">
        <v>41</v>
      </c>
      <c r="H920" s="637" t="s">
        <v>1163</v>
      </c>
      <c r="I920" s="637" t="s">
        <v>58</v>
      </c>
      <c r="J920" s="636">
        <v>325</v>
      </c>
      <c r="K920" s="636">
        <v>7</v>
      </c>
      <c r="L920" s="637" t="s">
        <v>403</v>
      </c>
      <c r="M920" s="637" t="s">
        <v>42</v>
      </c>
      <c r="N920" s="637" t="s">
        <v>420</v>
      </c>
      <c r="O920" s="637" t="s">
        <v>67</v>
      </c>
      <c r="P920" s="637" t="s">
        <v>1020</v>
      </c>
      <c r="Q920" s="638">
        <v>0</v>
      </c>
      <c r="R920" s="638">
        <v>0</v>
      </c>
      <c r="S920" s="638">
        <v>0</v>
      </c>
      <c r="T920" s="638">
        <v>0</v>
      </c>
      <c r="U920" s="638">
        <v>0</v>
      </c>
      <c r="V920" s="636">
        <v>2022</v>
      </c>
      <c r="W920" s="640"/>
      <c r="X920" s="641" t="str">
        <f t="shared" si="42"/>
        <v/>
      </c>
      <c r="Y920" s="642" t="str">
        <f t="shared" si="43"/>
        <v/>
      </c>
      <c r="Z920" s="642" t="str">
        <f t="shared" si="44"/>
        <v/>
      </c>
    </row>
    <row r="921" spans="1:26" s="127" customFormat="1" ht="25">
      <c r="A921" s="636">
        <v>54302</v>
      </c>
      <c r="B921" s="637" t="s">
        <v>33</v>
      </c>
      <c r="C921" s="636" t="s">
        <v>2725</v>
      </c>
      <c r="D921" s="637" t="s">
        <v>946</v>
      </c>
      <c r="E921" s="637" t="s">
        <v>945</v>
      </c>
      <c r="F921" s="636">
        <v>12382</v>
      </c>
      <c r="G921" s="637" t="s">
        <v>41</v>
      </c>
      <c r="H921" s="637" t="s">
        <v>1163</v>
      </c>
      <c r="I921" s="637" t="s">
        <v>58</v>
      </c>
      <c r="J921" s="636">
        <v>22</v>
      </c>
      <c r="K921" s="636">
        <v>2</v>
      </c>
      <c r="L921" s="637" t="s">
        <v>52</v>
      </c>
      <c r="M921" s="637" t="s">
        <v>35</v>
      </c>
      <c r="N921" s="637" t="s">
        <v>36</v>
      </c>
      <c r="O921" s="637" t="s">
        <v>37</v>
      </c>
      <c r="P921" s="637" t="s">
        <v>1156</v>
      </c>
      <c r="Q921" s="638">
        <v>0</v>
      </c>
      <c r="R921" s="638">
        <v>0</v>
      </c>
      <c r="S921" s="638">
        <v>31288</v>
      </c>
      <c r="T921" s="638">
        <v>31288</v>
      </c>
      <c r="U921" s="638">
        <v>9170</v>
      </c>
      <c r="V921" s="636">
        <v>2022</v>
      </c>
      <c r="W921" s="640"/>
      <c r="X921" s="641">
        <f t="shared" si="42"/>
        <v>3.4119956379498366</v>
      </c>
      <c r="Y921" s="642" t="str">
        <f t="shared" si="43"/>
        <v/>
      </c>
      <c r="Z921" s="642" t="str">
        <f t="shared" si="44"/>
        <v/>
      </c>
    </row>
    <row r="922" spans="1:26" s="127" customFormat="1" ht="25">
      <c r="A922" s="636">
        <v>54324</v>
      </c>
      <c r="B922" s="637" t="s">
        <v>33</v>
      </c>
      <c r="C922" s="636" t="s">
        <v>2725</v>
      </c>
      <c r="D922" s="637" t="s">
        <v>22</v>
      </c>
      <c r="E922" s="637" t="s">
        <v>22</v>
      </c>
      <c r="F922" s="636">
        <v>27770</v>
      </c>
      <c r="G922" s="637" t="s">
        <v>130</v>
      </c>
      <c r="H922" s="637" t="s">
        <v>1163</v>
      </c>
      <c r="I922" s="637" t="s">
        <v>58</v>
      </c>
      <c r="J922" s="636">
        <v>22</v>
      </c>
      <c r="K922" s="636">
        <v>2</v>
      </c>
      <c r="L922" s="637" t="s">
        <v>52</v>
      </c>
      <c r="M922" s="637" t="s">
        <v>38</v>
      </c>
      <c r="N922" s="637" t="s">
        <v>46</v>
      </c>
      <c r="O922" s="637" t="s">
        <v>46</v>
      </c>
      <c r="P922" s="637" t="s">
        <v>47</v>
      </c>
      <c r="Q922" s="638">
        <v>0</v>
      </c>
      <c r="R922" s="638">
        <v>0</v>
      </c>
      <c r="S922" s="638">
        <v>0</v>
      </c>
      <c r="T922" s="638">
        <v>0</v>
      </c>
      <c r="U922" s="638">
        <v>212.27500000000001</v>
      </c>
      <c r="V922" s="636">
        <v>2022</v>
      </c>
      <c r="W922" s="640" t="s">
        <v>3934</v>
      </c>
      <c r="X922" s="641" t="str">
        <f t="shared" si="42"/>
        <v/>
      </c>
      <c r="Y922" s="642" t="str">
        <f t="shared" si="43"/>
        <v/>
      </c>
      <c r="Z922" s="642" t="str">
        <f t="shared" si="44"/>
        <v/>
      </c>
    </row>
    <row r="923" spans="1:26" s="127" customFormat="1" ht="25">
      <c r="A923" s="636">
        <v>54324</v>
      </c>
      <c r="B923" s="637" t="s">
        <v>33</v>
      </c>
      <c r="C923" s="636" t="s">
        <v>2725</v>
      </c>
      <c r="D923" s="637" t="s">
        <v>22</v>
      </c>
      <c r="E923" s="637" t="s">
        <v>22</v>
      </c>
      <c r="F923" s="636">
        <v>27770</v>
      </c>
      <c r="G923" s="637" t="s">
        <v>130</v>
      </c>
      <c r="H923" s="637" t="s">
        <v>1163</v>
      </c>
      <c r="I923" s="637" t="s">
        <v>58</v>
      </c>
      <c r="J923" s="636">
        <v>22</v>
      </c>
      <c r="K923" s="636">
        <v>2</v>
      </c>
      <c r="L923" s="637" t="s">
        <v>52</v>
      </c>
      <c r="M923" s="637" t="s">
        <v>38</v>
      </c>
      <c r="N923" s="637" t="s">
        <v>39</v>
      </c>
      <c r="O923" s="637" t="s">
        <v>39</v>
      </c>
      <c r="P923" s="637" t="s">
        <v>1020</v>
      </c>
      <c r="Q923" s="638">
        <v>2390</v>
      </c>
      <c r="R923" s="638">
        <v>2390</v>
      </c>
      <c r="S923" s="638">
        <v>2454</v>
      </c>
      <c r="T923" s="638">
        <v>2454</v>
      </c>
      <c r="U923" s="638">
        <v>253671.73</v>
      </c>
      <c r="V923" s="636">
        <v>2022</v>
      </c>
      <c r="W923" s="640" t="s">
        <v>3934</v>
      </c>
      <c r="X923" s="641">
        <f t="shared" si="42"/>
        <v>9.6739199121636445E-3</v>
      </c>
      <c r="Y923" s="642" t="str">
        <f t="shared" si="43"/>
        <v/>
      </c>
      <c r="Z923" s="642" t="str">
        <f t="shared" si="44"/>
        <v/>
      </c>
    </row>
    <row r="924" spans="1:26" s="127" customFormat="1" ht="25">
      <c r="A924" s="636">
        <v>54324</v>
      </c>
      <c r="B924" s="637" t="s">
        <v>33</v>
      </c>
      <c r="C924" s="636" t="s">
        <v>2725</v>
      </c>
      <c r="D924" s="637" t="s">
        <v>22</v>
      </c>
      <c r="E924" s="637" t="s">
        <v>22</v>
      </c>
      <c r="F924" s="636">
        <v>27770</v>
      </c>
      <c r="G924" s="637" t="s">
        <v>130</v>
      </c>
      <c r="H924" s="637" t="s">
        <v>1163</v>
      </c>
      <c r="I924" s="637" t="s">
        <v>58</v>
      </c>
      <c r="J924" s="636">
        <v>22</v>
      </c>
      <c r="K924" s="636">
        <v>2</v>
      </c>
      <c r="L924" s="637" t="s">
        <v>52</v>
      </c>
      <c r="M924" s="637" t="s">
        <v>41</v>
      </c>
      <c r="N924" s="637" t="s">
        <v>46</v>
      </c>
      <c r="O924" s="637" t="s">
        <v>46</v>
      </c>
      <c r="P924" s="637" t="s">
        <v>47</v>
      </c>
      <c r="Q924" s="638">
        <v>875</v>
      </c>
      <c r="R924" s="638">
        <v>875</v>
      </c>
      <c r="S924" s="638">
        <v>5067</v>
      </c>
      <c r="T924" s="638">
        <v>5067</v>
      </c>
      <c r="U924" s="638">
        <v>380.94</v>
      </c>
      <c r="V924" s="636">
        <v>2022</v>
      </c>
      <c r="W924" s="640" t="s">
        <v>3934</v>
      </c>
      <c r="X924" s="641">
        <f t="shared" si="42"/>
        <v>13.301307292487007</v>
      </c>
      <c r="Y924" s="642" t="str">
        <f t="shared" si="43"/>
        <v/>
      </c>
      <c r="Z924" s="642" t="str">
        <f t="shared" si="44"/>
        <v/>
      </c>
    </row>
    <row r="925" spans="1:26" s="127" customFormat="1" ht="25">
      <c r="A925" s="636">
        <v>54324</v>
      </c>
      <c r="B925" s="637" t="s">
        <v>33</v>
      </c>
      <c r="C925" s="636" t="s">
        <v>2725</v>
      </c>
      <c r="D925" s="637" t="s">
        <v>22</v>
      </c>
      <c r="E925" s="637" t="s">
        <v>22</v>
      </c>
      <c r="F925" s="636">
        <v>27770</v>
      </c>
      <c r="G925" s="637" t="s">
        <v>130</v>
      </c>
      <c r="H925" s="637" t="s">
        <v>1163</v>
      </c>
      <c r="I925" s="637" t="s">
        <v>58</v>
      </c>
      <c r="J925" s="636">
        <v>22</v>
      </c>
      <c r="K925" s="636">
        <v>2</v>
      </c>
      <c r="L925" s="637" t="s">
        <v>52</v>
      </c>
      <c r="M925" s="637" t="s">
        <v>41</v>
      </c>
      <c r="N925" s="637" t="s">
        <v>39</v>
      </c>
      <c r="O925" s="637" t="s">
        <v>39</v>
      </c>
      <c r="P925" s="637" t="s">
        <v>1020</v>
      </c>
      <c r="Q925" s="638">
        <v>5936444</v>
      </c>
      <c r="R925" s="638">
        <v>5936444</v>
      </c>
      <c r="S925" s="638">
        <v>6096728</v>
      </c>
      <c r="T925" s="638">
        <v>6096728</v>
      </c>
      <c r="U925" s="638">
        <v>453781.06</v>
      </c>
      <c r="V925" s="636">
        <v>2022</v>
      </c>
      <c r="W925" s="640" t="s">
        <v>3934</v>
      </c>
      <c r="X925" s="641">
        <f t="shared" si="42"/>
        <v>13.435395474637042</v>
      </c>
      <c r="Y925" s="642" t="str">
        <f t="shared" si="43"/>
        <v/>
      </c>
      <c r="Z925" s="642" t="str">
        <f t="shared" si="44"/>
        <v/>
      </c>
    </row>
    <row r="926" spans="1:26" s="127" customFormat="1" ht="25">
      <c r="A926" s="636">
        <v>54355</v>
      </c>
      <c r="B926" s="637" t="s">
        <v>33</v>
      </c>
      <c r="C926" s="636" t="s">
        <v>2725</v>
      </c>
      <c r="D926" s="637" t="s">
        <v>947</v>
      </c>
      <c r="E926" s="637" t="s">
        <v>1080</v>
      </c>
      <c r="F926" s="636">
        <v>2548</v>
      </c>
      <c r="G926" s="637" t="s">
        <v>89</v>
      </c>
      <c r="H926" s="637" t="s">
        <v>1163</v>
      </c>
      <c r="I926" s="637" t="s">
        <v>58</v>
      </c>
      <c r="J926" s="636">
        <v>22</v>
      </c>
      <c r="K926" s="636">
        <v>1</v>
      </c>
      <c r="L926" s="637" t="s">
        <v>34</v>
      </c>
      <c r="M926" s="637" t="s">
        <v>35</v>
      </c>
      <c r="N926" s="637" t="s">
        <v>36</v>
      </c>
      <c r="O926" s="637" t="s">
        <v>37</v>
      </c>
      <c r="P926" s="637" t="s">
        <v>1156</v>
      </c>
      <c r="Q926" s="638">
        <v>0</v>
      </c>
      <c r="R926" s="638">
        <v>0</v>
      </c>
      <c r="S926" s="638">
        <v>86526</v>
      </c>
      <c r="T926" s="638">
        <v>86526</v>
      </c>
      <c r="U926" s="638">
        <v>25360</v>
      </c>
      <c r="V926" s="636">
        <v>2022</v>
      </c>
      <c r="W926" s="640"/>
      <c r="X926" s="641">
        <f t="shared" si="42"/>
        <v>3.4119085173501578</v>
      </c>
      <c r="Y926" s="642" t="str">
        <f t="shared" si="43"/>
        <v/>
      </c>
      <c r="Z926" s="642" t="str">
        <f t="shared" si="44"/>
        <v/>
      </c>
    </row>
    <row r="927" spans="1:26" s="127" customFormat="1" ht="25">
      <c r="A927" s="636">
        <v>54384</v>
      </c>
      <c r="B927" s="637" t="s">
        <v>33</v>
      </c>
      <c r="C927" s="636" t="s">
        <v>2725</v>
      </c>
      <c r="D927" s="637" t="s">
        <v>948</v>
      </c>
      <c r="E927" s="637" t="s">
        <v>131</v>
      </c>
      <c r="F927" s="636">
        <v>7601</v>
      </c>
      <c r="G927" s="637" t="s">
        <v>96</v>
      </c>
      <c r="H927" s="637" t="s">
        <v>1163</v>
      </c>
      <c r="I927" s="637" t="s">
        <v>58</v>
      </c>
      <c r="J927" s="636">
        <v>22</v>
      </c>
      <c r="K927" s="636">
        <v>1</v>
      </c>
      <c r="L927" s="637" t="s">
        <v>34</v>
      </c>
      <c r="M927" s="637" t="s">
        <v>35</v>
      </c>
      <c r="N927" s="637" t="s">
        <v>36</v>
      </c>
      <c r="O927" s="637" t="s">
        <v>37</v>
      </c>
      <c r="P927" s="637" t="s">
        <v>1156</v>
      </c>
      <c r="Q927" s="638">
        <v>0</v>
      </c>
      <c r="R927" s="638">
        <v>0</v>
      </c>
      <c r="S927" s="638">
        <v>11747</v>
      </c>
      <c r="T927" s="638">
        <v>11747</v>
      </c>
      <c r="U927" s="638">
        <v>3443</v>
      </c>
      <c r="V927" s="636">
        <v>2022</v>
      </c>
      <c r="W927" s="640"/>
      <c r="X927" s="641">
        <f t="shared" si="42"/>
        <v>3.4118501306999711</v>
      </c>
      <c r="Y927" s="642" t="str">
        <f t="shared" si="43"/>
        <v/>
      </c>
      <c r="Z927" s="642" t="str">
        <f t="shared" si="44"/>
        <v/>
      </c>
    </row>
    <row r="928" spans="1:26" s="127" customFormat="1" ht="25">
      <c r="A928" s="636">
        <v>54385</v>
      </c>
      <c r="B928" s="637" t="s">
        <v>33</v>
      </c>
      <c r="C928" s="636" t="s">
        <v>2725</v>
      </c>
      <c r="D928" s="637" t="s">
        <v>949</v>
      </c>
      <c r="E928" s="637" t="s">
        <v>3029</v>
      </c>
      <c r="F928" s="636">
        <v>63985</v>
      </c>
      <c r="G928" s="637" t="s">
        <v>41</v>
      </c>
      <c r="H928" s="637" t="s">
        <v>1163</v>
      </c>
      <c r="I928" s="637" t="s">
        <v>58</v>
      </c>
      <c r="J928" s="636">
        <v>22</v>
      </c>
      <c r="K928" s="636">
        <v>2</v>
      </c>
      <c r="L928" s="637" t="s">
        <v>52</v>
      </c>
      <c r="M928" s="637" t="s">
        <v>35</v>
      </c>
      <c r="N928" s="637" t="s">
        <v>36</v>
      </c>
      <c r="O928" s="637" t="s">
        <v>37</v>
      </c>
      <c r="P928" s="637" t="s">
        <v>1156</v>
      </c>
      <c r="Q928" s="638">
        <v>0</v>
      </c>
      <c r="R928" s="638">
        <v>0</v>
      </c>
      <c r="S928" s="638">
        <v>0</v>
      </c>
      <c r="T928" s="638">
        <v>0</v>
      </c>
      <c r="U928" s="638">
        <v>0</v>
      </c>
      <c r="V928" s="636">
        <v>2022</v>
      </c>
      <c r="W928" s="640"/>
      <c r="X928" s="641" t="str">
        <f t="shared" si="42"/>
        <v/>
      </c>
      <c r="Y928" s="642" t="str">
        <f t="shared" si="43"/>
        <v/>
      </c>
      <c r="Z928" s="642" t="str">
        <f t="shared" si="44"/>
        <v/>
      </c>
    </row>
    <row r="929" spans="1:26" s="127" customFormat="1" ht="25">
      <c r="A929" s="636">
        <v>54391</v>
      </c>
      <c r="B929" s="637" t="s">
        <v>33</v>
      </c>
      <c r="C929" s="636" t="s">
        <v>2725</v>
      </c>
      <c r="D929" s="637" t="s">
        <v>950</v>
      </c>
      <c r="E929" s="637" t="s">
        <v>3025</v>
      </c>
      <c r="F929" s="636">
        <v>57280</v>
      </c>
      <c r="G929" s="637" t="s">
        <v>57</v>
      </c>
      <c r="H929" s="637" t="s">
        <v>1162</v>
      </c>
      <c r="I929" s="637" t="s">
        <v>58</v>
      </c>
      <c r="J929" s="636">
        <v>22</v>
      </c>
      <c r="K929" s="636">
        <v>2</v>
      </c>
      <c r="L929" s="637" t="s">
        <v>52</v>
      </c>
      <c r="M929" s="637" t="s">
        <v>35</v>
      </c>
      <c r="N929" s="637" t="s">
        <v>36</v>
      </c>
      <c r="O929" s="637" t="s">
        <v>37</v>
      </c>
      <c r="P929" s="637" t="s">
        <v>1156</v>
      </c>
      <c r="Q929" s="638">
        <v>0</v>
      </c>
      <c r="R929" s="638">
        <v>0</v>
      </c>
      <c r="S929" s="638">
        <v>21796</v>
      </c>
      <c r="T929" s="638">
        <v>21796</v>
      </c>
      <c r="U929" s="638">
        <v>6388</v>
      </c>
      <c r="V929" s="636">
        <v>2022</v>
      </c>
      <c r="W929" s="640"/>
      <c r="X929" s="641">
        <f t="shared" si="42"/>
        <v>3.4120225422667501</v>
      </c>
      <c r="Y929" s="642" t="str">
        <f t="shared" si="43"/>
        <v/>
      </c>
      <c r="Z929" s="642" t="str">
        <f t="shared" si="44"/>
        <v/>
      </c>
    </row>
    <row r="930" spans="1:26" s="127" customFormat="1" ht="25">
      <c r="A930" s="636">
        <v>54395</v>
      </c>
      <c r="B930" s="637" t="s">
        <v>33</v>
      </c>
      <c r="C930" s="636" t="s">
        <v>2725</v>
      </c>
      <c r="D930" s="637" t="s">
        <v>951</v>
      </c>
      <c r="E930" s="637" t="s">
        <v>1800</v>
      </c>
      <c r="F930" s="636">
        <v>59834</v>
      </c>
      <c r="G930" s="637" t="s">
        <v>57</v>
      </c>
      <c r="H930" s="637" t="s">
        <v>1162</v>
      </c>
      <c r="I930" s="637" t="s">
        <v>58</v>
      </c>
      <c r="J930" s="636">
        <v>22</v>
      </c>
      <c r="K930" s="636">
        <v>2</v>
      </c>
      <c r="L930" s="637" t="s">
        <v>52</v>
      </c>
      <c r="M930" s="637" t="s">
        <v>35</v>
      </c>
      <c r="N930" s="637" t="s">
        <v>36</v>
      </c>
      <c r="O930" s="637" t="s">
        <v>37</v>
      </c>
      <c r="P930" s="637" t="s">
        <v>1156</v>
      </c>
      <c r="Q930" s="638">
        <v>0</v>
      </c>
      <c r="R930" s="638">
        <v>0</v>
      </c>
      <c r="S930" s="638">
        <v>43559</v>
      </c>
      <c r="T930" s="638">
        <v>43559</v>
      </c>
      <c r="U930" s="638">
        <v>12766</v>
      </c>
      <c r="V930" s="636">
        <v>2022</v>
      </c>
      <c r="W930" s="640"/>
      <c r="X930" s="641">
        <f t="shared" si="42"/>
        <v>3.4121102929656901</v>
      </c>
      <c r="Y930" s="642" t="str">
        <f t="shared" si="43"/>
        <v/>
      </c>
      <c r="Z930" s="642" t="str">
        <f t="shared" si="44"/>
        <v/>
      </c>
    </row>
    <row r="931" spans="1:26" s="127" customFormat="1" ht="37.5" hidden="1">
      <c r="A931" s="636">
        <v>54409</v>
      </c>
      <c r="B931" s="637" t="s">
        <v>54</v>
      </c>
      <c r="C931" s="636" t="s">
        <v>2725</v>
      </c>
      <c r="D931" s="637" t="s">
        <v>952</v>
      </c>
      <c r="E931" s="637" t="s">
        <v>953</v>
      </c>
      <c r="F931" s="636">
        <v>4823</v>
      </c>
      <c r="G931" s="637" t="s">
        <v>96</v>
      </c>
      <c r="H931" s="637" t="s">
        <v>1163</v>
      </c>
      <c r="I931" s="637" t="s">
        <v>58</v>
      </c>
      <c r="J931" s="636">
        <v>611</v>
      </c>
      <c r="K931" s="636">
        <v>5</v>
      </c>
      <c r="L931" s="637" t="s">
        <v>407</v>
      </c>
      <c r="M931" s="637" t="s">
        <v>42</v>
      </c>
      <c r="N931" s="637" t="s">
        <v>420</v>
      </c>
      <c r="O931" s="637" t="s">
        <v>67</v>
      </c>
      <c r="P931" s="637" t="s">
        <v>1020</v>
      </c>
      <c r="Q931" s="638">
        <v>0</v>
      </c>
      <c r="R931" s="638">
        <v>0</v>
      </c>
      <c r="S931" s="638">
        <v>0</v>
      </c>
      <c r="T931" s="638">
        <v>0</v>
      </c>
      <c r="U931" s="638">
        <v>0</v>
      </c>
      <c r="V931" s="636">
        <v>2022</v>
      </c>
      <c r="W931" s="640"/>
      <c r="X931" s="641" t="str">
        <f t="shared" si="42"/>
        <v/>
      </c>
      <c r="Y931" s="642" t="str">
        <f t="shared" si="43"/>
        <v/>
      </c>
      <c r="Z931" s="642" t="str">
        <f t="shared" si="44"/>
        <v/>
      </c>
    </row>
    <row r="932" spans="1:26" s="127" customFormat="1" ht="37.5" hidden="1">
      <c r="A932" s="636">
        <v>54409</v>
      </c>
      <c r="B932" s="637" t="s">
        <v>54</v>
      </c>
      <c r="C932" s="636" t="s">
        <v>2725</v>
      </c>
      <c r="D932" s="637" t="s">
        <v>952</v>
      </c>
      <c r="E932" s="637" t="s">
        <v>953</v>
      </c>
      <c r="F932" s="636">
        <v>4823</v>
      </c>
      <c r="G932" s="637" t="s">
        <v>96</v>
      </c>
      <c r="H932" s="637" t="s">
        <v>1163</v>
      </c>
      <c r="I932" s="637" t="s">
        <v>58</v>
      </c>
      <c r="J932" s="636">
        <v>611</v>
      </c>
      <c r="K932" s="636">
        <v>5</v>
      </c>
      <c r="L932" s="637" t="s">
        <v>407</v>
      </c>
      <c r="M932" s="637" t="s">
        <v>42</v>
      </c>
      <c r="N932" s="637" t="s">
        <v>61</v>
      </c>
      <c r="O932" s="637" t="s">
        <v>61</v>
      </c>
      <c r="P932" s="637" t="s">
        <v>47</v>
      </c>
      <c r="Q932" s="638">
        <v>84486</v>
      </c>
      <c r="R932" s="638">
        <v>10951</v>
      </c>
      <c r="S932" s="638">
        <v>532262</v>
      </c>
      <c r="T932" s="638">
        <v>68999</v>
      </c>
      <c r="U932" s="638">
        <v>11181.19</v>
      </c>
      <c r="V932" s="636">
        <v>2022</v>
      </c>
      <c r="W932" s="640"/>
      <c r="X932" s="641" t="str">
        <f t="shared" si="42"/>
        <v/>
      </c>
      <c r="Y932" s="642" t="str">
        <f t="shared" si="43"/>
        <v/>
      </c>
      <c r="Z932" s="642" t="str">
        <f t="shared" si="44"/>
        <v/>
      </c>
    </row>
    <row r="933" spans="1:26" s="127" customFormat="1" ht="25">
      <c r="A933" s="636">
        <v>54418</v>
      </c>
      <c r="B933" s="637" t="s">
        <v>33</v>
      </c>
      <c r="C933" s="636" t="s">
        <v>2725</v>
      </c>
      <c r="D933" s="637" t="s">
        <v>954</v>
      </c>
      <c r="E933" s="637" t="s">
        <v>131</v>
      </c>
      <c r="F933" s="636">
        <v>7601</v>
      </c>
      <c r="G933" s="637" t="s">
        <v>96</v>
      </c>
      <c r="H933" s="637" t="s">
        <v>1163</v>
      </c>
      <c r="I933" s="637" t="s">
        <v>58</v>
      </c>
      <c r="J933" s="636">
        <v>22</v>
      </c>
      <c r="K933" s="636">
        <v>1</v>
      </c>
      <c r="L933" s="637" t="s">
        <v>34</v>
      </c>
      <c r="M933" s="637" t="s">
        <v>35</v>
      </c>
      <c r="N933" s="637" t="s">
        <v>36</v>
      </c>
      <c r="O933" s="637" t="s">
        <v>37</v>
      </c>
      <c r="P933" s="637" t="s">
        <v>1156</v>
      </c>
      <c r="Q933" s="638">
        <v>0</v>
      </c>
      <c r="R933" s="638">
        <v>0</v>
      </c>
      <c r="S933" s="638">
        <v>16365</v>
      </c>
      <c r="T933" s="638">
        <v>16365</v>
      </c>
      <c r="U933" s="638">
        <v>4796</v>
      </c>
      <c r="V933" s="636">
        <v>2022</v>
      </c>
      <c r="W933" s="640"/>
      <c r="X933" s="641">
        <f t="shared" si="42"/>
        <v>3.4122185154295246</v>
      </c>
      <c r="Y933" s="642" t="str">
        <f t="shared" si="43"/>
        <v/>
      </c>
      <c r="Z933" s="642" t="str">
        <f t="shared" si="44"/>
        <v/>
      </c>
    </row>
    <row r="934" spans="1:26" s="127" customFormat="1" ht="25">
      <c r="A934" s="636">
        <v>54471</v>
      </c>
      <c r="B934" s="637" t="s">
        <v>33</v>
      </c>
      <c r="C934" s="636" t="s">
        <v>2725</v>
      </c>
      <c r="D934" s="637" t="s">
        <v>955</v>
      </c>
      <c r="E934" s="637" t="s">
        <v>131</v>
      </c>
      <c r="F934" s="636">
        <v>7601</v>
      </c>
      <c r="G934" s="637" t="s">
        <v>96</v>
      </c>
      <c r="H934" s="637" t="s">
        <v>1163</v>
      </c>
      <c r="I934" s="637" t="s">
        <v>58</v>
      </c>
      <c r="J934" s="636">
        <v>22</v>
      </c>
      <c r="K934" s="636">
        <v>1</v>
      </c>
      <c r="L934" s="637" t="s">
        <v>34</v>
      </c>
      <c r="M934" s="637" t="s">
        <v>35</v>
      </c>
      <c r="N934" s="637" t="s">
        <v>36</v>
      </c>
      <c r="O934" s="637" t="s">
        <v>37</v>
      </c>
      <c r="P934" s="637" t="s">
        <v>1156</v>
      </c>
      <c r="Q934" s="638">
        <v>0</v>
      </c>
      <c r="R934" s="638">
        <v>0</v>
      </c>
      <c r="S934" s="638">
        <v>4395</v>
      </c>
      <c r="T934" s="638">
        <v>4395</v>
      </c>
      <c r="U934" s="638">
        <v>1288</v>
      </c>
      <c r="V934" s="636">
        <v>2022</v>
      </c>
      <c r="W934" s="640"/>
      <c r="X934" s="641">
        <f t="shared" si="42"/>
        <v>3.4122670807453415</v>
      </c>
      <c r="Y934" s="642" t="str">
        <f t="shared" si="43"/>
        <v/>
      </c>
      <c r="Z934" s="642" t="str">
        <f t="shared" si="44"/>
        <v/>
      </c>
    </row>
    <row r="935" spans="1:26" s="127" customFormat="1" ht="25">
      <c r="A935" s="636">
        <v>54547</v>
      </c>
      <c r="B935" s="637" t="s">
        <v>54</v>
      </c>
      <c r="C935" s="636" t="s">
        <v>2725</v>
      </c>
      <c r="D935" s="637" t="s">
        <v>23</v>
      </c>
      <c r="E935" s="637" t="s">
        <v>24</v>
      </c>
      <c r="F935" s="636">
        <v>17254</v>
      </c>
      <c r="G935" s="637" t="s">
        <v>57</v>
      </c>
      <c r="H935" s="637" t="s">
        <v>1162</v>
      </c>
      <c r="I935" s="637" t="s">
        <v>58</v>
      </c>
      <c r="J935" s="636">
        <v>22</v>
      </c>
      <c r="K935" s="636">
        <v>3</v>
      </c>
      <c r="L935" s="637" t="s">
        <v>55</v>
      </c>
      <c r="M935" s="637" t="s">
        <v>38</v>
      </c>
      <c r="N935" s="637" t="s">
        <v>39</v>
      </c>
      <c r="O935" s="637" t="s">
        <v>39</v>
      </c>
      <c r="P935" s="637" t="s">
        <v>1020</v>
      </c>
      <c r="Q935" s="638">
        <v>1185286</v>
      </c>
      <c r="R935" s="638">
        <v>1185286</v>
      </c>
      <c r="S935" s="638">
        <v>1220845</v>
      </c>
      <c r="T935" s="638">
        <v>1220845</v>
      </c>
      <c r="U935" s="638">
        <v>1352397.3</v>
      </c>
      <c r="V935" s="636">
        <v>2022</v>
      </c>
      <c r="W935" s="640"/>
      <c r="X935" s="641">
        <f t="shared" si="42"/>
        <v>0.90272658781557757</v>
      </c>
      <c r="Y935" s="642" t="str">
        <f t="shared" si="43"/>
        <v/>
      </c>
      <c r="Z935" s="642" t="str">
        <f t="shared" si="44"/>
        <v/>
      </c>
    </row>
    <row r="936" spans="1:26" s="127" customFormat="1" ht="25">
      <c r="A936" s="636">
        <v>54547</v>
      </c>
      <c r="B936" s="637" t="s">
        <v>54</v>
      </c>
      <c r="C936" s="636" t="s">
        <v>2725</v>
      </c>
      <c r="D936" s="637" t="s">
        <v>23</v>
      </c>
      <c r="E936" s="637" t="s">
        <v>24</v>
      </c>
      <c r="F936" s="636">
        <v>17254</v>
      </c>
      <c r="G936" s="637" t="s">
        <v>57</v>
      </c>
      <c r="H936" s="637" t="s">
        <v>1162</v>
      </c>
      <c r="I936" s="637" t="s">
        <v>58</v>
      </c>
      <c r="J936" s="636">
        <v>22</v>
      </c>
      <c r="K936" s="636">
        <v>3</v>
      </c>
      <c r="L936" s="637" t="s">
        <v>55</v>
      </c>
      <c r="M936" s="637" t="s">
        <v>41</v>
      </c>
      <c r="N936" s="637" t="s">
        <v>39</v>
      </c>
      <c r="O936" s="637" t="s">
        <v>39</v>
      </c>
      <c r="P936" s="637" t="s">
        <v>1020</v>
      </c>
      <c r="Q936" s="638">
        <v>25045030</v>
      </c>
      <c r="R936" s="638">
        <v>23005468</v>
      </c>
      <c r="S936" s="638">
        <v>25796381</v>
      </c>
      <c r="T936" s="638">
        <v>23695632</v>
      </c>
      <c r="U936" s="638">
        <v>2331035.1</v>
      </c>
      <c r="V936" s="636">
        <v>2022</v>
      </c>
      <c r="W936" s="640"/>
      <c r="X936" s="641">
        <f t="shared" si="42"/>
        <v>10.165283225464945</v>
      </c>
      <c r="Y936" s="642" t="str">
        <f t="shared" si="43"/>
        <v/>
      </c>
      <c r="Z936" s="642" t="str">
        <f t="shared" si="44"/>
        <v/>
      </c>
    </row>
    <row r="937" spans="1:26" s="127" customFormat="1" ht="25">
      <c r="A937" s="636">
        <v>54548</v>
      </c>
      <c r="B937" s="637" t="s">
        <v>33</v>
      </c>
      <c r="C937" s="636" t="s">
        <v>2725</v>
      </c>
      <c r="D937" s="637" t="s">
        <v>956</v>
      </c>
      <c r="E937" s="637" t="s">
        <v>1801</v>
      </c>
      <c r="F937" s="636">
        <v>59827</v>
      </c>
      <c r="G937" s="637" t="s">
        <v>57</v>
      </c>
      <c r="H937" s="637" t="s">
        <v>1162</v>
      </c>
      <c r="I937" s="637" t="s">
        <v>58</v>
      </c>
      <c r="J937" s="636">
        <v>22</v>
      </c>
      <c r="K937" s="636">
        <v>2</v>
      </c>
      <c r="L937" s="637" t="s">
        <v>52</v>
      </c>
      <c r="M937" s="637" t="s">
        <v>35</v>
      </c>
      <c r="N937" s="637" t="s">
        <v>36</v>
      </c>
      <c r="O937" s="637" t="s">
        <v>37</v>
      </c>
      <c r="P937" s="637" t="s">
        <v>1156</v>
      </c>
      <c r="Q937" s="638">
        <v>0</v>
      </c>
      <c r="R937" s="638">
        <v>0</v>
      </c>
      <c r="S937" s="638">
        <v>0</v>
      </c>
      <c r="T937" s="638">
        <v>0</v>
      </c>
      <c r="U937" s="638">
        <v>0</v>
      </c>
      <c r="V937" s="636">
        <v>2022</v>
      </c>
      <c r="W937" s="640"/>
      <c r="X937" s="641" t="str">
        <f t="shared" si="42"/>
        <v/>
      </c>
      <c r="Y937" s="642" t="str">
        <f t="shared" si="43"/>
        <v/>
      </c>
      <c r="Z937" s="642" t="str">
        <f t="shared" si="44"/>
        <v/>
      </c>
    </row>
    <row r="938" spans="1:26" s="127" customFormat="1" ht="25">
      <c r="A938" s="636">
        <v>54572</v>
      </c>
      <c r="B938" s="637" t="s">
        <v>33</v>
      </c>
      <c r="C938" s="636" t="s">
        <v>2725</v>
      </c>
      <c r="D938" s="637" t="s">
        <v>957</v>
      </c>
      <c r="E938" s="637" t="s">
        <v>3025</v>
      </c>
      <c r="F938" s="636">
        <v>57280</v>
      </c>
      <c r="G938" s="637" t="s">
        <v>96</v>
      </c>
      <c r="H938" s="637" t="s">
        <v>1163</v>
      </c>
      <c r="I938" s="637" t="s">
        <v>58</v>
      </c>
      <c r="J938" s="636">
        <v>22</v>
      </c>
      <c r="K938" s="636">
        <v>2</v>
      </c>
      <c r="L938" s="637" t="s">
        <v>52</v>
      </c>
      <c r="M938" s="637" t="s">
        <v>35</v>
      </c>
      <c r="N938" s="637" t="s">
        <v>36</v>
      </c>
      <c r="O938" s="637" t="s">
        <v>37</v>
      </c>
      <c r="P938" s="637" t="s">
        <v>1156</v>
      </c>
      <c r="Q938" s="638">
        <v>0</v>
      </c>
      <c r="R938" s="638">
        <v>0</v>
      </c>
      <c r="S938" s="638">
        <v>12322</v>
      </c>
      <c r="T938" s="638">
        <v>12322</v>
      </c>
      <c r="U938" s="638">
        <v>3612</v>
      </c>
      <c r="V938" s="636">
        <v>2022</v>
      </c>
      <c r="W938" s="640"/>
      <c r="X938" s="641">
        <f t="shared" si="42"/>
        <v>3.4114064230343302</v>
      </c>
      <c r="Y938" s="642" t="str">
        <f t="shared" si="43"/>
        <v/>
      </c>
      <c r="Z938" s="642" t="str">
        <f t="shared" si="44"/>
        <v/>
      </c>
    </row>
    <row r="939" spans="1:26" s="127" customFormat="1" ht="25">
      <c r="A939" s="636">
        <v>54573</v>
      </c>
      <c r="B939" s="637" t="s">
        <v>33</v>
      </c>
      <c r="C939" s="636" t="s">
        <v>2725</v>
      </c>
      <c r="D939" s="637" t="s">
        <v>958</v>
      </c>
      <c r="E939" s="637" t="s">
        <v>959</v>
      </c>
      <c r="F939" s="636">
        <v>54838</v>
      </c>
      <c r="G939" s="637" t="s">
        <v>57</v>
      </c>
      <c r="H939" s="637" t="s">
        <v>1162</v>
      </c>
      <c r="I939" s="637" t="s">
        <v>58</v>
      </c>
      <c r="J939" s="636">
        <v>22</v>
      </c>
      <c r="K939" s="636">
        <v>2</v>
      </c>
      <c r="L939" s="637" t="s">
        <v>52</v>
      </c>
      <c r="M939" s="637" t="s">
        <v>35</v>
      </c>
      <c r="N939" s="637" t="s">
        <v>36</v>
      </c>
      <c r="O939" s="637" t="s">
        <v>37</v>
      </c>
      <c r="P939" s="637" t="s">
        <v>1156</v>
      </c>
      <c r="Q939" s="638">
        <v>0</v>
      </c>
      <c r="R939" s="638">
        <v>0</v>
      </c>
      <c r="S939" s="638">
        <v>24382</v>
      </c>
      <c r="T939" s="638">
        <v>24382</v>
      </c>
      <c r="U939" s="638">
        <v>7146</v>
      </c>
      <c r="V939" s="636">
        <v>2022</v>
      </c>
      <c r="W939" s="640"/>
      <c r="X939" s="641">
        <f t="shared" si="42"/>
        <v>3.411978729359082</v>
      </c>
      <c r="Y939" s="642" t="str">
        <f t="shared" si="43"/>
        <v/>
      </c>
      <c r="Z939" s="642" t="str">
        <f t="shared" si="44"/>
        <v/>
      </c>
    </row>
    <row r="940" spans="1:26" s="127" customFormat="1" ht="25">
      <c r="A940" s="636">
        <v>54574</v>
      </c>
      <c r="B940" s="637" t="s">
        <v>33</v>
      </c>
      <c r="C940" s="636" t="s">
        <v>2725</v>
      </c>
      <c r="D940" s="637" t="s">
        <v>25</v>
      </c>
      <c r="E940" s="637" t="s">
        <v>26</v>
      </c>
      <c r="F940" s="636">
        <v>16729</v>
      </c>
      <c r="G940" s="637" t="s">
        <v>57</v>
      </c>
      <c r="H940" s="637" t="s">
        <v>1162</v>
      </c>
      <c r="I940" s="637" t="s">
        <v>58</v>
      </c>
      <c r="J940" s="636">
        <v>22</v>
      </c>
      <c r="K940" s="636">
        <v>2</v>
      </c>
      <c r="L940" s="637" t="s">
        <v>52</v>
      </c>
      <c r="M940" s="637" t="s">
        <v>38</v>
      </c>
      <c r="N940" s="637" t="s">
        <v>39</v>
      </c>
      <c r="O940" s="637" t="s">
        <v>39</v>
      </c>
      <c r="P940" s="637" t="s">
        <v>1020</v>
      </c>
      <c r="Q940" s="638">
        <v>61317</v>
      </c>
      <c r="R940" s="638">
        <v>61317</v>
      </c>
      <c r="S940" s="638">
        <v>64048</v>
      </c>
      <c r="T940" s="638">
        <v>64048</v>
      </c>
      <c r="U940" s="638">
        <v>32720</v>
      </c>
      <c r="V940" s="636">
        <v>2022</v>
      </c>
      <c r="W940" s="640" t="s">
        <v>3934</v>
      </c>
      <c r="X940" s="641">
        <f t="shared" si="42"/>
        <v>1.9574572127139365</v>
      </c>
      <c r="Y940" s="642" t="str">
        <f t="shared" si="43"/>
        <v/>
      </c>
      <c r="Z940" s="642" t="str">
        <f t="shared" si="44"/>
        <v/>
      </c>
    </row>
    <row r="941" spans="1:26" s="127" customFormat="1" ht="25">
      <c r="A941" s="636">
        <v>54574</v>
      </c>
      <c r="B941" s="637" t="s">
        <v>33</v>
      </c>
      <c r="C941" s="636" t="s">
        <v>2725</v>
      </c>
      <c r="D941" s="637" t="s">
        <v>25</v>
      </c>
      <c r="E941" s="637" t="s">
        <v>26</v>
      </c>
      <c r="F941" s="636">
        <v>16729</v>
      </c>
      <c r="G941" s="637" t="s">
        <v>57</v>
      </c>
      <c r="H941" s="637" t="s">
        <v>1162</v>
      </c>
      <c r="I941" s="637" t="s">
        <v>58</v>
      </c>
      <c r="J941" s="636">
        <v>22</v>
      </c>
      <c r="K941" s="636">
        <v>2</v>
      </c>
      <c r="L941" s="637" t="s">
        <v>52</v>
      </c>
      <c r="M941" s="637" t="s">
        <v>41</v>
      </c>
      <c r="N941" s="637" t="s">
        <v>39</v>
      </c>
      <c r="O941" s="637" t="s">
        <v>39</v>
      </c>
      <c r="P941" s="637" t="s">
        <v>1020</v>
      </c>
      <c r="Q941" s="638">
        <v>781452</v>
      </c>
      <c r="R941" s="638">
        <v>781452</v>
      </c>
      <c r="S941" s="638">
        <v>816954</v>
      </c>
      <c r="T941" s="638">
        <v>816954</v>
      </c>
      <c r="U941" s="638">
        <v>59898</v>
      </c>
      <c r="V941" s="636">
        <v>2022</v>
      </c>
      <c r="W941" s="640" t="s">
        <v>3934</v>
      </c>
      <c r="X941" s="641">
        <f t="shared" si="42"/>
        <v>13.639086446959832</v>
      </c>
      <c r="Y941" s="642" t="str">
        <f t="shared" si="43"/>
        <v/>
      </c>
      <c r="Z941" s="642" t="str">
        <f t="shared" si="44"/>
        <v/>
      </c>
    </row>
    <row r="942" spans="1:26" s="127" customFormat="1" ht="25">
      <c r="A942" s="636">
        <v>54580</v>
      </c>
      <c r="B942" s="637" t="s">
        <v>33</v>
      </c>
      <c r="C942" s="636" t="s">
        <v>2725</v>
      </c>
      <c r="D942" s="637" t="s">
        <v>27</v>
      </c>
      <c r="E942" s="637" t="s">
        <v>1144</v>
      </c>
      <c r="F942" s="636">
        <v>24931</v>
      </c>
      <c r="G942" s="637" t="s">
        <v>57</v>
      </c>
      <c r="H942" s="637" t="s">
        <v>1162</v>
      </c>
      <c r="I942" s="637" t="s">
        <v>58</v>
      </c>
      <c r="J942" s="636">
        <v>22</v>
      </c>
      <c r="K942" s="636">
        <v>2</v>
      </c>
      <c r="L942" s="637" t="s">
        <v>52</v>
      </c>
      <c r="M942" s="637" t="s">
        <v>35</v>
      </c>
      <c r="N942" s="637" t="s">
        <v>36</v>
      </c>
      <c r="O942" s="637" t="s">
        <v>37</v>
      </c>
      <c r="P942" s="637" t="s">
        <v>1156</v>
      </c>
      <c r="Q942" s="638">
        <v>0</v>
      </c>
      <c r="R942" s="638">
        <v>0</v>
      </c>
      <c r="S942" s="638">
        <v>1005820</v>
      </c>
      <c r="T942" s="638">
        <v>1005820</v>
      </c>
      <c r="U942" s="638">
        <v>294789</v>
      </c>
      <c r="V942" s="636">
        <v>2022</v>
      </c>
      <c r="W942" s="640"/>
      <c r="X942" s="641">
        <f t="shared" si="42"/>
        <v>3.4119997693265351</v>
      </c>
      <c r="Y942" s="642" t="str">
        <f t="shared" si="43"/>
        <v/>
      </c>
      <c r="Z942" s="642" t="str">
        <f t="shared" si="44"/>
        <v/>
      </c>
    </row>
    <row r="943" spans="1:26" s="127" customFormat="1" ht="25">
      <c r="A943" s="636">
        <v>54586</v>
      </c>
      <c r="B943" s="637" t="s">
        <v>33</v>
      </c>
      <c r="C943" s="636" t="s">
        <v>2725</v>
      </c>
      <c r="D943" s="637" t="s">
        <v>1802</v>
      </c>
      <c r="E943" s="637" t="s">
        <v>3611</v>
      </c>
      <c r="F943" s="636">
        <v>65159</v>
      </c>
      <c r="G943" s="637" t="s">
        <v>81</v>
      </c>
      <c r="H943" s="637" t="s">
        <v>1163</v>
      </c>
      <c r="I943" s="637" t="s">
        <v>58</v>
      </c>
      <c r="J943" s="636">
        <v>22</v>
      </c>
      <c r="K943" s="636">
        <v>2</v>
      </c>
      <c r="L943" s="637" t="s">
        <v>52</v>
      </c>
      <c r="M943" s="637" t="s">
        <v>38</v>
      </c>
      <c r="N943" s="637" t="s">
        <v>46</v>
      </c>
      <c r="O943" s="637" t="s">
        <v>46</v>
      </c>
      <c r="P943" s="637" t="s">
        <v>47</v>
      </c>
      <c r="Q943" s="638">
        <v>0</v>
      </c>
      <c r="R943" s="638">
        <v>0</v>
      </c>
      <c r="S943" s="638">
        <v>0</v>
      </c>
      <c r="T943" s="638">
        <v>0</v>
      </c>
      <c r="U943" s="638">
        <v>45.529000000000003</v>
      </c>
      <c r="V943" s="636">
        <v>2022</v>
      </c>
      <c r="W943" s="640" t="s">
        <v>3934</v>
      </c>
      <c r="X943" s="641" t="str">
        <f t="shared" si="42"/>
        <v/>
      </c>
      <c r="Y943" s="642" t="str">
        <f t="shared" si="43"/>
        <v/>
      </c>
      <c r="Z943" s="642" t="str">
        <f t="shared" si="44"/>
        <v/>
      </c>
    </row>
    <row r="944" spans="1:26" s="127" customFormat="1" ht="25">
      <c r="A944" s="636">
        <v>54586</v>
      </c>
      <c r="B944" s="637" t="s">
        <v>33</v>
      </c>
      <c r="C944" s="636" t="s">
        <v>2725</v>
      </c>
      <c r="D944" s="637" t="s">
        <v>1802</v>
      </c>
      <c r="E944" s="637" t="s">
        <v>3611</v>
      </c>
      <c r="F944" s="636">
        <v>65159</v>
      </c>
      <c r="G944" s="637" t="s">
        <v>81</v>
      </c>
      <c r="H944" s="637" t="s">
        <v>1163</v>
      </c>
      <c r="I944" s="637" t="s">
        <v>58</v>
      </c>
      <c r="J944" s="636">
        <v>22</v>
      </c>
      <c r="K944" s="636">
        <v>2</v>
      </c>
      <c r="L944" s="637" t="s">
        <v>52</v>
      </c>
      <c r="M944" s="637" t="s">
        <v>38</v>
      </c>
      <c r="N944" s="637" t="s">
        <v>39</v>
      </c>
      <c r="O944" s="637" t="s">
        <v>39</v>
      </c>
      <c r="P944" s="637" t="s">
        <v>1020</v>
      </c>
      <c r="Q944" s="638">
        <v>12328</v>
      </c>
      <c r="R944" s="638">
        <v>12328</v>
      </c>
      <c r="S944" s="638">
        <v>14794</v>
      </c>
      <c r="T944" s="638">
        <v>14794</v>
      </c>
      <c r="U944" s="638">
        <v>3893.471</v>
      </c>
      <c r="V944" s="636">
        <v>2022</v>
      </c>
      <c r="W944" s="640" t="s">
        <v>3934</v>
      </c>
      <c r="X944" s="641">
        <f t="shared" si="42"/>
        <v>3.7996944114904156</v>
      </c>
      <c r="Y944" s="642" t="str">
        <f t="shared" si="43"/>
        <v/>
      </c>
      <c r="Z944" s="642" t="str">
        <f t="shared" si="44"/>
        <v/>
      </c>
    </row>
    <row r="945" spans="1:26" s="127" customFormat="1" ht="25">
      <c r="A945" s="636">
        <v>54586</v>
      </c>
      <c r="B945" s="637" t="s">
        <v>33</v>
      </c>
      <c r="C945" s="636" t="s">
        <v>2725</v>
      </c>
      <c r="D945" s="637" t="s">
        <v>1802</v>
      </c>
      <c r="E945" s="637" t="s">
        <v>3611</v>
      </c>
      <c r="F945" s="636">
        <v>65159</v>
      </c>
      <c r="G945" s="637" t="s">
        <v>81</v>
      </c>
      <c r="H945" s="637" t="s">
        <v>1163</v>
      </c>
      <c r="I945" s="637" t="s">
        <v>58</v>
      </c>
      <c r="J945" s="636">
        <v>22</v>
      </c>
      <c r="K945" s="636">
        <v>2</v>
      </c>
      <c r="L945" s="637" t="s">
        <v>52</v>
      </c>
      <c r="M945" s="637" t="s">
        <v>41</v>
      </c>
      <c r="N945" s="637" t="s">
        <v>46</v>
      </c>
      <c r="O945" s="637" t="s">
        <v>46</v>
      </c>
      <c r="P945" s="637" t="s">
        <v>47</v>
      </c>
      <c r="Q945" s="638">
        <v>560</v>
      </c>
      <c r="R945" s="638">
        <v>560</v>
      </c>
      <c r="S945" s="638">
        <v>3248</v>
      </c>
      <c r="T945" s="638">
        <v>3248</v>
      </c>
      <c r="U945" s="638">
        <v>264.60500000000002</v>
      </c>
      <c r="V945" s="636">
        <v>2022</v>
      </c>
      <c r="W945" s="640" t="s">
        <v>3934</v>
      </c>
      <c r="X945" s="641">
        <f t="shared" si="42"/>
        <v>12.274900323123145</v>
      </c>
      <c r="Y945" s="642" t="str">
        <f t="shared" si="43"/>
        <v/>
      </c>
      <c r="Z945" s="642" t="str">
        <f t="shared" si="44"/>
        <v/>
      </c>
    </row>
    <row r="946" spans="1:26" s="127" customFormat="1" ht="25">
      <c r="A946" s="636">
        <v>54586</v>
      </c>
      <c r="B946" s="637" t="s">
        <v>33</v>
      </c>
      <c r="C946" s="636" t="s">
        <v>2725</v>
      </c>
      <c r="D946" s="637" t="s">
        <v>1802</v>
      </c>
      <c r="E946" s="637" t="s">
        <v>3611</v>
      </c>
      <c r="F946" s="636">
        <v>65159</v>
      </c>
      <c r="G946" s="637" t="s">
        <v>81</v>
      </c>
      <c r="H946" s="637" t="s">
        <v>1163</v>
      </c>
      <c r="I946" s="637" t="s">
        <v>58</v>
      </c>
      <c r="J946" s="636">
        <v>22</v>
      </c>
      <c r="K946" s="636">
        <v>2</v>
      </c>
      <c r="L946" s="637" t="s">
        <v>52</v>
      </c>
      <c r="M946" s="637" t="s">
        <v>41</v>
      </c>
      <c r="N946" s="637" t="s">
        <v>39</v>
      </c>
      <c r="O946" s="637" t="s">
        <v>39</v>
      </c>
      <c r="P946" s="637" t="s">
        <v>1020</v>
      </c>
      <c r="Q946" s="638">
        <v>188020</v>
      </c>
      <c r="R946" s="638">
        <v>188020</v>
      </c>
      <c r="S946" s="638">
        <v>225623</v>
      </c>
      <c r="T946" s="638">
        <v>225623</v>
      </c>
      <c r="U946" s="638">
        <v>18419.395</v>
      </c>
      <c r="V946" s="636">
        <v>2022</v>
      </c>
      <c r="W946" s="640" t="s">
        <v>3934</v>
      </c>
      <c r="X946" s="641">
        <f t="shared" si="42"/>
        <v>12.249207968014151</v>
      </c>
      <c r="Y946" s="642" t="str">
        <f t="shared" si="43"/>
        <v/>
      </c>
      <c r="Z946" s="642" t="str">
        <f t="shared" si="44"/>
        <v/>
      </c>
    </row>
    <row r="947" spans="1:26" s="127" customFormat="1" ht="25">
      <c r="A947" s="636">
        <v>54592</v>
      </c>
      <c r="B947" s="637" t="s">
        <v>33</v>
      </c>
      <c r="C947" s="636" t="s">
        <v>2725</v>
      </c>
      <c r="D947" s="637" t="s">
        <v>300</v>
      </c>
      <c r="E947" s="637" t="s">
        <v>1176</v>
      </c>
      <c r="F947" s="636">
        <v>15253</v>
      </c>
      <c r="G947" s="637" t="s">
        <v>57</v>
      </c>
      <c r="H947" s="637" t="s">
        <v>1162</v>
      </c>
      <c r="I947" s="637" t="s">
        <v>58</v>
      </c>
      <c r="J947" s="636">
        <v>22</v>
      </c>
      <c r="K947" s="636">
        <v>2</v>
      </c>
      <c r="L947" s="637" t="s">
        <v>52</v>
      </c>
      <c r="M947" s="637" t="s">
        <v>38</v>
      </c>
      <c r="N947" s="637" t="s">
        <v>46</v>
      </c>
      <c r="O947" s="637" t="s">
        <v>46</v>
      </c>
      <c r="P947" s="637" t="s">
        <v>47</v>
      </c>
      <c r="Q947" s="638">
        <v>0</v>
      </c>
      <c r="R947" s="638">
        <v>0</v>
      </c>
      <c r="S947" s="638">
        <v>0</v>
      </c>
      <c r="T947" s="638">
        <v>0</v>
      </c>
      <c r="U947" s="638">
        <v>0</v>
      </c>
      <c r="V947" s="636">
        <v>2022</v>
      </c>
      <c r="W947" s="640"/>
      <c r="X947" s="641" t="str">
        <f t="shared" si="42"/>
        <v/>
      </c>
      <c r="Y947" s="642" t="str">
        <f t="shared" si="43"/>
        <v/>
      </c>
      <c r="Z947" s="642" t="str">
        <f t="shared" si="44"/>
        <v/>
      </c>
    </row>
    <row r="948" spans="1:26" s="127" customFormat="1" ht="25">
      <c r="A948" s="636">
        <v>54592</v>
      </c>
      <c r="B948" s="637" t="s">
        <v>33</v>
      </c>
      <c r="C948" s="636" t="s">
        <v>2725</v>
      </c>
      <c r="D948" s="637" t="s">
        <v>300</v>
      </c>
      <c r="E948" s="637" t="s">
        <v>1176</v>
      </c>
      <c r="F948" s="636">
        <v>15253</v>
      </c>
      <c r="G948" s="637" t="s">
        <v>57</v>
      </c>
      <c r="H948" s="637" t="s">
        <v>1162</v>
      </c>
      <c r="I948" s="637" t="s">
        <v>58</v>
      </c>
      <c r="J948" s="636">
        <v>22</v>
      </c>
      <c r="K948" s="636">
        <v>2</v>
      </c>
      <c r="L948" s="637" t="s">
        <v>52</v>
      </c>
      <c r="M948" s="637" t="s">
        <v>38</v>
      </c>
      <c r="N948" s="637" t="s">
        <v>39</v>
      </c>
      <c r="O948" s="637" t="s">
        <v>39</v>
      </c>
      <c r="P948" s="637" t="s">
        <v>1020</v>
      </c>
      <c r="Q948" s="638">
        <v>818</v>
      </c>
      <c r="R948" s="638">
        <v>818</v>
      </c>
      <c r="S948" s="638">
        <v>851</v>
      </c>
      <c r="T948" s="638">
        <v>851</v>
      </c>
      <c r="U948" s="638">
        <v>202</v>
      </c>
      <c r="V948" s="636">
        <v>2022</v>
      </c>
      <c r="W948" s="640"/>
      <c r="X948" s="641">
        <f t="shared" si="42"/>
        <v>4.2128712871287126</v>
      </c>
      <c r="Y948" s="642" t="str">
        <f t="shared" si="43"/>
        <v/>
      </c>
      <c r="Z948" s="642" t="str">
        <f t="shared" si="44"/>
        <v/>
      </c>
    </row>
    <row r="949" spans="1:26" s="127" customFormat="1" ht="25">
      <c r="A949" s="636">
        <v>54592</v>
      </c>
      <c r="B949" s="637" t="s">
        <v>33</v>
      </c>
      <c r="C949" s="636" t="s">
        <v>2725</v>
      </c>
      <c r="D949" s="637" t="s">
        <v>300</v>
      </c>
      <c r="E949" s="637" t="s">
        <v>1176</v>
      </c>
      <c r="F949" s="636">
        <v>15253</v>
      </c>
      <c r="G949" s="637" t="s">
        <v>57</v>
      </c>
      <c r="H949" s="637" t="s">
        <v>1162</v>
      </c>
      <c r="I949" s="637" t="s">
        <v>58</v>
      </c>
      <c r="J949" s="636">
        <v>22</v>
      </c>
      <c r="K949" s="636">
        <v>2</v>
      </c>
      <c r="L949" s="637" t="s">
        <v>52</v>
      </c>
      <c r="M949" s="637" t="s">
        <v>38</v>
      </c>
      <c r="N949" s="637" t="s">
        <v>418</v>
      </c>
      <c r="O949" s="637" t="s">
        <v>49</v>
      </c>
      <c r="P949" s="637" t="s">
        <v>47</v>
      </c>
      <c r="Q949" s="638">
        <v>0</v>
      </c>
      <c r="R949" s="638">
        <v>0</v>
      </c>
      <c r="S949" s="638">
        <v>0</v>
      </c>
      <c r="T949" s="638">
        <v>0</v>
      </c>
      <c r="U949" s="638">
        <v>0</v>
      </c>
      <c r="V949" s="636">
        <v>2022</v>
      </c>
      <c r="W949" s="640"/>
      <c r="X949" s="641" t="str">
        <f t="shared" si="42"/>
        <v/>
      </c>
      <c r="Y949" s="642" t="str">
        <f t="shared" si="43"/>
        <v/>
      </c>
      <c r="Z949" s="642" t="str">
        <f t="shared" si="44"/>
        <v/>
      </c>
    </row>
    <row r="950" spans="1:26" s="127" customFormat="1" ht="25">
      <c r="A950" s="636">
        <v>54592</v>
      </c>
      <c r="B950" s="637" t="s">
        <v>33</v>
      </c>
      <c r="C950" s="636" t="s">
        <v>2725</v>
      </c>
      <c r="D950" s="637" t="s">
        <v>300</v>
      </c>
      <c r="E950" s="637" t="s">
        <v>1176</v>
      </c>
      <c r="F950" s="636">
        <v>15253</v>
      </c>
      <c r="G950" s="637" t="s">
        <v>57</v>
      </c>
      <c r="H950" s="637" t="s">
        <v>1162</v>
      </c>
      <c r="I950" s="637" t="s">
        <v>58</v>
      </c>
      <c r="J950" s="636">
        <v>22</v>
      </c>
      <c r="K950" s="636">
        <v>2</v>
      </c>
      <c r="L950" s="637" t="s">
        <v>52</v>
      </c>
      <c r="M950" s="637" t="s">
        <v>41</v>
      </c>
      <c r="N950" s="637" t="s">
        <v>46</v>
      </c>
      <c r="O950" s="637" t="s">
        <v>46</v>
      </c>
      <c r="P950" s="637" t="s">
        <v>47</v>
      </c>
      <c r="Q950" s="638">
        <v>0</v>
      </c>
      <c r="R950" s="638">
        <v>0</v>
      </c>
      <c r="S950" s="638">
        <v>0</v>
      </c>
      <c r="T950" s="638">
        <v>0</v>
      </c>
      <c r="U950" s="638">
        <v>0</v>
      </c>
      <c r="V950" s="636">
        <v>2022</v>
      </c>
      <c r="W950" s="640"/>
      <c r="X950" s="641" t="str">
        <f t="shared" si="42"/>
        <v/>
      </c>
      <c r="Y950" s="642" t="str">
        <f t="shared" si="43"/>
        <v/>
      </c>
      <c r="Z950" s="642" t="str">
        <f t="shared" si="44"/>
        <v/>
      </c>
    </row>
    <row r="951" spans="1:26" s="127" customFormat="1" ht="25">
      <c r="A951" s="636">
        <v>54592</v>
      </c>
      <c r="B951" s="637" t="s">
        <v>33</v>
      </c>
      <c r="C951" s="636" t="s">
        <v>2725</v>
      </c>
      <c r="D951" s="637" t="s">
        <v>300</v>
      </c>
      <c r="E951" s="637" t="s">
        <v>1176</v>
      </c>
      <c r="F951" s="636">
        <v>15253</v>
      </c>
      <c r="G951" s="637" t="s">
        <v>57</v>
      </c>
      <c r="H951" s="637" t="s">
        <v>1162</v>
      </c>
      <c r="I951" s="637" t="s">
        <v>58</v>
      </c>
      <c r="J951" s="636">
        <v>22</v>
      </c>
      <c r="K951" s="636">
        <v>2</v>
      </c>
      <c r="L951" s="637" t="s">
        <v>52</v>
      </c>
      <c r="M951" s="637" t="s">
        <v>41</v>
      </c>
      <c r="N951" s="637" t="s">
        <v>39</v>
      </c>
      <c r="O951" s="637" t="s">
        <v>39</v>
      </c>
      <c r="P951" s="637" t="s">
        <v>1020</v>
      </c>
      <c r="Q951" s="638">
        <v>3988</v>
      </c>
      <c r="R951" s="638">
        <v>3988</v>
      </c>
      <c r="S951" s="638">
        <v>4145</v>
      </c>
      <c r="T951" s="638">
        <v>4145</v>
      </c>
      <c r="U951" s="638">
        <v>345</v>
      </c>
      <c r="V951" s="636">
        <v>2022</v>
      </c>
      <c r="W951" s="640"/>
      <c r="X951" s="641">
        <f t="shared" si="42"/>
        <v>12.014492753623188</v>
      </c>
      <c r="Y951" s="642" t="str">
        <f t="shared" si="43"/>
        <v/>
      </c>
      <c r="Z951" s="642" t="str">
        <f t="shared" si="44"/>
        <v/>
      </c>
    </row>
    <row r="952" spans="1:26" s="127" customFormat="1" ht="25">
      <c r="A952" s="636">
        <v>54592</v>
      </c>
      <c r="B952" s="637" t="s">
        <v>33</v>
      </c>
      <c r="C952" s="636" t="s">
        <v>2725</v>
      </c>
      <c r="D952" s="637" t="s">
        <v>300</v>
      </c>
      <c r="E952" s="637" t="s">
        <v>1176</v>
      </c>
      <c r="F952" s="636">
        <v>15253</v>
      </c>
      <c r="G952" s="637" t="s">
        <v>57</v>
      </c>
      <c r="H952" s="637" t="s">
        <v>1162</v>
      </c>
      <c r="I952" s="637" t="s">
        <v>58</v>
      </c>
      <c r="J952" s="636">
        <v>22</v>
      </c>
      <c r="K952" s="636">
        <v>2</v>
      </c>
      <c r="L952" s="637" t="s">
        <v>52</v>
      </c>
      <c r="M952" s="637" t="s">
        <v>41</v>
      </c>
      <c r="N952" s="637" t="s">
        <v>418</v>
      </c>
      <c r="O952" s="637" t="s">
        <v>49</v>
      </c>
      <c r="P952" s="637" t="s">
        <v>47</v>
      </c>
      <c r="Q952" s="638">
        <v>0</v>
      </c>
      <c r="R952" s="638">
        <v>0</v>
      </c>
      <c r="S952" s="638">
        <v>0</v>
      </c>
      <c r="T952" s="638">
        <v>0</v>
      </c>
      <c r="U952" s="638">
        <v>0</v>
      </c>
      <c r="V952" s="636">
        <v>2022</v>
      </c>
      <c r="W952" s="640"/>
      <c r="X952" s="641" t="str">
        <f t="shared" si="42"/>
        <v/>
      </c>
      <c r="Y952" s="642" t="str">
        <f t="shared" si="43"/>
        <v/>
      </c>
      <c r="Z952" s="642" t="str">
        <f t="shared" si="44"/>
        <v/>
      </c>
    </row>
    <row r="953" spans="1:26" s="127" customFormat="1" ht="25">
      <c r="A953" s="636">
        <v>54592</v>
      </c>
      <c r="B953" s="637" t="s">
        <v>33</v>
      </c>
      <c r="C953" s="636" t="s">
        <v>2725</v>
      </c>
      <c r="D953" s="637" t="s">
        <v>300</v>
      </c>
      <c r="E953" s="637" t="s">
        <v>1176</v>
      </c>
      <c r="F953" s="636">
        <v>15253</v>
      </c>
      <c r="G953" s="637" t="s">
        <v>57</v>
      </c>
      <c r="H953" s="637" t="s">
        <v>1162</v>
      </c>
      <c r="I953" s="637" t="s">
        <v>58</v>
      </c>
      <c r="J953" s="636">
        <v>22</v>
      </c>
      <c r="K953" s="636">
        <v>2</v>
      </c>
      <c r="L953" s="637" t="s">
        <v>52</v>
      </c>
      <c r="M953" s="637" t="s">
        <v>51</v>
      </c>
      <c r="N953" s="637" t="s">
        <v>46</v>
      </c>
      <c r="O953" s="637" t="s">
        <v>46</v>
      </c>
      <c r="P953" s="637" t="s">
        <v>47</v>
      </c>
      <c r="Q953" s="638">
        <v>0</v>
      </c>
      <c r="R953" s="638">
        <v>0</v>
      </c>
      <c r="S953" s="638">
        <v>0</v>
      </c>
      <c r="T953" s="638">
        <v>0</v>
      </c>
      <c r="U953" s="638">
        <v>0</v>
      </c>
      <c r="V953" s="636">
        <v>2022</v>
      </c>
      <c r="W953" s="640"/>
      <c r="X953" s="641" t="str">
        <f t="shared" si="42"/>
        <v/>
      </c>
      <c r="Y953" s="642" t="str">
        <f t="shared" si="43"/>
        <v/>
      </c>
      <c r="Z953" s="642" t="str">
        <f t="shared" si="44"/>
        <v/>
      </c>
    </row>
    <row r="954" spans="1:26" s="127" customFormat="1" ht="25">
      <c r="A954" s="636">
        <v>54593</v>
      </c>
      <c r="B954" s="637" t="s">
        <v>33</v>
      </c>
      <c r="C954" s="636" t="s">
        <v>2725</v>
      </c>
      <c r="D954" s="637" t="s">
        <v>961</v>
      </c>
      <c r="E954" s="637" t="s">
        <v>962</v>
      </c>
      <c r="F954" s="636">
        <v>16839</v>
      </c>
      <c r="G954" s="637" t="s">
        <v>57</v>
      </c>
      <c r="H954" s="637" t="s">
        <v>1162</v>
      </c>
      <c r="I954" s="637" t="s">
        <v>58</v>
      </c>
      <c r="J954" s="636">
        <v>22</v>
      </c>
      <c r="K954" s="636">
        <v>2</v>
      </c>
      <c r="L954" s="637" t="s">
        <v>52</v>
      </c>
      <c r="M954" s="637" t="s">
        <v>38</v>
      </c>
      <c r="N954" s="637" t="s">
        <v>39</v>
      </c>
      <c r="O954" s="637" t="s">
        <v>39</v>
      </c>
      <c r="P954" s="637" t="s">
        <v>1020</v>
      </c>
      <c r="Q954" s="638">
        <v>0</v>
      </c>
      <c r="R954" s="638">
        <v>0</v>
      </c>
      <c r="S954" s="638">
        <v>0</v>
      </c>
      <c r="T954" s="638">
        <v>0</v>
      </c>
      <c r="U954" s="638">
        <v>558</v>
      </c>
      <c r="V954" s="636">
        <v>2022</v>
      </c>
      <c r="W954" s="640" t="s">
        <v>3934</v>
      </c>
      <c r="X954" s="641" t="str">
        <f t="shared" si="42"/>
        <v/>
      </c>
      <c r="Y954" s="642" t="str">
        <f t="shared" si="43"/>
        <v/>
      </c>
      <c r="Z954" s="642" t="str">
        <f t="shared" si="44"/>
        <v/>
      </c>
    </row>
    <row r="955" spans="1:26" s="127" customFormat="1" ht="25">
      <c r="A955" s="636">
        <v>54593</v>
      </c>
      <c r="B955" s="637" t="s">
        <v>33</v>
      </c>
      <c r="C955" s="636" t="s">
        <v>2725</v>
      </c>
      <c r="D955" s="637" t="s">
        <v>961</v>
      </c>
      <c r="E955" s="637" t="s">
        <v>962</v>
      </c>
      <c r="F955" s="636">
        <v>16839</v>
      </c>
      <c r="G955" s="637" t="s">
        <v>57</v>
      </c>
      <c r="H955" s="637" t="s">
        <v>1162</v>
      </c>
      <c r="I955" s="637" t="s">
        <v>58</v>
      </c>
      <c r="J955" s="636">
        <v>22</v>
      </c>
      <c r="K955" s="636">
        <v>2</v>
      </c>
      <c r="L955" s="637" t="s">
        <v>52</v>
      </c>
      <c r="M955" s="637" t="s">
        <v>41</v>
      </c>
      <c r="N955" s="637" t="s">
        <v>39</v>
      </c>
      <c r="O955" s="637" t="s">
        <v>39</v>
      </c>
      <c r="P955" s="637" t="s">
        <v>1020</v>
      </c>
      <c r="Q955" s="638">
        <v>21992</v>
      </c>
      <c r="R955" s="638">
        <v>21992</v>
      </c>
      <c r="S955" s="638">
        <v>22652</v>
      </c>
      <c r="T955" s="638">
        <v>22652</v>
      </c>
      <c r="U955" s="638">
        <v>1752</v>
      </c>
      <c r="V955" s="636">
        <v>2022</v>
      </c>
      <c r="W955" s="640" t="s">
        <v>3934</v>
      </c>
      <c r="X955" s="641">
        <f t="shared" si="42"/>
        <v>12.929223744292237</v>
      </c>
      <c r="Y955" s="642" t="str">
        <f t="shared" si="43"/>
        <v/>
      </c>
      <c r="Z955" s="642" t="str">
        <f t="shared" si="44"/>
        <v/>
      </c>
    </row>
    <row r="956" spans="1:26" s="127" customFormat="1" ht="25">
      <c r="A956" s="636">
        <v>54593</v>
      </c>
      <c r="B956" s="637" t="s">
        <v>33</v>
      </c>
      <c r="C956" s="636" t="s">
        <v>2725</v>
      </c>
      <c r="D956" s="637" t="s">
        <v>961</v>
      </c>
      <c r="E956" s="637" t="s">
        <v>962</v>
      </c>
      <c r="F956" s="636">
        <v>16839</v>
      </c>
      <c r="G956" s="637" t="s">
        <v>57</v>
      </c>
      <c r="H956" s="637" t="s">
        <v>1162</v>
      </c>
      <c r="I956" s="637" t="s">
        <v>58</v>
      </c>
      <c r="J956" s="636">
        <v>22</v>
      </c>
      <c r="K956" s="636">
        <v>2</v>
      </c>
      <c r="L956" s="637" t="s">
        <v>52</v>
      </c>
      <c r="M956" s="637" t="s">
        <v>51</v>
      </c>
      <c r="N956" s="637" t="s">
        <v>46</v>
      </c>
      <c r="O956" s="637" t="s">
        <v>46</v>
      </c>
      <c r="P956" s="637" t="s">
        <v>47</v>
      </c>
      <c r="Q956" s="638">
        <v>0</v>
      </c>
      <c r="R956" s="638">
        <v>0</v>
      </c>
      <c r="S956" s="638">
        <v>0</v>
      </c>
      <c r="T956" s="638">
        <v>0</v>
      </c>
      <c r="U956" s="638">
        <v>0</v>
      </c>
      <c r="V956" s="636">
        <v>2022</v>
      </c>
      <c r="W956" s="640"/>
      <c r="X956" s="641" t="str">
        <f t="shared" si="42"/>
        <v/>
      </c>
      <c r="Y956" s="642" t="str">
        <f t="shared" si="43"/>
        <v/>
      </c>
      <c r="Z956" s="642" t="str">
        <f t="shared" si="44"/>
        <v/>
      </c>
    </row>
    <row r="957" spans="1:26" s="127" customFormat="1" ht="37.5" hidden="1">
      <c r="A957" s="636">
        <v>54605</v>
      </c>
      <c r="B957" s="637" t="s">
        <v>54</v>
      </c>
      <c r="C957" s="636" t="s">
        <v>2725</v>
      </c>
      <c r="D957" s="637" t="s">
        <v>963</v>
      </c>
      <c r="E957" s="637" t="s">
        <v>964</v>
      </c>
      <c r="F957" s="636">
        <v>21621</v>
      </c>
      <c r="G957" s="637" t="s">
        <v>41</v>
      </c>
      <c r="H957" s="637" t="s">
        <v>1163</v>
      </c>
      <c r="I957" s="637" t="s">
        <v>58</v>
      </c>
      <c r="J957" s="636">
        <v>336</v>
      </c>
      <c r="K957" s="636">
        <v>7</v>
      </c>
      <c r="L957" s="637" t="s">
        <v>403</v>
      </c>
      <c r="M957" s="637" t="s">
        <v>50</v>
      </c>
      <c r="N957" s="637" t="s">
        <v>46</v>
      </c>
      <c r="O957" s="637" t="s">
        <v>46</v>
      </c>
      <c r="P957" s="637" t="s">
        <v>47</v>
      </c>
      <c r="Q957" s="638">
        <v>0</v>
      </c>
      <c r="R957" s="638">
        <v>0</v>
      </c>
      <c r="S957" s="638">
        <v>0</v>
      </c>
      <c r="T957" s="638">
        <v>0</v>
      </c>
      <c r="U957" s="638">
        <v>0</v>
      </c>
      <c r="V957" s="636">
        <v>2022</v>
      </c>
      <c r="W957" s="640"/>
      <c r="X957" s="641" t="str">
        <f t="shared" si="42"/>
        <v/>
      </c>
      <c r="Y957" s="642" t="str">
        <f t="shared" si="43"/>
        <v/>
      </c>
      <c r="Z957" s="642" t="str">
        <f t="shared" si="44"/>
        <v/>
      </c>
    </row>
    <row r="958" spans="1:26" s="127" customFormat="1" ht="37.5" hidden="1">
      <c r="A958" s="636">
        <v>54605</v>
      </c>
      <c r="B958" s="637" t="s">
        <v>54</v>
      </c>
      <c r="C958" s="636" t="s">
        <v>2725</v>
      </c>
      <c r="D958" s="637" t="s">
        <v>963</v>
      </c>
      <c r="E958" s="637" t="s">
        <v>964</v>
      </c>
      <c r="F958" s="636">
        <v>21621</v>
      </c>
      <c r="G958" s="637" t="s">
        <v>41</v>
      </c>
      <c r="H958" s="637" t="s">
        <v>1163</v>
      </c>
      <c r="I958" s="637" t="s">
        <v>58</v>
      </c>
      <c r="J958" s="636">
        <v>336</v>
      </c>
      <c r="K958" s="636">
        <v>7</v>
      </c>
      <c r="L958" s="637" t="s">
        <v>403</v>
      </c>
      <c r="M958" s="637" t="s">
        <v>50</v>
      </c>
      <c r="N958" s="637" t="s">
        <v>66</v>
      </c>
      <c r="O958" s="637" t="s">
        <v>67</v>
      </c>
      <c r="P958" s="637" t="s">
        <v>47</v>
      </c>
      <c r="Q958" s="638">
        <v>0</v>
      </c>
      <c r="R958" s="638">
        <v>0</v>
      </c>
      <c r="S958" s="638">
        <v>0</v>
      </c>
      <c r="T958" s="638">
        <v>0</v>
      </c>
      <c r="U958" s="638">
        <v>0</v>
      </c>
      <c r="V958" s="636">
        <v>2022</v>
      </c>
      <c r="W958" s="640"/>
      <c r="X958" s="641" t="str">
        <f t="shared" si="42"/>
        <v/>
      </c>
      <c r="Y958" s="642" t="str">
        <f t="shared" si="43"/>
        <v/>
      </c>
      <c r="Z958" s="642" t="str">
        <f t="shared" si="44"/>
        <v/>
      </c>
    </row>
    <row r="959" spans="1:26" s="127" customFormat="1" ht="37.5" hidden="1">
      <c r="A959" s="636">
        <v>54605</v>
      </c>
      <c r="B959" s="637" t="s">
        <v>54</v>
      </c>
      <c r="C959" s="636" t="s">
        <v>2725</v>
      </c>
      <c r="D959" s="637" t="s">
        <v>963</v>
      </c>
      <c r="E959" s="637" t="s">
        <v>964</v>
      </c>
      <c r="F959" s="636">
        <v>21621</v>
      </c>
      <c r="G959" s="637" t="s">
        <v>41</v>
      </c>
      <c r="H959" s="637" t="s">
        <v>1163</v>
      </c>
      <c r="I959" s="637" t="s">
        <v>58</v>
      </c>
      <c r="J959" s="636">
        <v>336</v>
      </c>
      <c r="K959" s="636">
        <v>7</v>
      </c>
      <c r="L959" s="637" t="s">
        <v>403</v>
      </c>
      <c r="M959" s="637" t="s">
        <v>50</v>
      </c>
      <c r="N959" s="637" t="s">
        <v>39</v>
      </c>
      <c r="O959" s="637" t="s">
        <v>39</v>
      </c>
      <c r="P959" s="637" t="s">
        <v>1020</v>
      </c>
      <c r="Q959" s="638">
        <v>806886</v>
      </c>
      <c r="R959" s="638">
        <v>328237</v>
      </c>
      <c r="S959" s="638">
        <v>828590</v>
      </c>
      <c r="T959" s="638">
        <v>337064</v>
      </c>
      <c r="U959" s="638">
        <v>68530</v>
      </c>
      <c r="V959" s="636">
        <v>2022</v>
      </c>
      <c r="W959" s="640"/>
      <c r="X959" s="641" t="str">
        <f t="shared" si="42"/>
        <v/>
      </c>
      <c r="Y959" s="642">
        <f t="shared" si="43"/>
        <v>5.5976430976430978</v>
      </c>
      <c r="Z959" s="642" t="str">
        <f t="shared" si="44"/>
        <v/>
      </c>
    </row>
    <row r="960" spans="1:26" s="127" customFormat="1" ht="25">
      <c r="A960" s="636">
        <v>54620</v>
      </c>
      <c r="B960" s="637" t="s">
        <v>33</v>
      </c>
      <c r="C960" s="636" t="s">
        <v>2725</v>
      </c>
      <c r="D960" s="637" t="s">
        <v>3612</v>
      </c>
      <c r="E960" s="637" t="s">
        <v>3612</v>
      </c>
      <c r="F960" s="636">
        <v>65545</v>
      </c>
      <c r="G960" s="637" t="s">
        <v>81</v>
      </c>
      <c r="H960" s="637" t="s">
        <v>1163</v>
      </c>
      <c r="I960" s="637" t="s">
        <v>58</v>
      </c>
      <c r="J960" s="636">
        <v>22</v>
      </c>
      <c r="K960" s="636">
        <v>2</v>
      </c>
      <c r="L960" s="637" t="s">
        <v>52</v>
      </c>
      <c r="M960" s="637" t="s">
        <v>42</v>
      </c>
      <c r="N960" s="637" t="s">
        <v>39</v>
      </c>
      <c r="O960" s="637" t="s">
        <v>39</v>
      </c>
      <c r="P960" s="637" t="s">
        <v>1020</v>
      </c>
      <c r="Q960" s="638">
        <v>19409</v>
      </c>
      <c r="R960" s="638">
        <v>19409</v>
      </c>
      <c r="S960" s="638">
        <v>25038</v>
      </c>
      <c r="T960" s="638">
        <v>25038</v>
      </c>
      <c r="U960" s="638">
        <v>1275.2</v>
      </c>
      <c r="V960" s="636">
        <v>2022</v>
      </c>
      <c r="W960" s="640"/>
      <c r="X960" s="641">
        <f t="shared" si="42"/>
        <v>19.634567126725219</v>
      </c>
      <c r="Y960" s="642" t="str">
        <f t="shared" si="43"/>
        <v/>
      </c>
      <c r="Z960" s="642" t="str">
        <f t="shared" si="44"/>
        <v/>
      </c>
    </row>
    <row r="961" spans="1:26" s="127" customFormat="1" ht="25">
      <c r="A961" s="636">
        <v>54620</v>
      </c>
      <c r="B961" s="637" t="s">
        <v>33</v>
      </c>
      <c r="C961" s="636" t="s">
        <v>2725</v>
      </c>
      <c r="D961" s="637" t="s">
        <v>3612</v>
      </c>
      <c r="E961" s="637" t="s">
        <v>3612</v>
      </c>
      <c r="F961" s="636">
        <v>65545</v>
      </c>
      <c r="G961" s="637" t="s">
        <v>81</v>
      </c>
      <c r="H961" s="637" t="s">
        <v>1163</v>
      </c>
      <c r="I961" s="637" t="s">
        <v>58</v>
      </c>
      <c r="J961" s="636">
        <v>22</v>
      </c>
      <c r="K961" s="636">
        <v>2</v>
      </c>
      <c r="L961" s="637" t="s">
        <v>52</v>
      </c>
      <c r="M961" s="637" t="s">
        <v>42</v>
      </c>
      <c r="N961" s="637" t="s">
        <v>69</v>
      </c>
      <c r="O961" s="637" t="s">
        <v>70</v>
      </c>
      <c r="P961" s="637" t="s">
        <v>45</v>
      </c>
      <c r="Q961" s="638">
        <v>96089</v>
      </c>
      <c r="R961" s="638">
        <v>96089</v>
      </c>
      <c r="S961" s="638">
        <v>877293</v>
      </c>
      <c r="T961" s="638">
        <v>877293</v>
      </c>
      <c r="U961" s="638">
        <v>45030.8</v>
      </c>
      <c r="V961" s="636">
        <v>2022</v>
      </c>
      <c r="W961" s="640"/>
      <c r="X961" s="641">
        <f t="shared" si="42"/>
        <v>19.482065608428009</v>
      </c>
      <c r="Y961" s="642" t="str">
        <f t="shared" si="43"/>
        <v/>
      </c>
      <c r="Z961" s="642" t="str">
        <f t="shared" si="44"/>
        <v/>
      </c>
    </row>
    <row r="962" spans="1:26" s="127" customFormat="1" ht="25">
      <c r="A962" s="636">
        <v>54639</v>
      </c>
      <c r="B962" s="637" t="s">
        <v>33</v>
      </c>
      <c r="C962" s="636" t="s">
        <v>2725</v>
      </c>
      <c r="D962" s="637" t="s">
        <v>965</v>
      </c>
      <c r="E962" s="637" t="s">
        <v>21</v>
      </c>
      <c r="F962" s="636">
        <v>7595</v>
      </c>
      <c r="G962" s="637" t="s">
        <v>96</v>
      </c>
      <c r="H962" s="637" t="s">
        <v>1163</v>
      </c>
      <c r="I962" s="637" t="s">
        <v>58</v>
      </c>
      <c r="J962" s="636">
        <v>22</v>
      </c>
      <c r="K962" s="636">
        <v>2</v>
      </c>
      <c r="L962" s="637" t="s">
        <v>52</v>
      </c>
      <c r="M962" s="637" t="s">
        <v>35</v>
      </c>
      <c r="N962" s="637" t="s">
        <v>36</v>
      </c>
      <c r="O962" s="637" t="s">
        <v>37</v>
      </c>
      <c r="P962" s="637" t="s">
        <v>1156</v>
      </c>
      <c r="Q962" s="638">
        <v>0</v>
      </c>
      <c r="R962" s="638">
        <v>0</v>
      </c>
      <c r="S962" s="638">
        <v>468633</v>
      </c>
      <c r="T962" s="638">
        <v>468633</v>
      </c>
      <c r="U962" s="638">
        <v>137349</v>
      </c>
      <c r="V962" s="636">
        <v>2022</v>
      </c>
      <c r="W962" s="640"/>
      <c r="X962" s="641">
        <f t="shared" si="42"/>
        <v>3.4119869820675799</v>
      </c>
      <c r="Y962" s="642" t="str">
        <f t="shared" si="43"/>
        <v/>
      </c>
      <c r="Z962" s="642" t="str">
        <f t="shared" si="44"/>
        <v/>
      </c>
    </row>
    <row r="963" spans="1:26" s="127" customFormat="1" ht="25">
      <c r="A963" s="636">
        <v>54663</v>
      </c>
      <c r="B963" s="637" t="s">
        <v>33</v>
      </c>
      <c r="C963" s="636" t="s">
        <v>2725</v>
      </c>
      <c r="D963" s="637" t="s">
        <v>966</v>
      </c>
      <c r="E963" s="637" t="s">
        <v>892</v>
      </c>
      <c r="F963" s="636">
        <v>54842</v>
      </c>
      <c r="G963" s="637" t="s">
        <v>96</v>
      </c>
      <c r="H963" s="637" t="s">
        <v>1163</v>
      </c>
      <c r="I963" s="637" t="s">
        <v>58</v>
      </c>
      <c r="J963" s="636">
        <v>22</v>
      </c>
      <c r="K963" s="636">
        <v>2</v>
      </c>
      <c r="L963" s="637" t="s">
        <v>52</v>
      </c>
      <c r="M963" s="637" t="s">
        <v>50</v>
      </c>
      <c r="N963" s="637" t="s">
        <v>63</v>
      </c>
      <c r="O963" s="637" t="s">
        <v>64</v>
      </c>
      <c r="P963" s="637" t="s">
        <v>1020</v>
      </c>
      <c r="Q963" s="638">
        <v>1305791</v>
      </c>
      <c r="R963" s="638">
        <v>1305791</v>
      </c>
      <c r="S963" s="638">
        <v>665953</v>
      </c>
      <c r="T963" s="638">
        <v>665953</v>
      </c>
      <c r="U963" s="638">
        <v>33578</v>
      </c>
      <c r="V963" s="636">
        <v>2022</v>
      </c>
      <c r="W963" s="640"/>
      <c r="X963" s="641">
        <f t="shared" si="42"/>
        <v>19.833015665018763</v>
      </c>
      <c r="Y963" s="642" t="str">
        <f t="shared" si="43"/>
        <v/>
      </c>
      <c r="Z963" s="642" t="str">
        <f t="shared" si="44"/>
        <v/>
      </c>
    </row>
    <row r="964" spans="1:26" s="127" customFormat="1" ht="25">
      <c r="A964" s="636">
        <v>54663</v>
      </c>
      <c r="B964" s="637" t="s">
        <v>33</v>
      </c>
      <c r="C964" s="636" t="s">
        <v>2725</v>
      </c>
      <c r="D964" s="637" t="s">
        <v>966</v>
      </c>
      <c r="E964" s="637" t="s">
        <v>892</v>
      </c>
      <c r="F964" s="636">
        <v>54842</v>
      </c>
      <c r="G964" s="637" t="s">
        <v>96</v>
      </c>
      <c r="H964" s="637" t="s">
        <v>1163</v>
      </c>
      <c r="I964" s="637" t="s">
        <v>58</v>
      </c>
      <c r="J964" s="636">
        <v>22</v>
      </c>
      <c r="K964" s="636">
        <v>2</v>
      </c>
      <c r="L964" s="637" t="s">
        <v>52</v>
      </c>
      <c r="M964" s="637" t="s">
        <v>51</v>
      </c>
      <c r="N964" s="637" t="s">
        <v>63</v>
      </c>
      <c r="O964" s="637" t="s">
        <v>64</v>
      </c>
      <c r="P964" s="637" t="s">
        <v>1020</v>
      </c>
      <c r="Q964" s="638">
        <v>247669</v>
      </c>
      <c r="R964" s="638">
        <v>247669</v>
      </c>
      <c r="S964" s="638">
        <v>128787</v>
      </c>
      <c r="T964" s="638">
        <v>128787</v>
      </c>
      <c r="U964" s="638">
        <v>9761</v>
      </c>
      <c r="V964" s="636">
        <v>2022</v>
      </c>
      <c r="W964" s="640"/>
      <c r="X964" s="641">
        <f t="shared" si="42"/>
        <v>13.194037496158181</v>
      </c>
      <c r="Y964" s="642" t="str">
        <f t="shared" si="43"/>
        <v/>
      </c>
      <c r="Z964" s="642" t="str">
        <f t="shared" si="44"/>
        <v/>
      </c>
    </row>
    <row r="965" spans="1:26" s="127" customFormat="1" ht="25">
      <c r="A965" s="636">
        <v>54688</v>
      </c>
      <c r="B965" s="637" t="s">
        <v>33</v>
      </c>
      <c r="C965" s="636" t="s">
        <v>2725</v>
      </c>
      <c r="D965" s="637" t="s">
        <v>3613</v>
      </c>
      <c r="E965" s="637" t="s">
        <v>3614</v>
      </c>
      <c r="F965" s="636">
        <v>42890</v>
      </c>
      <c r="G965" s="637" t="s">
        <v>130</v>
      </c>
      <c r="H965" s="637" t="s">
        <v>1163</v>
      </c>
      <c r="I965" s="637" t="s">
        <v>58</v>
      </c>
      <c r="J965" s="636">
        <v>22</v>
      </c>
      <c r="K965" s="636">
        <v>2</v>
      </c>
      <c r="L965" s="637" t="s">
        <v>52</v>
      </c>
      <c r="M965" s="637" t="s">
        <v>35</v>
      </c>
      <c r="N965" s="637" t="s">
        <v>36</v>
      </c>
      <c r="O965" s="637" t="s">
        <v>37</v>
      </c>
      <c r="P965" s="637" t="s">
        <v>1156</v>
      </c>
      <c r="Q965" s="638">
        <v>0</v>
      </c>
      <c r="R965" s="638">
        <v>0</v>
      </c>
      <c r="S965" s="638">
        <v>14557</v>
      </c>
      <c r="T965" s="638">
        <v>14557</v>
      </c>
      <c r="U965" s="638">
        <v>4266</v>
      </c>
      <c r="V965" s="636">
        <v>2022</v>
      </c>
      <c r="W965" s="640"/>
      <c r="X965" s="641">
        <f t="shared" si="42"/>
        <v>3.4123300515705579</v>
      </c>
      <c r="Y965" s="642" t="str">
        <f t="shared" si="43"/>
        <v/>
      </c>
      <c r="Z965" s="642" t="str">
        <f t="shared" si="44"/>
        <v/>
      </c>
    </row>
    <row r="966" spans="1:26" s="127" customFormat="1" ht="25">
      <c r="A966" s="636">
        <v>54691</v>
      </c>
      <c r="B966" s="637" t="s">
        <v>33</v>
      </c>
      <c r="C966" s="636" t="s">
        <v>2725</v>
      </c>
      <c r="D966" s="637" t="s">
        <v>1572</v>
      </c>
      <c r="E966" s="637" t="s">
        <v>3025</v>
      </c>
      <c r="F966" s="636">
        <v>57280</v>
      </c>
      <c r="G966" s="637" t="s">
        <v>57</v>
      </c>
      <c r="H966" s="637" t="s">
        <v>1162</v>
      </c>
      <c r="I966" s="637" t="s">
        <v>58</v>
      </c>
      <c r="J966" s="636">
        <v>22</v>
      </c>
      <c r="K966" s="636">
        <v>2</v>
      </c>
      <c r="L966" s="637" t="s">
        <v>52</v>
      </c>
      <c r="M966" s="637" t="s">
        <v>35</v>
      </c>
      <c r="N966" s="637" t="s">
        <v>36</v>
      </c>
      <c r="O966" s="637" t="s">
        <v>37</v>
      </c>
      <c r="P966" s="637" t="s">
        <v>1156</v>
      </c>
      <c r="Q966" s="638">
        <v>0</v>
      </c>
      <c r="R966" s="638">
        <v>0</v>
      </c>
      <c r="S966" s="638">
        <v>15541</v>
      </c>
      <c r="T966" s="638">
        <v>15541</v>
      </c>
      <c r="U966" s="638">
        <v>4555</v>
      </c>
      <c r="V966" s="636">
        <v>2022</v>
      </c>
      <c r="W966" s="640"/>
      <c r="X966" s="641">
        <f t="shared" si="42"/>
        <v>3.4118551042810097</v>
      </c>
      <c r="Y966" s="642" t="str">
        <f t="shared" si="43"/>
        <v/>
      </c>
      <c r="Z966" s="642" t="str">
        <f t="shared" si="44"/>
        <v/>
      </c>
    </row>
    <row r="967" spans="1:26" s="127" customFormat="1" ht="25">
      <c r="A967" s="636">
        <v>54758</v>
      </c>
      <c r="B967" s="637" t="s">
        <v>33</v>
      </c>
      <c r="C967" s="636" t="s">
        <v>2725</v>
      </c>
      <c r="D967" s="637" t="s">
        <v>967</v>
      </c>
      <c r="E967" s="637" t="s">
        <v>92</v>
      </c>
      <c r="F967" s="636">
        <v>20541</v>
      </c>
      <c r="G967" s="637" t="s">
        <v>41</v>
      </c>
      <c r="H967" s="637" t="s">
        <v>1163</v>
      </c>
      <c r="I967" s="637" t="s">
        <v>58</v>
      </c>
      <c r="J967" s="636">
        <v>22</v>
      </c>
      <c r="K967" s="636">
        <v>2</v>
      </c>
      <c r="L967" s="637" t="s">
        <v>52</v>
      </c>
      <c r="M967" s="637" t="s">
        <v>42</v>
      </c>
      <c r="N967" s="637" t="s">
        <v>16</v>
      </c>
      <c r="O967" s="637" t="s">
        <v>64</v>
      </c>
      <c r="P967" s="637" t="s">
        <v>45</v>
      </c>
      <c r="Q967" s="638">
        <v>115531</v>
      </c>
      <c r="R967" s="638">
        <v>115531</v>
      </c>
      <c r="S967" s="638">
        <v>886382</v>
      </c>
      <c r="T967" s="638">
        <v>886382</v>
      </c>
      <c r="U967" s="638">
        <v>44816.705999999998</v>
      </c>
      <c r="V967" s="636">
        <v>2022</v>
      </c>
      <c r="W967" s="640"/>
      <c r="X967" s="641">
        <f t="shared" si="42"/>
        <v>19.777937271873572</v>
      </c>
      <c r="Y967" s="642" t="str">
        <f t="shared" si="43"/>
        <v/>
      </c>
      <c r="Z967" s="642" t="str">
        <f t="shared" si="44"/>
        <v/>
      </c>
    </row>
    <row r="968" spans="1:26" s="127" customFormat="1" ht="25">
      <c r="A968" s="636">
        <v>54758</v>
      </c>
      <c r="B968" s="637" t="s">
        <v>33</v>
      </c>
      <c r="C968" s="636" t="s">
        <v>2725</v>
      </c>
      <c r="D968" s="637" t="s">
        <v>967</v>
      </c>
      <c r="E968" s="637" t="s">
        <v>92</v>
      </c>
      <c r="F968" s="636">
        <v>20541</v>
      </c>
      <c r="G968" s="637" t="s">
        <v>41</v>
      </c>
      <c r="H968" s="637" t="s">
        <v>1163</v>
      </c>
      <c r="I968" s="637" t="s">
        <v>58</v>
      </c>
      <c r="J968" s="636">
        <v>22</v>
      </c>
      <c r="K968" s="636">
        <v>2</v>
      </c>
      <c r="L968" s="637" t="s">
        <v>52</v>
      </c>
      <c r="M968" s="637" t="s">
        <v>42</v>
      </c>
      <c r="N968" s="637" t="s">
        <v>17</v>
      </c>
      <c r="O968" s="637" t="s">
        <v>82</v>
      </c>
      <c r="P968" s="637" t="s">
        <v>45</v>
      </c>
      <c r="Q968" s="638">
        <v>73864</v>
      </c>
      <c r="R968" s="638">
        <v>73864</v>
      </c>
      <c r="S968" s="638">
        <v>1083343</v>
      </c>
      <c r="T968" s="638">
        <v>1083343</v>
      </c>
      <c r="U968" s="638">
        <v>54775.294000000002</v>
      </c>
      <c r="V968" s="636">
        <v>2022</v>
      </c>
      <c r="W968" s="640"/>
      <c r="X968" s="641">
        <f t="shared" ref="X968:X1031" si="45">IF(OR(K968&gt;3,T968=0,NOT(U968&gt;0)),"",T968/U968)</f>
        <v>19.777949525930431</v>
      </c>
      <c r="Y968" s="642" t="str">
        <f t="shared" ref="Y968:Y1031" si="46">IF(AND($M968=$Y$2,$N968=$Y$3,NOT($Q968=$R968),NOT($U968=0)),IF($K968=5,$S968/($U968+(8/5)*$U968),IF($K968=7,$S968/($U968+(29/25)*$U968),"")),"")</f>
        <v/>
      </c>
      <c r="Z968" s="642" t="str">
        <f t="shared" si="44"/>
        <v/>
      </c>
    </row>
    <row r="969" spans="1:26" s="127" customFormat="1" ht="37.5" hidden="1">
      <c r="A969" s="636">
        <v>54769</v>
      </c>
      <c r="B969" s="637" t="s">
        <v>54</v>
      </c>
      <c r="C969" s="636" t="s">
        <v>2725</v>
      </c>
      <c r="D969" s="637" t="s">
        <v>1872</v>
      </c>
      <c r="E969" s="637" t="s">
        <v>1873</v>
      </c>
      <c r="F969" s="636">
        <v>11329</v>
      </c>
      <c r="G969" s="637" t="s">
        <v>57</v>
      </c>
      <c r="H969" s="637" t="s">
        <v>1162</v>
      </c>
      <c r="I969" s="637" t="s">
        <v>58</v>
      </c>
      <c r="J969" s="636">
        <v>622</v>
      </c>
      <c r="K969" s="636">
        <v>5</v>
      </c>
      <c r="L969" s="637" t="s">
        <v>407</v>
      </c>
      <c r="M969" s="637" t="s">
        <v>51</v>
      </c>
      <c r="N969" s="637" t="s">
        <v>46</v>
      </c>
      <c r="O969" s="637" t="s">
        <v>46</v>
      </c>
      <c r="P969" s="637" t="s">
        <v>47</v>
      </c>
      <c r="Q969" s="638">
        <v>156</v>
      </c>
      <c r="R969" s="638">
        <v>86</v>
      </c>
      <c r="S969" s="638">
        <v>860</v>
      </c>
      <c r="T969" s="638">
        <v>477</v>
      </c>
      <c r="U969" s="638">
        <v>95</v>
      </c>
      <c r="V969" s="636">
        <v>2022</v>
      </c>
      <c r="W969" s="640"/>
      <c r="X969" s="641" t="str">
        <f t="shared" si="45"/>
        <v/>
      </c>
      <c r="Y969" s="642" t="str">
        <f t="shared" si="46"/>
        <v/>
      </c>
      <c r="Z969" s="642" t="str">
        <f t="shared" si="44"/>
        <v/>
      </c>
    </row>
    <row r="970" spans="1:26" s="127" customFormat="1" ht="37.5" hidden="1">
      <c r="A970" s="636">
        <v>54769</v>
      </c>
      <c r="B970" s="637" t="s">
        <v>54</v>
      </c>
      <c r="C970" s="636" t="s">
        <v>2725</v>
      </c>
      <c r="D970" s="637" t="s">
        <v>1872</v>
      </c>
      <c r="E970" s="637" t="s">
        <v>1873</v>
      </c>
      <c r="F970" s="636">
        <v>11329</v>
      </c>
      <c r="G970" s="637" t="s">
        <v>57</v>
      </c>
      <c r="H970" s="637" t="s">
        <v>1162</v>
      </c>
      <c r="I970" s="637" t="s">
        <v>58</v>
      </c>
      <c r="J970" s="636">
        <v>622</v>
      </c>
      <c r="K970" s="636">
        <v>5</v>
      </c>
      <c r="L970" s="637" t="s">
        <v>407</v>
      </c>
      <c r="M970" s="637" t="s">
        <v>51</v>
      </c>
      <c r="N970" s="637" t="s">
        <v>39</v>
      </c>
      <c r="O970" s="637" t="s">
        <v>39</v>
      </c>
      <c r="P970" s="637" t="s">
        <v>1020</v>
      </c>
      <c r="Q970" s="638">
        <v>0</v>
      </c>
      <c r="R970" s="638">
        <v>0</v>
      </c>
      <c r="S970" s="638">
        <v>0</v>
      </c>
      <c r="T970" s="638">
        <v>0</v>
      </c>
      <c r="U970" s="638">
        <v>0</v>
      </c>
      <c r="V970" s="636">
        <v>2022</v>
      </c>
      <c r="W970" s="640"/>
      <c r="X970" s="641" t="str">
        <f t="shared" si="45"/>
        <v/>
      </c>
      <c r="Y970" s="642" t="str">
        <f t="shared" si="46"/>
        <v/>
      </c>
      <c r="Z970" s="642" t="str">
        <f t="shared" si="44"/>
        <v/>
      </c>
    </row>
    <row r="971" spans="1:26" s="127" customFormat="1" ht="25">
      <c r="A971" s="636">
        <v>54772</v>
      </c>
      <c r="B971" s="637" t="s">
        <v>33</v>
      </c>
      <c r="C971" s="636" t="s">
        <v>2725</v>
      </c>
      <c r="D971" s="637" t="s">
        <v>968</v>
      </c>
      <c r="E971" s="637" t="s">
        <v>773</v>
      </c>
      <c r="F971" s="636">
        <v>55754</v>
      </c>
      <c r="G971" s="637" t="s">
        <v>57</v>
      </c>
      <c r="H971" s="637" t="s">
        <v>1162</v>
      </c>
      <c r="I971" s="637" t="s">
        <v>58</v>
      </c>
      <c r="J971" s="636">
        <v>22</v>
      </c>
      <c r="K971" s="636">
        <v>2</v>
      </c>
      <c r="L971" s="637" t="s">
        <v>52</v>
      </c>
      <c r="M971" s="637" t="s">
        <v>35</v>
      </c>
      <c r="N971" s="637" t="s">
        <v>36</v>
      </c>
      <c r="O971" s="637" t="s">
        <v>37</v>
      </c>
      <c r="P971" s="637" t="s">
        <v>1156</v>
      </c>
      <c r="Q971" s="638">
        <v>0</v>
      </c>
      <c r="R971" s="638">
        <v>0</v>
      </c>
      <c r="S971" s="638">
        <v>248670</v>
      </c>
      <c r="T971" s="638">
        <v>248670</v>
      </c>
      <c r="U971" s="638">
        <v>72881</v>
      </c>
      <c r="V971" s="636">
        <v>2022</v>
      </c>
      <c r="W971" s="640"/>
      <c r="X971" s="641">
        <f t="shared" si="45"/>
        <v>3.4120003841879227</v>
      </c>
      <c r="Y971" s="642" t="str">
        <f t="shared" si="46"/>
        <v/>
      </c>
      <c r="Z971" s="642" t="str">
        <f t="shared" si="44"/>
        <v/>
      </c>
    </row>
    <row r="972" spans="1:26" s="127" customFormat="1" ht="25">
      <c r="A972" s="636">
        <v>54782</v>
      </c>
      <c r="B972" s="637" t="s">
        <v>33</v>
      </c>
      <c r="C972" s="636" t="s">
        <v>2725</v>
      </c>
      <c r="D972" s="637" t="s">
        <v>969</v>
      </c>
      <c r="E972" s="637" t="s">
        <v>970</v>
      </c>
      <c r="F972" s="636">
        <v>17283</v>
      </c>
      <c r="G972" s="637" t="s">
        <v>57</v>
      </c>
      <c r="H972" s="637" t="s">
        <v>1162</v>
      </c>
      <c r="I972" s="637" t="s">
        <v>58</v>
      </c>
      <c r="J972" s="636">
        <v>22</v>
      </c>
      <c r="K972" s="636">
        <v>2</v>
      </c>
      <c r="L972" s="637" t="s">
        <v>52</v>
      </c>
      <c r="M972" s="637" t="s">
        <v>51</v>
      </c>
      <c r="N972" s="637" t="s">
        <v>63</v>
      </c>
      <c r="O972" s="637" t="s">
        <v>64</v>
      </c>
      <c r="P972" s="637" t="s">
        <v>1020</v>
      </c>
      <c r="Q972" s="638">
        <v>2357985</v>
      </c>
      <c r="R972" s="638">
        <v>2357985</v>
      </c>
      <c r="S972" s="638">
        <v>1180238</v>
      </c>
      <c r="T972" s="638">
        <v>1180238</v>
      </c>
      <c r="U972" s="638">
        <v>107807</v>
      </c>
      <c r="V972" s="636">
        <v>2022</v>
      </c>
      <c r="W972" s="640"/>
      <c r="X972" s="641">
        <f t="shared" si="45"/>
        <v>10.947693563497731</v>
      </c>
      <c r="Y972" s="642" t="str">
        <f t="shared" si="46"/>
        <v/>
      </c>
      <c r="Z972" s="642" t="str">
        <f t="shared" si="44"/>
        <v/>
      </c>
    </row>
    <row r="973" spans="1:26" s="127" customFormat="1" ht="37.5" hidden="1">
      <c r="A973" s="636">
        <v>54803</v>
      </c>
      <c r="B973" s="637" t="s">
        <v>54</v>
      </c>
      <c r="C973" s="636" t="s">
        <v>2725</v>
      </c>
      <c r="D973" s="637" t="s">
        <v>971</v>
      </c>
      <c r="E973" s="637" t="s">
        <v>1573</v>
      </c>
      <c r="F973" s="636">
        <v>59190</v>
      </c>
      <c r="G973" s="637" t="s">
        <v>96</v>
      </c>
      <c r="H973" s="637" t="s">
        <v>1163</v>
      </c>
      <c r="I973" s="637" t="s">
        <v>58</v>
      </c>
      <c r="J973" s="636">
        <v>611</v>
      </c>
      <c r="K973" s="636">
        <v>5</v>
      </c>
      <c r="L973" s="637" t="s">
        <v>407</v>
      </c>
      <c r="M973" s="637" t="s">
        <v>51</v>
      </c>
      <c r="N973" s="637" t="s">
        <v>46</v>
      </c>
      <c r="O973" s="637" t="s">
        <v>46</v>
      </c>
      <c r="P973" s="637" t="s">
        <v>47</v>
      </c>
      <c r="Q973" s="638">
        <v>0</v>
      </c>
      <c r="R973" s="638">
        <v>0</v>
      </c>
      <c r="S973" s="638">
        <v>0</v>
      </c>
      <c r="T973" s="638">
        <v>0</v>
      </c>
      <c r="U973" s="638">
        <v>0</v>
      </c>
      <c r="V973" s="636">
        <v>2022</v>
      </c>
      <c r="W973" s="640"/>
      <c r="X973" s="641" t="str">
        <f t="shared" si="45"/>
        <v/>
      </c>
      <c r="Y973" s="642" t="str">
        <f t="shared" si="46"/>
        <v/>
      </c>
      <c r="Z973" s="642" t="str">
        <f t="shared" si="44"/>
        <v/>
      </c>
    </row>
    <row r="974" spans="1:26" s="127" customFormat="1" ht="37.5" hidden="1">
      <c r="A974" s="636">
        <v>54803</v>
      </c>
      <c r="B974" s="637" t="s">
        <v>54</v>
      </c>
      <c r="C974" s="636" t="s">
        <v>2725</v>
      </c>
      <c r="D974" s="637" t="s">
        <v>971</v>
      </c>
      <c r="E974" s="637" t="s">
        <v>1573</v>
      </c>
      <c r="F974" s="636">
        <v>59190</v>
      </c>
      <c r="G974" s="637" t="s">
        <v>96</v>
      </c>
      <c r="H974" s="637" t="s">
        <v>1163</v>
      </c>
      <c r="I974" s="637" t="s">
        <v>58</v>
      </c>
      <c r="J974" s="636">
        <v>611</v>
      </c>
      <c r="K974" s="636">
        <v>5</v>
      </c>
      <c r="L974" s="637" t="s">
        <v>407</v>
      </c>
      <c r="M974" s="637" t="s">
        <v>51</v>
      </c>
      <c r="N974" s="637" t="s">
        <v>61</v>
      </c>
      <c r="O974" s="637" t="s">
        <v>61</v>
      </c>
      <c r="P974" s="637" t="s">
        <v>47</v>
      </c>
      <c r="Q974" s="638">
        <v>0</v>
      </c>
      <c r="R974" s="638">
        <v>0</v>
      </c>
      <c r="S974" s="638">
        <v>0</v>
      </c>
      <c r="T974" s="638">
        <v>0</v>
      </c>
      <c r="U974" s="638">
        <v>0</v>
      </c>
      <c r="V974" s="636">
        <v>2022</v>
      </c>
      <c r="W974" s="640"/>
      <c r="X974" s="641" t="str">
        <f t="shared" si="45"/>
        <v/>
      </c>
      <c r="Y974" s="642" t="str">
        <f t="shared" si="46"/>
        <v/>
      </c>
      <c r="Z974" s="642" t="str">
        <f t="shared" si="44"/>
        <v/>
      </c>
    </row>
    <row r="975" spans="1:26" s="127" customFormat="1" ht="25">
      <c r="A975" s="636">
        <v>54805</v>
      </c>
      <c r="B975" s="637" t="s">
        <v>33</v>
      </c>
      <c r="C975" s="636" t="s">
        <v>2725</v>
      </c>
      <c r="D975" s="637" t="s">
        <v>972</v>
      </c>
      <c r="E975" s="637" t="s">
        <v>2271</v>
      </c>
      <c r="F975" s="636">
        <v>12469</v>
      </c>
      <c r="G975" s="637" t="s">
        <v>81</v>
      </c>
      <c r="H975" s="637" t="s">
        <v>1163</v>
      </c>
      <c r="I975" s="637" t="s">
        <v>58</v>
      </c>
      <c r="J975" s="636">
        <v>22</v>
      </c>
      <c r="K975" s="636">
        <v>2</v>
      </c>
      <c r="L975" s="637" t="s">
        <v>52</v>
      </c>
      <c r="M975" s="637" t="s">
        <v>38</v>
      </c>
      <c r="N975" s="637" t="s">
        <v>39</v>
      </c>
      <c r="O975" s="637" t="s">
        <v>39</v>
      </c>
      <c r="P975" s="637" t="s">
        <v>1020</v>
      </c>
      <c r="Q975" s="638">
        <v>133276</v>
      </c>
      <c r="R975" s="638">
        <v>133276</v>
      </c>
      <c r="S975" s="638">
        <v>136918</v>
      </c>
      <c r="T975" s="638">
        <v>136918</v>
      </c>
      <c r="U975" s="638">
        <v>49273</v>
      </c>
      <c r="V975" s="636">
        <v>2022</v>
      </c>
      <c r="W975" s="640" t="s">
        <v>3934</v>
      </c>
      <c r="X975" s="641">
        <f t="shared" si="45"/>
        <v>2.7787632171777648</v>
      </c>
      <c r="Y975" s="642" t="str">
        <f t="shared" si="46"/>
        <v/>
      </c>
      <c r="Z975" s="642" t="str">
        <f t="shared" si="44"/>
        <v/>
      </c>
    </row>
    <row r="976" spans="1:26" s="127" customFormat="1" ht="25">
      <c r="A976" s="636">
        <v>54805</v>
      </c>
      <c r="B976" s="637" t="s">
        <v>33</v>
      </c>
      <c r="C976" s="636" t="s">
        <v>2725</v>
      </c>
      <c r="D976" s="637" t="s">
        <v>972</v>
      </c>
      <c r="E976" s="637" t="s">
        <v>2271</v>
      </c>
      <c r="F976" s="636">
        <v>12469</v>
      </c>
      <c r="G976" s="637" t="s">
        <v>81</v>
      </c>
      <c r="H976" s="637" t="s">
        <v>1163</v>
      </c>
      <c r="I976" s="637" t="s">
        <v>58</v>
      </c>
      <c r="J976" s="636">
        <v>22</v>
      </c>
      <c r="K976" s="636">
        <v>2</v>
      </c>
      <c r="L976" s="637" t="s">
        <v>52</v>
      </c>
      <c r="M976" s="637" t="s">
        <v>41</v>
      </c>
      <c r="N976" s="637" t="s">
        <v>39</v>
      </c>
      <c r="O976" s="637" t="s">
        <v>39</v>
      </c>
      <c r="P976" s="637" t="s">
        <v>1020</v>
      </c>
      <c r="Q976" s="638">
        <v>1139134</v>
      </c>
      <c r="R976" s="638">
        <v>1139134</v>
      </c>
      <c r="S976" s="638">
        <v>1170214</v>
      </c>
      <c r="T976" s="638">
        <v>1170214</v>
      </c>
      <c r="U976" s="638">
        <v>97897</v>
      </c>
      <c r="V976" s="636">
        <v>2022</v>
      </c>
      <c r="W976" s="640" t="s">
        <v>3934</v>
      </c>
      <c r="X976" s="641">
        <f t="shared" si="45"/>
        <v>11.953522579854337</v>
      </c>
      <c r="Y976" s="642" t="str">
        <f t="shared" si="46"/>
        <v/>
      </c>
      <c r="Z976" s="642" t="str">
        <f t="shared" ref="Z976:Z1039" si="47">IF(AND($M976=$Y$2,$N976=$Y$4,NOT($Q976=$R976),NOT($U976=0)),IF($K976=5,$S976/($U976+(8/5)*$U976),IF($K976=7,$S976/($U976+(29/25)*$U976),"")),"")</f>
        <v/>
      </c>
    </row>
    <row r="977" spans="1:26" s="127" customFormat="1" ht="37.5" hidden="1">
      <c r="A977" s="636">
        <v>54808</v>
      </c>
      <c r="B977" s="637" t="s">
        <v>54</v>
      </c>
      <c r="C977" s="636" t="s">
        <v>2725</v>
      </c>
      <c r="D977" s="637" t="s">
        <v>425</v>
      </c>
      <c r="E977" s="637" t="s">
        <v>426</v>
      </c>
      <c r="F977" s="636">
        <v>13491</v>
      </c>
      <c r="G977" s="637" t="s">
        <v>57</v>
      </c>
      <c r="H977" s="637" t="s">
        <v>1162</v>
      </c>
      <c r="I977" s="637" t="s">
        <v>58</v>
      </c>
      <c r="J977" s="636">
        <v>611</v>
      </c>
      <c r="K977" s="636">
        <v>5</v>
      </c>
      <c r="L977" s="637" t="s">
        <v>407</v>
      </c>
      <c r="M977" s="637" t="s">
        <v>38</v>
      </c>
      <c r="N977" s="637" t="s">
        <v>46</v>
      </c>
      <c r="O977" s="637" t="s">
        <v>46</v>
      </c>
      <c r="P977" s="637" t="s">
        <v>47</v>
      </c>
      <c r="Q977" s="638">
        <v>0</v>
      </c>
      <c r="R977" s="638">
        <v>0</v>
      </c>
      <c r="S977" s="638">
        <v>0</v>
      </c>
      <c r="T977" s="638">
        <v>0</v>
      </c>
      <c r="U977" s="638">
        <v>0.04</v>
      </c>
      <c r="V977" s="636">
        <v>2022</v>
      </c>
      <c r="W977" s="640"/>
      <c r="X977" s="641" t="str">
        <f t="shared" si="45"/>
        <v/>
      </c>
      <c r="Y977" s="642" t="str">
        <f t="shared" si="46"/>
        <v/>
      </c>
      <c r="Z977" s="642" t="str">
        <f t="shared" si="47"/>
        <v/>
      </c>
    </row>
    <row r="978" spans="1:26" s="127" customFormat="1" ht="37.5" hidden="1">
      <c r="A978" s="636">
        <v>54808</v>
      </c>
      <c r="B978" s="637" t="s">
        <v>54</v>
      </c>
      <c r="C978" s="636" t="s">
        <v>2725</v>
      </c>
      <c r="D978" s="637" t="s">
        <v>425</v>
      </c>
      <c r="E978" s="637" t="s">
        <v>426</v>
      </c>
      <c r="F978" s="636">
        <v>13491</v>
      </c>
      <c r="G978" s="637" t="s">
        <v>57</v>
      </c>
      <c r="H978" s="637" t="s">
        <v>1162</v>
      </c>
      <c r="I978" s="637" t="s">
        <v>58</v>
      </c>
      <c r="J978" s="636">
        <v>611</v>
      </c>
      <c r="K978" s="636">
        <v>5</v>
      </c>
      <c r="L978" s="637" t="s">
        <v>407</v>
      </c>
      <c r="M978" s="637" t="s">
        <v>38</v>
      </c>
      <c r="N978" s="637" t="s">
        <v>39</v>
      </c>
      <c r="O978" s="637" t="s">
        <v>39</v>
      </c>
      <c r="P978" s="637" t="s">
        <v>1020</v>
      </c>
      <c r="Q978" s="638">
        <v>0</v>
      </c>
      <c r="R978" s="638">
        <v>0</v>
      </c>
      <c r="S978" s="638">
        <v>0</v>
      </c>
      <c r="T978" s="638">
        <v>0</v>
      </c>
      <c r="U978" s="638">
        <v>0.96</v>
      </c>
      <c r="V978" s="636">
        <v>2022</v>
      </c>
      <c r="W978" s="640"/>
      <c r="X978" s="641" t="str">
        <f t="shared" si="45"/>
        <v/>
      </c>
      <c r="Y978" s="642" t="str">
        <f t="shared" si="46"/>
        <v/>
      </c>
      <c r="Z978" s="642" t="str">
        <f t="shared" si="47"/>
        <v/>
      </c>
    </row>
    <row r="979" spans="1:26" s="127" customFormat="1" ht="37.5" hidden="1">
      <c r="A979" s="636">
        <v>54808</v>
      </c>
      <c r="B979" s="637" t="s">
        <v>54</v>
      </c>
      <c r="C979" s="636" t="s">
        <v>2725</v>
      </c>
      <c r="D979" s="637" t="s">
        <v>425</v>
      </c>
      <c r="E979" s="637" t="s">
        <v>426</v>
      </c>
      <c r="F979" s="636">
        <v>13491</v>
      </c>
      <c r="G979" s="637" t="s">
        <v>57</v>
      </c>
      <c r="H979" s="637" t="s">
        <v>1162</v>
      </c>
      <c r="I979" s="637" t="s">
        <v>58</v>
      </c>
      <c r="J979" s="636">
        <v>611</v>
      </c>
      <c r="K979" s="636">
        <v>5</v>
      </c>
      <c r="L979" s="637" t="s">
        <v>407</v>
      </c>
      <c r="M979" s="637" t="s">
        <v>41</v>
      </c>
      <c r="N979" s="637" t="s">
        <v>46</v>
      </c>
      <c r="O979" s="637" t="s">
        <v>46</v>
      </c>
      <c r="P979" s="637" t="s">
        <v>47</v>
      </c>
      <c r="Q979" s="638">
        <v>5628</v>
      </c>
      <c r="R979" s="638">
        <v>5628</v>
      </c>
      <c r="S979" s="638">
        <v>33317</v>
      </c>
      <c r="T979" s="638">
        <v>33316</v>
      </c>
      <c r="U979" s="638">
        <v>3006.7649999999999</v>
      </c>
      <c r="V979" s="636">
        <v>2022</v>
      </c>
      <c r="W979" s="640"/>
      <c r="X979" s="641" t="str">
        <f t="shared" si="45"/>
        <v/>
      </c>
      <c r="Y979" s="642" t="str">
        <f t="shared" si="46"/>
        <v/>
      </c>
      <c r="Z979" s="642" t="str">
        <f t="shared" si="47"/>
        <v/>
      </c>
    </row>
    <row r="980" spans="1:26" s="127" customFormat="1" ht="37.5" hidden="1">
      <c r="A980" s="636">
        <v>54808</v>
      </c>
      <c r="B980" s="637" t="s">
        <v>54</v>
      </c>
      <c r="C980" s="636" t="s">
        <v>2725</v>
      </c>
      <c r="D980" s="637" t="s">
        <v>425</v>
      </c>
      <c r="E980" s="637" t="s">
        <v>426</v>
      </c>
      <c r="F980" s="636">
        <v>13491</v>
      </c>
      <c r="G980" s="637" t="s">
        <v>57</v>
      </c>
      <c r="H980" s="637" t="s">
        <v>1162</v>
      </c>
      <c r="I980" s="637" t="s">
        <v>58</v>
      </c>
      <c r="J980" s="636">
        <v>611</v>
      </c>
      <c r="K980" s="636">
        <v>5</v>
      </c>
      <c r="L980" s="637" t="s">
        <v>407</v>
      </c>
      <c r="M980" s="637" t="s">
        <v>41</v>
      </c>
      <c r="N980" s="637" t="s">
        <v>39</v>
      </c>
      <c r="O980" s="637" t="s">
        <v>39</v>
      </c>
      <c r="P980" s="637" t="s">
        <v>1020</v>
      </c>
      <c r="Q980" s="638">
        <v>921192</v>
      </c>
      <c r="R980" s="638">
        <v>921192</v>
      </c>
      <c r="S980" s="638">
        <v>797752</v>
      </c>
      <c r="T980" s="638">
        <v>797752</v>
      </c>
      <c r="U980" s="638">
        <v>71993.235000000001</v>
      </c>
      <c r="V980" s="636">
        <v>2022</v>
      </c>
      <c r="W980" s="640"/>
      <c r="X980" s="641" t="str">
        <f t="shared" si="45"/>
        <v/>
      </c>
      <c r="Y980" s="642" t="str">
        <f t="shared" si="46"/>
        <v/>
      </c>
      <c r="Z980" s="642" t="str">
        <f t="shared" si="47"/>
        <v/>
      </c>
    </row>
    <row r="981" spans="1:26" s="127" customFormat="1" ht="37.5" hidden="1">
      <c r="A981" s="636">
        <v>54808</v>
      </c>
      <c r="B981" s="637" t="s">
        <v>54</v>
      </c>
      <c r="C981" s="636" t="s">
        <v>2725</v>
      </c>
      <c r="D981" s="637" t="s">
        <v>425</v>
      </c>
      <c r="E981" s="637" t="s">
        <v>426</v>
      </c>
      <c r="F981" s="636">
        <v>13491</v>
      </c>
      <c r="G981" s="637" t="s">
        <v>57</v>
      </c>
      <c r="H981" s="637" t="s">
        <v>1162</v>
      </c>
      <c r="I981" s="637" t="s">
        <v>58</v>
      </c>
      <c r="J981" s="636">
        <v>611</v>
      </c>
      <c r="K981" s="636">
        <v>5</v>
      </c>
      <c r="L981" s="637" t="s">
        <v>407</v>
      </c>
      <c r="M981" s="637" t="s">
        <v>41</v>
      </c>
      <c r="N981" s="637" t="s">
        <v>61</v>
      </c>
      <c r="O981" s="637" t="s">
        <v>61</v>
      </c>
      <c r="P981" s="637" t="s">
        <v>47</v>
      </c>
      <c r="Q981" s="638">
        <v>0</v>
      </c>
      <c r="R981" s="638">
        <v>0</v>
      </c>
      <c r="S981" s="638">
        <v>0</v>
      </c>
      <c r="T981" s="638">
        <v>0</v>
      </c>
      <c r="U981" s="638">
        <v>0</v>
      </c>
      <c r="V981" s="636">
        <v>2022</v>
      </c>
      <c r="W981" s="640"/>
      <c r="X981" s="641" t="str">
        <f t="shared" si="45"/>
        <v/>
      </c>
      <c r="Y981" s="642" t="str">
        <f t="shared" si="46"/>
        <v/>
      </c>
      <c r="Z981" s="642" t="str">
        <f t="shared" si="47"/>
        <v/>
      </c>
    </row>
    <row r="982" spans="1:26" s="127" customFormat="1" ht="37.5" hidden="1">
      <c r="A982" s="636">
        <v>54808</v>
      </c>
      <c r="B982" s="637" t="s">
        <v>54</v>
      </c>
      <c r="C982" s="636" t="s">
        <v>2725</v>
      </c>
      <c r="D982" s="637" t="s">
        <v>425</v>
      </c>
      <c r="E982" s="637" t="s">
        <v>426</v>
      </c>
      <c r="F982" s="636">
        <v>13491</v>
      </c>
      <c r="G982" s="637" t="s">
        <v>57</v>
      </c>
      <c r="H982" s="637" t="s">
        <v>1162</v>
      </c>
      <c r="I982" s="637" t="s">
        <v>58</v>
      </c>
      <c r="J982" s="636">
        <v>611</v>
      </c>
      <c r="K982" s="636">
        <v>5</v>
      </c>
      <c r="L982" s="637" t="s">
        <v>407</v>
      </c>
      <c r="M982" s="637" t="s">
        <v>51</v>
      </c>
      <c r="N982" s="637" t="s">
        <v>46</v>
      </c>
      <c r="O982" s="637" t="s">
        <v>46</v>
      </c>
      <c r="P982" s="637" t="s">
        <v>47</v>
      </c>
      <c r="Q982" s="638">
        <v>0</v>
      </c>
      <c r="R982" s="638">
        <v>0</v>
      </c>
      <c r="S982" s="638">
        <v>0</v>
      </c>
      <c r="T982" s="638">
        <v>0</v>
      </c>
      <c r="U982" s="638">
        <v>0</v>
      </c>
      <c r="V982" s="636">
        <v>2022</v>
      </c>
      <c r="W982" s="640"/>
      <c r="X982" s="641" t="str">
        <f t="shared" si="45"/>
        <v/>
      </c>
      <c r="Y982" s="642" t="str">
        <f t="shared" si="46"/>
        <v/>
      </c>
      <c r="Z982" s="642" t="str">
        <f t="shared" si="47"/>
        <v/>
      </c>
    </row>
    <row r="983" spans="1:26" s="127" customFormat="1" ht="37.5" hidden="1">
      <c r="A983" s="636">
        <v>54863</v>
      </c>
      <c r="B983" s="637" t="s">
        <v>33</v>
      </c>
      <c r="C983" s="636" t="s">
        <v>2725</v>
      </c>
      <c r="D983" s="637" t="s">
        <v>1177</v>
      </c>
      <c r="E983" s="637" t="s">
        <v>973</v>
      </c>
      <c r="F983" s="636">
        <v>1362</v>
      </c>
      <c r="G983" s="637" t="s">
        <v>57</v>
      </c>
      <c r="H983" s="637" t="s">
        <v>1162</v>
      </c>
      <c r="I983" s="637" t="s">
        <v>58</v>
      </c>
      <c r="J983" s="636">
        <v>622</v>
      </c>
      <c r="K983" s="636">
        <v>4</v>
      </c>
      <c r="L983" s="637" t="s">
        <v>406</v>
      </c>
      <c r="M983" s="637" t="s">
        <v>51</v>
      </c>
      <c r="N983" s="637" t="s">
        <v>46</v>
      </c>
      <c r="O983" s="637" t="s">
        <v>46</v>
      </c>
      <c r="P983" s="637" t="s">
        <v>47</v>
      </c>
      <c r="Q983" s="638">
        <v>32</v>
      </c>
      <c r="R983" s="638">
        <v>32</v>
      </c>
      <c r="S983" s="638">
        <v>184</v>
      </c>
      <c r="T983" s="638">
        <v>184</v>
      </c>
      <c r="U983" s="638">
        <v>19.96</v>
      </c>
      <c r="V983" s="636">
        <v>2022</v>
      </c>
      <c r="W983" s="640"/>
      <c r="X983" s="641" t="str">
        <f t="shared" si="45"/>
        <v/>
      </c>
      <c r="Y983" s="642" t="str">
        <f t="shared" si="46"/>
        <v/>
      </c>
      <c r="Z983" s="642" t="str">
        <f t="shared" si="47"/>
        <v/>
      </c>
    </row>
    <row r="984" spans="1:26" s="127" customFormat="1" ht="25">
      <c r="A984" s="636">
        <v>54865</v>
      </c>
      <c r="B984" s="637" t="s">
        <v>33</v>
      </c>
      <c r="C984" s="636" t="s">
        <v>2725</v>
      </c>
      <c r="D984" s="637" t="s">
        <v>974</v>
      </c>
      <c r="E984" s="637" t="s">
        <v>3025</v>
      </c>
      <c r="F984" s="636">
        <v>57280</v>
      </c>
      <c r="G984" s="637" t="s">
        <v>57</v>
      </c>
      <c r="H984" s="637" t="s">
        <v>1162</v>
      </c>
      <c r="I984" s="637" t="s">
        <v>58</v>
      </c>
      <c r="J984" s="636">
        <v>22</v>
      </c>
      <c r="K984" s="636">
        <v>2</v>
      </c>
      <c r="L984" s="637" t="s">
        <v>52</v>
      </c>
      <c r="M984" s="637" t="s">
        <v>35</v>
      </c>
      <c r="N984" s="637" t="s">
        <v>36</v>
      </c>
      <c r="O984" s="637" t="s">
        <v>37</v>
      </c>
      <c r="P984" s="637" t="s">
        <v>1156</v>
      </c>
      <c r="Q984" s="638">
        <v>0</v>
      </c>
      <c r="R984" s="638">
        <v>0</v>
      </c>
      <c r="S984" s="638">
        <v>36863</v>
      </c>
      <c r="T984" s="638">
        <v>36863</v>
      </c>
      <c r="U984" s="638">
        <v>10804</v>
      </c>
      <c r="V984" s="636">
        <v>2022</v>
      </c>
      <c r="W984" s="640"/>
      <c r="X984" s="641">
        <f t="shared" si="45"/>
        <v>3.4119770455386895</v>
      </c>
      <c r="Y984" s="642" t="str">
        <f t="shared" si="46"/>
        <v/>
      </c>
      <c r="Z984" s="642" t="str">
        <f t="shared" si="47"/>
        <v/>
      </c>
    </row>
    <row r="985" spans="1:26" s="127" customFormat="1" ht="37.5" hidden="1">
      <c r="A985" s="636">
        <v>54878</v>
      </c>
      <c r="B985" s="637" t="s">
        <v>33</v>
      </c>
      <c r="C985" s="636" t="s">
        <v>2725</v>
      </c>
      <c r="D985" s="637" t="s">
        <v>1803</v>
      </c>
      <c r="E985" s="637" t="s">
        <v>3615</v>
      </c>
      <c r="F985" s="636">
        <v>65338</v>
      </c>
      <c r="G985" s="637" t="s">
        <v>57</v>
      </c>
      <c r="H985" s="637" t="s">
        <v>1162</v>
      </c>
      <c r="I985" s="637" t="s">
        <v>58</v>
      </c>
      <c r="J985" s="636">
        <v>322122</v>
      </c>
      <c r="K985" s="636">
        <v>6</v>
      </c>
      <c r="L985" s="637" t="s">
        <v>404</v>
      </c>
      <c r="M985" s="637" t="s">
        <v>35</v>
      </c>
      <c r="N985" s="637" t="s">
        <v>36</v>
      </c>
      <c r="O985" s="637" t="s">
        <v>37</v>
      </c>
      <c r="P985" s="637" t="s">
        <v>1156</v>
      </c>
      <c r="Q985" s="638">
        <v>0</v>
      </c>
      <c r="R985" s="638">
        <v>0</v>
      </c>
      <c r="S985" s="638">
        <v>20107</v>
      </c>
      <c r="T985" s="638">
        <v>20107</v>
      </c>
      <c r="U985" s="638">
        <v>5893</v>
      </c>
      <c r="V985" s="636">
        <v>2022</v>
      </c>
      <c r="W985" s="640"/>
      <c r="X985" s="641" t="str">
        <f t="shared" si="45"/>
        <v/>
      </c>
      <c r="Y985" s="642" t="str">
        <f t="shared" si="46"/>
        <v/>
      </c>
      <c r="Z985" s="642" t="str">
        <f t="shared" si="47"/>
        <v/>
      </c>
    </row>
    <row r="986" spans="1:26" s="127" customFormat="1" ht="37.5" hidden="1">
      <c r="A986" s="636">
        <v>54907</v>
      </c>
      <c r="B986" s="637" t="s">
        <v>54</v>
      </c>
      <c r="C986" s="636" t="s">
        <v>2725</v>
      </c>
      <c r="D986" s="637" t="s">
        <v>427</v>
      </c>
      <c r="E986" s="637" t="s">
        <v>428</v>
      </c>
      <c r="F986" s="636">
        <v>11820</v>
      </c>
      <c r="G986" s="637" t="s">
        <v>81</v>
      </c>
      <c r="H986" s="637" t="s">
        <v>1163</v>
      </c>
      <c r="I986" s="637" t="s">
        <v>58</v>
      </c>
      <c r="J986" s="636">
        <v>611</v>
      </c>
      <c r="K986" s="636">
        <v>5</v>
      </c>
      <c r="L986" s="637" t="s">
        <v>407</v>
      </c>
      <c r="M986" s="637" t="s">
        <v>50</v>
      </c>
      <c r="N986" s="637" t="s">
        <v>46</v>
      </c>
      <c r="O986" s="637" t="s">
        <v>46</v>
      </c>
      <c r="P986" s="637" t="s">
        <v>47</v>
      </c>
      <c r="Q986" s="638">
        <v>777</v>
      </c>
      <c r="R986" s="638">
        <v>270</v>
      </c>
      <c r="S986" s="638">
        <v>4506</v>
      </c>
      <c r="T986" s="638">
        <v>1564</v>
      </c>
      <c r="U986" s="638">
        <v>346.25200000000001</v>
      </c>
      <c r="V986" s="636">
        <v>2022</v>
      </c>
      <c r="W986" s="640"/>
      <c r="X986" s="641" t="str">
        <f t="shared" si="45"/>
        <v/>
      </c>
      <c r="Y986" s="642" t="str">
        <f t="shared" si="46"/>
        <v/>
      </c>
      <c r="Z986" s="642">
        <f t="shared" si="47"/>
        <v>5.0052474009591945</v>
      </c>
    </row>
    <row r="987" spans="1:26" s="127" customFormat="1" ht="37.5" hidden="1">
      <c r="A987" s="636">
        <v>54907</v>
      </c>
      <c r="B987" s="637" t="s">
        <v>54</v>
      </c>
      <c r="C987" s="636" t="s">
        <v>2725</v>
      </c>
      <c r="D987" s="637" t="s">
        <v>427</v>
      </c>
      <c r="E987" s="637" t="s">
        <v>428</v>
      </c>
      <c r="F987" s="636">
        <v>11820</v>
      </c>
      <c r="G987" s="637" t="s">
        <v>81</v>
      </c>
      <c r="H987" s="637" t="s">
        <v>1163</v>
      </c>
      <c r="I987" s="637" t="s">
        <v>58</v>
      </c>
      <c r="J987" s="636">
        <v>611</v>
      </c>
      <c r="K987" s="636">
        <v>5</v>
      </c>
      <c r="L987" s="637" t="s">
        <v>407</v>
      </c>
      <c r="M987" s="637" t="s">
        <v>50</v>
      </c>
      <c r="N987" s="637" t="s">
        <v>39</v>
      </c>
      <c r="O987" s="637" t="s">
        <v>39</v>
      </c>
      <c r="P987" s="637" t="s">
        <v>1020</v>
      </c>
      <c r="Q987" s="638">
        <v>2644926</v>
      </c>
      <c r="R987" s="638">
        <v>917350</v>
      </c>
      <c r="S987" s="638">
        <v>2724275</v>
      </c>
      <c r="T987" s="638">
        <v>944871</v>
      </c>
      <c r="U987" s="638">
        <v>209311.75</v>
      </c>
      <c r="V987" s="636">
        <v>2022</v>
      </c>
      <c r="W987" s="640"/>
      <c r="X987" s="641" t="str">
        <f t="shared" si="45"/>
        <v/>
      </c>
      <c r="Y987" s="642">
        <f t="shared" si="46"/>
        <v>5.0059209620247156</v>
      </c>
      <c r="Z987" s="642" t="str">
        <f t="shared" si="47"/>
        <v/>
      </c>
    </row>
    <row r="988" spans="1:26" s="127" customFormat="1" ht="25">
      <c r="A988" s="636">
        <v>54914</v>
      </c>
      <c r="B988" s="637" t="s">
        <v>54</v>
      </c>
      <c r="C988" s="636" t="s">
        <v>2725</v>
      </c>
      <c r="D988" s="637" t="s">
        <v>155</v>
      </c>
      <c r="E988" s="637" t="s">
        <v>156</v>
      </c>
      <c r="F988" s="636">
        <v>2313</v>
      </c>
      <c r="G988" s="637" t="s">
        <v>57</v>
      </c>
      <c r="H988" s="637" t="s">
        <v>1162</v>
      </c>
      <c r="I988" s="637" t="s">
        <v>58</v>
      </c>
      <c r="J988" s="636">
        <v>22</v>
      </c>
      <c r="K988" s="636">
        <v>3</v>
      </c>
      <c r="L988" s="637" t="s">
        <v>55</v>
      </c>
      <c r="M988" s="637" t="s">
        <v>38</v>
      </c>
      <c r="N988" s="637" t="s">
        <v>46</v>
      </c>
      <c r="O988" s="637" t="s">
        <v>46</v>
      </c>
      <c r="P988" s="637" t="s">
        <v>47</v>
      </c>
      <c r="Q988" s="638">
        <v>0</v>
      </c>
      <c r="R988" s="638">
        <v>0</v>
      </c>
      <c r="S988" s="638">
        <v>0</v>
      </c>
      <c r="T988" s="638">
        <v>0</v>
      </c>
      <c r="U988" s="638">
        <v>2146.7089999999998</v>
      </c>
      <c r="V988" s="636">
        <v>2022</v>
      </c>
      <c r="W988" s="640"/>
      <c r="X988" s="641" t="str">
        <f t="shared" si="45"/>
        <v/>
      </c>
      <c r="Y988" s="642" t="str">
        <f t="shared" si="46"/>
        <v/>
      </c>
      <c r="Z988" s="642" t="str">
        <f t="shared" si="47"/>
        <v/>
      </c>
    </row>
    <row r="989" spans="1:26" s="127" customFormat="1" ht="25">
      <c r="A989" s="636">
        <v>54914</v>
      </c>
      <c r="B989" s="637" t="s">
        <v>54</v>
      </c>
      <c r="C989" s="636" t="s">
        <v>2725</v>
      </c>
      <c r="D989" s="637" t="s">
        <v>155</v>
      </c>
      <c r="E989" s="637" t="s">
        <v>156</v>
      </c>
      <c r="F989" s="636">
        <v>2313</v>
      </c>
      <c r="G989" s="637" t="s">
        <v>57</v>
      </c>
      <c r="H989" s="637" t="s">
        <v>1162</v>
      </c>
      <c r="I989" s="637" t="s">
        <v>58</v>
      </c>
      <c r="J989" s="636">
        <v>22</v>
      </c>
      <c r="K989" s="636">
        <v>3</v>
      </c>
      <c r="L989" s="637" t="s">
        <v>55</v>
      </c>
      <c r="M989" s="637" t="s">
        <v>38</v>
      </c>
      <c r="N989" s="637" t="s">
        <v>39</v>
      </c>
      <c r="O989" s="637" t="s">
        <v>39</v>
      </c>
      <c r="P989" s="637" t="s">
        <v>1020</v>
      </c>
      <c r="Q989" s="638">
        <v>0</v>
      </c>
      <c r="R989" s="638">
        <v>0</v>
      </c>
      <c r="S989" s="638">
        <v>0</v>
      </c>
      <c r="T989" s="638">
        <v>0</v>
      </c>
      <c r="U989" s="638">
        <v>352298.29</v>
      </c>
      <c r="V989" s="636">
        <v>2022</v>
      </c>
      <c r="W989" s="640"/>
      <c r="X989" s="641" t="str">
        <f t="shared" si="45"/>
        <v/>
      </c>
      <c r="Y989" s="642" t="str">
        <f t="shared" si="46"/>
        <v/>
      </c>
      <c r="Z989" s="642" t="str">
        <f t="shared" si="47"/>
        <v/>
      </c>
    </row>
    <row r="990" spans="1:26" s="127" customFormat="1" ht="25">
      <c r="A990" s="636">
        <v>54914</v>
      </c>
      <c r="B990" s="637" t="s">
        <v>54</v>
      </c>
      <c r="C990" s="636" t="s">
        <v>2725</v>
      </c>
      <c r="D990" s="637" t="s">
        <v>155</v>
      </c>
      <c r="E990" s="637" t="s">
        <v>156</v>
      </c>
      <c r="F990" s="636">
        <v>2313</v>
      </c>
      <c r="G990" s="637" t="s">
        <v>57</v>
      </c>
      <c r="H990" s="637" t="s">
        <v>1162</v>
      </c>
      <c r="I990" s="637" t="s">
        <v>58</v>
      </c>
      <c r="J990" s="636">
        <v>22</v>
      </c>
      <c r="K990" s="636">
        <v>3</v>
      </c>
      <c r="L990" s="637" t="s">
        <v>55</v>
      </c>
      <c r="M990" s="637" t="s">
        <v>41</v>
      </c>
      <c r="N990" s="637" t="s">
        <v>46</v>
      </c>
      <c r="O990" s="637" t="s">
        <v>46</v>
      </c>
      <c r="P990" s="637" t="s">
        <v>47</v>
      </c>
      <c r="Q990" s="638">
        <v>32848</v>
      </c>
      <c r="R990" s="638">
        <v>18970</v>
      </c>
      <c r="S990" s="638">
        <v>190347</v>
      </c>
      <c r="T990" s="638">
        <v>109932</v>
      </c>
      <c r="U990" s="638">
        <v>16540.531999999999</v>
      </c>
      <c r="V990" s="636">
        <v>2022</v>
      </c>
      <c r="W990" s="640"/>
      <c r="X990" s="641">
        <f t="shared" si="45"/>
        <v>6.6462191179824206</v>
      </c>
      <c r="Y990" s="642" t="str">
        <f t="shared" si="46"/>
        <v/>
      </c>
      <c r="Z990" s="642" t="str">
        <f t="shared" si="47"/>
        <v/>
      </c>
    </row>
    <row r="991" spans="1:26" s="127" customFormat="1" ht="25">
      <c r="A991" s="636">
        <v>54914</v>
      </c>
      <c r="B991" s="637" t="s">
        <v>54</v>
      </c>
      <c r="C991" s="636" t="s">
        <v>2725</v>
      </c>
      <c r="D991" s="637" t="s">
        <v>155</v>
      </c>
      <c r="E991" s="637" t="s">
        <v>156</v>
      </c>
      <c r="F991" s="636">
        <v>2313</v>
      </c>
      <c r="G991" s="637" t="s">
        <v>57</v>
      </c>
      <c r="H991" s="637" t="s">
        <v>1162</v>
      </c>
      <c r="I991" s="637" t="s">
        <v>58</v>
      </c>
      <c r="J991" s="636">
        <v>22</v>
      </c>
      <c r="K991" s="636">
        <v>3</v>
      </c>
      <c r="L991" s="637" t="s">
        <v>55</v>
      </c>
      <c r="M991" s="637" t="s">
        <v>41</v>
      </c>
      <c r="N991" s="637" t="s">
        <v>39</v>
      </c>
      <c r="O991" s="637" t="s">
        <v>39</v>
      </c>
      <c r="P991" s="637" t="s">
        <v>1020</v>
      </c>
      <c r="Q991" s="638">
        <v>17226291</v>
      </c>
      <c r="R991" s="638">
        <v>11116184</v>
      </c>
      <c r="S991" s="638">
        <v>17841114</v>
      </c>
      <c r="T991" s="638">
        <v>11512699</v>
      </c>
      <c r="U991" s="638">
        <v>1594725.5</v>
      </c>
      <c r="V991" s="636">
        <v>2022</v>
      </c>
      <c r="W991" s="640"/>
      <c r="X991" s="641">
        <f t="shared" si="45"/>
        <v>7.2192355361471297</v>
      </c>
      <c r="Y991" s="642" t="str">
        <f t="shared" si="46"/>
        <v/>
      </c>
      <c r="Z991" s="642" t="str">
        <f t="shared" si="47"/>
        <v/>
      </c>
    </row>
    <row r="992" spans="1:26" s="127" customFormat="1" ht="37.5" hidden="1">
      <c r="A992" s="636">
        <v>54937</v>
      </c>
      <c r="B992" s="637" t="s">
        <v>54</v>
      </c>
      <c r="C992" s="636" t="s">
        <v>2725</v>
      </c>
      <c r="D992" s="637" t="s">
        <v>975</v>
      </c>
      <c r="E992" s="637" t="s">
        <v>976</v>
      </c>
      <c r="F992" s="636">
        <v>20347</v>
      </c>
      <c r="G992" s="637" t="s">
        <v>81</v>
      </c>
      <c r="H992" s="637" t="s">
        <v>1163</v>
      </c>
      <c r="I992" s="637" t="s">
        <v>58</v>
      </c>
      <c r="J992" s="636">
        <v>611</v>
      </c>
      <c r="K992" s="636">
        <v>5</v>
      </c>
      <c r="L992" s="637" t="s">
        <v>407</v>
      </c>
      <c r="M992" s="637" t="s">
        <v>51</v>
      </c>
      <c r="N992" s="637" t="s">
        <v>39</v>
      </c>
      <c r="O992" s="637" t="s">
        <v>39</v>
      </c>
      <c r="P992" s="637" t="s">
        <v>1020</v>
      </c>
      <c r="Q992" s="638">
        <v>0</v>
      </c>
      <c r="R992" s="638">
        <v>0</v>
      </c>
      <c r="S992" s="638">
        <v>0</v>
      </c>
      <c r="T992" s="638">
        <v>0</v>
      </c>
      <c r="U992" s="638">
        <v>0</v>
      </c>
      <c r="V992" s="636">
        <v>2022</v>
      </c>
      <c r="W992" s="640"/>
      <c r="X992" s="641" t="str">
        <f t="shared" si="45"/>
        <v/>
      </c>
      <c r="Y992" s="642" t="str">
        <f t="shared" si="46"/>
        <v/>
      </c>
      <c r="Z992" s="642" t="str">
        <f t="shared" si="47"/>
        <v/>
      </c>
    </row>
    <row r="993" spans="1:26" s="127" customFormat="1" ht="25">
      <c r="A993" s="636">
        <v>54945</v>
      </c>
      <c r="B993" s="637" t="s">
        <v>33</v>
      </c>
      <c r="C993" s="636" t="s">
        <v>2725</v>
      </c>
      <c r="D993" s="637" t="s">
        <v>1092</v>
      </c>
      <c r="E993" s="637" t="s">
        <v>1093</v>
      </c>
      <c r="F993" s="636">
        <v>4426</v>
      </c>
      <c r="G993" s="637" t="s">
        <v>41</v>
      </c>
      <c r="H993" s="637" t="s">
        <v>1163</v>
      </c>
      <c r="I993" s="637" t="s">
        <v>58</v>
      </c>
      <c r="J993" s="636">
        <v>22</v>
      </c>
      <c r="K993" s="636">
        <v>2</v>
      </c>
      <c r="L993" s="637" t="s">
        <v>52</v>
      </c>
      <c r="M993" s="637" t="s">
        <v>42</v>
      </c>
      <c r="N993" s="637" t="s">
        <v>43</v>
      </c>
      <c r="O993" s="637" t="s">
        <v>44</v>
      </c>
      <c r="P993" s="637" t="s">
        <v>45</v>
      </c>
      <c r="Q993" s="638">
        <v>0</v>
      </c>
      <c r="R993" s="638">
        <v>0</v>
      </c>
      <c r="S993" s="638">
        <v>0</v>
      </c>
      <c r="T993" s="638">
        <v>0</v>
      </c>
      <c r="U993" s="638">
        <v>0</v>
      </c>
      <c r="V993" s="636">
        <v>2022</v>
      </c>
      <c r="W993" s="640"/>
      <c r="X993" s="641" t="str">
        <f t="shared" si="45"/>
        <v/>
      </c>
      <c r="Y993" s="642" t="str">
        <f t="shared" si="46"/>
        <v/>
      </c>
      <c r="Z993" s="642" t="str">
        <f t="shared" si="47"/>
        <v/>
      </c>
    </row>
    <row r="994" spans="1:26" s="127" customFormat="1" ht="25">
      <c r="A994" s="636">
        <v>54945</v>
      </c>
      <c r="B994" s="637" t="s">
        <v>33</v>
      </c>
      <c r="C994" s="636" t="s">
        <v>2725</v>
      </c>
      <c r="D994" s="637" t="s">
        <v>1092</v>
      </c>
      <c r="E994" s="637" t="s">
        <v>1093</v>
      </c>
      <c r="F994" s="636">
        <v>4426</v>
      </c>
      <c r="G994" s="637" t="s">
        <v>41</v>
      </c>
      <c r="H994" s="637" t="s">
        <v>1163</v>
      </c>
      <c r="I994" s="637" t="s">
        <v>58</v>
      </c>
      <c r="J994" s="636">
        <v>22</v>
      </c>
      <c r="K994" s="636">
        <v>2</v>
      </c>
      <c r="L994" s="637" t="s">
        <v>52</v>
      </c>
      <c r="M994" s="637" t="s">
        <v>42</v>
      </c>
      <c r="N994" s="637" t="s">
        <v>16</v>
      </c>
      <c r="O994" s="637" t="s">
        <v>64</v>
      </c>
      <c r="P994" s="637" t="s">
        <v>45</v>
      </c>
      <c r="Q994" s="638">
        <v>149830</v>
      </c>
      <c r="R994" s="638">
        <v>149830</v>
      </c>
      <c r="S994" s="638">
        <v>1466033</v>
      </c>
      <c r="T994" s="638">
        <v>1466033</v>
      </c>
      <c r="U994" s="638">
        <v>53441.345999999998</v>
      </c>
      <c r="V994" s="636">
        <v>2022</v>
      </c>
      <c r="W994" s="640"/>
      <c r="X994" s="641">
        <f t="shared" si="45"/>
        <v>27.432561298137962</v>
      </c>
      <c r="Y994" s="642" t="str">
        <f t="shared" si="46"/>
        <v/>
      </c>
      <c r="Z994" s="642" t="str">
        <f t="shared" si="47"/>
        <v/>
      </c>
    </row>
    <row r="995" spans="1:26" s="127" customFormat="1" ht="25">
      <c r="A995" s="636">
        <v>54945</v>
      </c>
      <c r="B995" s="637" t="s">
        <v>33</v>
      </c>
      <c r="C995" s="636" t="s">
        <v>2725</v>
      </c>
      <c r="D995" s="637" t="s">
        <v>1092</v>
      </c>
      <c r="E995" s="637" t="s">
        <v>1093</v>
      </c>
      <c r="F995" s="636">
        <v>4426</v>
      </c>
      <c r="G995" s="637" t="s">
        <v>41</v>
      </c>
      <c r="H995" s="637" t="s">
        <v>1163</v>
      </c>
      <c r="I995" s="637" t="s">
        <v>58</v>
      </c>
      <c r="J995" s="636">
        <v>22</v>
      </c>
      <c r="K995" s="636">
        <v>2</v>
      </c>
      <c r="L995" s="637" t="s">
        <v>52</v>
      </c>
      <c r="M995" s="637" t="s">
        <v>42</v>
      </c>
      <c r="N995" s="637" t="s">
        <v>17</v>
      </c>
      <c r="O995" s="637" t="s">
        <v>82</v>
      </c>
      <c r="P995" s="637" t="s">
        <v>45</v>
      </c>
      <c r="Q995" s="638">
        <v>95793</v>
      </c>
      <c r="R995" s="638">
        <v>95793</v>
      </c>
      <c r="S995" s="638">
        <v>1791836</v>
      </c>
      <c r="T995" s="638">
        <v>1791836</v>
      </c>
      <c r="U995" s="638">
        <v>65317.571000000004</v>
      </c>
      <c r="V995" s="636">
        <v>2022</v>
      </c>
      <c r="W995" s="640"/>
      <c r="X995" s="641">
        <f t="shared" si="45"/>
        <v>27.432679638377856</v>
      </c>
      <c r="Y995" s="642" t="str">
        <f t="shared" si="46"/>
        <v/>
      </c>
      <c r="Z995" s="642" t="str">
        <f t="shared" si="47"/>
        <v/>
      </c>
    </row>
    <row r="996" spans="1:26" s="127" customFormat="1" ht="25">
      <c r="A996" s="636">
        <v>54945</v>
      </c>
      <c r="B996" s="637" t="s">
        <v>33</v>
      </c>
      <c r="C996" s="636" t="s">
        <v>2725</v>
      </c>
      <c r="D996" s="637" t="s">
        <v>1092</v>
      </c>
      <c r="E996" s="637" t="s">
        <v>1093</v>
      </c>
      <c r="F996" s="636">
        <v>4426</v>
      </c>
      <c r="G996" s="637" t="s">
        <v>41</v>
      </c>
      <c r="H996" s="637" t="s">
        <v>1163</v>
      </c>
      <c r="I996" s="637" t="s">
        <v>58</v>
      </c>
      <c r="J996" s="636">
        <v>22</v>
      </c>
      <c r="K996" s="636">
        <v>2</v>
      </c>
      <c r="L996" s="637" t="s">
        <v>52</v>
      </c>
      <c r="M996" s="637" t="s">
        <v>42</v>
      </c>
      <c r="N996" s="637" t="s">
        <v>39</v>
      </c>
      <c r="O996" s="637" t="s">
        <v>39</v>
      </c>
      <c r="P996" s="637" t="s">
        <v>1020</v>
      </c>
      <c r="Q996" s="638">
        <v>7650</v>
      </c>
      <c r="R996" s="638">
        <v>7650</v>
      </c>
      <c r="S996" s="638">
        <v>7840</v>
      </c>
      <c r="T996" s="638">
        <v>7840</v>
      </c>
      <c r="U996" s="638">
        <v>291.08300000000003</v>
      </c>
      <c r="V996" s="636">
        <v>2022</v>
      </c>
      <c r="W996" s="640"/>
      <c r="X996" s="641">
        <f t="shared" si="45"/>
        <v>26.933898578755883</v>
      </c>
      <c r="Y996" s="642" t="str">
        <f t="shared" si="46"/>
        <v/>
      </c>
      <c r="Z996" s="642" t="str">
        <f t="shared" si="47"/>
        <v/>
      </c>
    </row>
    <row r="997" spans="1:26" s="127" customFormat="1" ht="25">
      <c r="A997" s="636">
        <v>54953</v>
      </c>
      <c r="B997" s="637" t="s">
        <v>33</v>
      </c>
      <c r="C997" s="636" t="s">
        <v>2725</v>
      </c>
      <c r="D997" s="637" t="s">
        <v>977</v>
      </c>
      <c r="E997" s="637" t="s">
        <v>773</v>
      </c>
      <c r="F997" s="636">
        <v>55754</v>
      </c>
      <c r="G997" s="637" t="s">
        <v>57</v>
      </c>
      <c r="H997" s="637" t="s">
        <v>1162</v>
      </c>
      <c r="I997" s="637" t="s">
        <v>58</v>
      </c>
      <c r="J997" s="636">
        <v>22</v>
      </c>
      <c r="K997" s="636">
        <v>2</v>
      </c>
      <c r="L997" s="637" t="s">
        <v>52</v>
      </c>
      <c r="M997" s="637" t="s">
        <v>35</v>
      </c>
      <c r="N997" s="637" t="s">
        <v>36</v>
      </c>
      <c r="O997" s="637" t="s">
        <v>37</v>
      </c>
      <c r="P997" s="637" t="s">
        <v>1156</v>
      </c>
      <c r="Q997" s="638">
        <v>0</v>
      </c>
      <c r="R997" s="638">
        <v>0</v>
      </c>
      <c r="S997" s="638">
        <v>636318</v>
      </c>
      <c r="T997" s="638">
        <v>636318</v>
      </c>
      <c r="U997" s="638">
        <v>186494</v>
      </c>
      <c r="V997" s="636">
        <v>2022</v>
      </c>
      <c r="W997" s="640"/>
      <c r="X997" s="641">
        <f t="shared" si="45"/>
        <v>3.4120025309125226</v>
      </c>
      <c r="Y997" s="642" t="str">
        <f t="shared" si="46"/>
        <v/>
      </c>
      <c r="Z997" s="642" t="str">
        <f t="shared" si="47"/>
        <v/>
      </c>
    </row>
    <row r="998" spans="1:26" s="127" customFormat="1" ht="25">
      <c r="A998" s="636">
        <v>54981</v>
      </c>
      <c r="B998" s="637" t="s">
        <v>33</v>
      </c>
      <c r="C998" s="636" t="s">
        <v>2725</v>
      </c>
      <c r="D998" s="637" t="s">
        <v>978</v>
      </c>
      <c r="E998" s="637" t="s">
        <v>592</v>
      </c>
      <c r="F998" s="636">
        <v>8776</v>
      </c>
      <c r="G998" s="637" t="s">
        <v>81</v>
      </c>
      <c r="H998" s="637" t="s">
        <v>1163</v>
      </c>
      <c r="I998" s="637" t="s">
        <v>58</v>
      </c>
      <c r="J998" s="636">
        <v>22</v>
      </c>
      <c r="K998" s="636">
        <v>1</v>
      </c>
      <c r="L998" s="637" t="s">
        <v>34</v>
      </c>
      <c r="M998" s="637" t="s">
        <v>35</v>
      </c>
      <c r="N998" s="637" t="s">
        <v>36</v>
      </c>
      <c r="O998" s="637" t="s">
        <v>37</v>
      </c>
      <c r="P998" s="637" t="s">
        <v>1156</v>
      </c>
      <c r="Q998" s="638">
        <v>0</v>
      </c>
      <c r="R998" s="638">
        <v>0</v>
      </c>
      <c r="S998" s="638">
        <v>0</v>
      </c>
      <c r="T998" s="638">
        <v>0</v>
      </c>
      <c r="U998" s="638">
        <v>0</v>
      </c>
      <c r="V998" s="636">
        <v>2022</v>
      </c>
      <c r="W998" s="640"/>
      <c r="X998" s="641" t="str">
        <f t="shared" si="45"/>
        <v/>
      </c>
      <c r="Y998" s="642" t="str">
        <f t="shared" si="46"/>
        <v/>
      </c>
      <c r="Z998" s="642" t="str">
        <f t="shared" si="47"/>
        <v/>
      </c>
    </row>
    <row r="999" spans="1:26" s="127" customFormat="1" ht="25">
      <c r="A999" s="636">
        <v>55006</v>
      </c>
      <c r="B999" s="637" t="s">
        <v>33</v>
      </c>
      <c r="C999" s="636" t="s">
        <v>2725</v>
      </c>
      <c r="D999" s="637" t="s">
        <v>1094</v>
      </c>
      <c r="E999" s="637" t="s">
        <v>1804</v>
      </c>
      <c r="F999" s="636">
        <v>57249</v>
      </c>
      <c r="G999" s="637" t="s">
        <v>96</v>
      </c>
      <c r="H999" s="637" t="s">
        <v>1163</v>
      </c>
      <c r="I999" s="637" t="s">
        <v>58</v>
      </c>
      <c r="J999" s="636">
        <v>22</v>
      </c>
      <c r="K999" s="636">
        <v>2</v>
      </c>
      <c r="L999" s="637" t="s">
        <v>52</v>
      </c>
      <c r="M999" s="637" t="s">
        <v>51</v>
      </c>
      <c r="N999" s="637" t="s">
        <v>63</v>
      </c>
      <c r="O999" s="637" t="s">
        <v>64</v>
      </c>
      <c r="P999" s="637" t="s">
        <v>1020</v>
      </c>
      <c r="Q999" s="638">
        <v>341669</v>
      </c>
      <c r="R999" s="638">
        <v>341669</v>
      </c>
      <c r="S999" s="638">
        <v>132226</v>
      </c>
      <c r="T999" s="638">
        <v>132226</v>
      </c>
      <c r="U999" s="638">
        <v>11828</v>
      </c>
      <c r="V999" s="636">
        <v>2022</v>
      </c>
      <c r="W999" s="640"/>
      <c r="X999" s="641">
        <f t="shared" si="45"/>
        <v>11.179066621575922</v>
      </c>
      <c r="Y999" s="642" t="str">
        <f t="shared" si="46"/>
        <v/>
      </c>
      <c r="Z999" s="642" t="str">
        <f t="shared" si="47"/>
        <v/>
      </c>
    </row>
    <row r="1000" spans="1:26" s="127" customFormat="1" ht="25">
      <c r="A1000" s="636">
        <v>55026</v>
      </c>
      <c r="B1000" s="637" t="s">
        <v>33</v>
      </c>
      <c r="C1000" s="636" t="s">
        <v>2725</v>
      </c>
      <c r="D1000" s="637" t="s">
        <v>157</v>
      </c>
      <c r="E1000" s="637" t="s">
        <v>979</v>
      </c>
      <c r="F1000" s="636">
        <v>55773</v>
      </c>
      <c r="G1000" s="637" t="s">
        <v>81</v>
      </c>
      <c r="H1000" s="637" t="s">
        <v>1163</v>
      </c>
      <c r="I1000" s="637" t="s">
        <v>58</v>
      </c>
      <c r="J1000" s="636">
        <v>22</v>
      </c>
      <c r="K1000" s="636">
        <v>2</v>
      </c>
      <c r="L1000" s="637" t="s">
        <v>52</v>
      </c>
      <c r="M1000" s="637" t="s">
        <v>62</v>
      </c>
      <c r="N1000" s="637" t="s">
        <v>39</v>
      </c>
      <c r="O1000" s="637" t="s">
        <v>39</v>
      </c>
      <c r="P1000" s="637" t="s">
        <v>1020</v>
      </c>
      <c r="Q1000" s="638">
        <v>1959658</v>
      </c>
      <c r="R1000" s="638">
        <v>1959658</v>
      </c>
      <c r="S1000" s="638">
        <v>2013282</v>
      </c>
      <c r="T1000" s="638">
        <v>2013282</v>
      </c>
      <c r="U1000" s="638">
        <v>253990</v>
      </c>
      <c r="V1000" s="636">
        <v>2022</v>
      </c>
      <c r="W1000" s="640" t="s">
        <v>3934</v>
      </c>
      <c r="X1000" s="641">
        <f t="shared" si="45"/>
        <v>7.9266191582345762</v>
      </c>
      <c r="Y1000" s="642" t="str">
        <f t="shared" si="46"/>
        <v/>
      </c>
      <c r="Z1000" s="642" t="str">
        <f t="shared" si="47"/>
        <v/>
      </c>
    </row>
    <row r="1001" spans="1:26" s="127" customFormat="1" ht="37.5" hidden="1">
      <c r="A1001" s="636">
        <v>55031</v>
      </c>
      <c r="B1001" s="637" t="s">
        <v>54</v>
      </c>
      <c r="C1001" s="636" t="s">
        <v>2725</v>
      </c>
      <c r="D1001" s="637" t="s">
        <v>980</v>
      </c>
      <c r="E1001" s="637" t="s">
        <v>3032</v>
      </c>
      <c r="F1001" s="636">
        <v>55738</v>
      </c>
      <c r="G1001" s="637" t="s">
        <v>90</v>
      </c>
      <c r="H1001" s="637" t="s">
        <v>1163</v>
      </c>
      <c r="I1001" s="637" t="s">
        <v>58</v>
      </c>
      <c r="J1001" s="636">
        <v>322</v>
      </c>
      <c r="K1001" s="636">
        <v>7</v>
      </c>
      <c r="L1001" s="637" t="s">
        <v>403</v>
      </c>
      <c r="M1001" s="637" t="s">
        <v>50</v>
      </c>
      <c r="N1001" s="637" t="s">
        <v>46</v>
      </c>
      <c r="O1001" s="637" t="s">
        <v>46</v>
      </c>
      <c r="P1001" s="637" t="s">
        <v>47</v>
      </c>
      <c r="Q1001" s="638">
        <v>17845</v>
      </c>
      <c r="R1001" s="638">
        <v>5666</v>
      </c>
      <c r="S1001" s="638">
        <v>101718</v>
      </c>
      <c r="T1001" s="638">
        <v>32299</v>
      </c>
      <c r="U1001" s="638">
        <v>6801.8739999999998</v>
      </c>
      <c r="V1001" s="636">
        <v>2022</v>
      </c>
      <c r="W1001" s="640"/>
      <c r="X1001" s="641" t="str">
        <f t="shared" si="45"/>
        <v/>
      </c>
      <c r="Y1001" s="642" t="str">
        <f t="shared" si="46"/>
        <v/>
      </c>
      <c r="Z1001" s="642">
        <f t="shared" si="47"/>
        <v>6.9233371077833361</v>
      </c>
    </row>
    <row r="1002" spans="1:26" s="127" customFormat="1" ht="37.5" hidden="1">
      <c r="A1002" s="636">
        <v>55031</v>
      </c>
      <c r="B1002" s="637" t="s">
        <v>54</v>
      </c>
      <c r="C1002" s="636" t="s">
        <v>2725</v>
      </c>
      <c r="D1002" s="637" t="s">
        <v>980</v>
      </c>
      <c r="E1002" s="637" t="s">
        <v>3032</v>
      </c>
      <c r="F1002" s="636">
        <v>55738</v>
      </c>
      <c r="G1002" s="637" t="s">
        <v>90</v>
      </c>
      <c r="H1002" s="637" t="s">
        <v>1163</v>
      </c>
      <c r="I1002" s="637" t="s">
        <v>58</v>
      </c>
      <c r="J1002" s="636">
        <v>322</v>
      </c>
      <c r="K1002" s="636">
        <v>7</v>
      </c>
      <c r="L1002" s="637" t="s">
        <v>403</v>
      </c>
      <c r="M1002" s="637" t="s">
        <v>50</v>
      </c>
      <c r="N1002" s="637" t="s">
        <v>76</v>
      </c>
      <c r="O1002" s="637" t="s">
        <v>67</v>
      </c>
      <c r="P1002" s="637" t="s">
        <v>47</v>
      </c>
      <c r="Q1002" s="638">
        <v>0</v>
      </c>
      <c r="R1002" s="638">
        <v>0</v>
      </c>
      <c r="S1002" s="638">
        <v>0</v>
      </c>
      <c r="T1002" s="638">
        <v>0</v>
      </c>
      <c r="U1002" s="638">
        <v>0</v>
      </c>
      <c r="V1002" s="636">
        <v>2022</v>
      </c>
      <c r="W1002" s="640"/>
      <c r="X1002" s="641" t="str">
        <f t="shared" si="45"/>
        <v/>
      </c>
      <c r="Y1002" s="642" t="str">
        <f t="shared" si="46"/>
        <v/>
      </c>
      <c r="Z1002" s="642" t="str">
        <f t="shared" si="47"/>
        <v/>
      </c>
    </row>
    <row r="1003" spans="1:26" s="127" customFormat="1" ht="37.5" hidden="1">
      <c r="A1003" s="636">
        <v>55031</v>
      </c>
      <c r="B1003" s="637" t="s">
        <v>54</v>
      </c>
      <c r="C1003" s="636" t="s">
        <v>2725</v>
      </c>
      <c r="D1003" s="637" t="s">
        <v>980</v>
      </c>
      <c r="E1003" s="637" t="s">
        <v>3032</v>
      </c>
      <c r="F1003" s="636">
        <v>55738</v>
      </c>
      <c r="G1003" s="637" t="s">
        <v>90</v>
      </c>
      <c r="H1003" s="637" t="s">
        <v>1163</v>
      </c>
      <c r="I1003" s="637" t="s">
        <v>58</v>
      </c>
      <c r="J1003" s="636">
        <v>322</v>
      </c>
      <c r="K1003" s="636">
        <v>7</v>
      </c>
      <c r="L1003" s="637" t="s">
        <v>403</v>
      </c>
      <c r="M1003" s="637" t="s">
        <v>50</v>
      </c>
      <c r="N1003" s="637" t="s">
        <v>39</v>
      </c>
      <c r="O1003" s="637" t="s">
        <v>39</v>
      </c>
      <c r="P1003" s="637" t="s">
        <v>1020</v>
      </c>
      <c r="Q1003" s="638">
        <v>5481816</v>
      </c>
      <c r="R1003" s="638">
        <v>1740661</v>
      </c>
      <c r="S1003" s="638">
        <v>5865544</v>
      </c>
      <c r="T1003" s="638">
        <v>1862507</v>
      </c>
      <c r="U1003" s="638">
        <v>392234.13</v>
      </c>
      <c r="V1003" s="636">
        <v>2022</v>
      </c>
      <c r="W1003" s="640"/>
      <c r="X1003" s="641" t="str">
        <f t="shared" si="45"/>
        <v/>
      </c>
      <c r="Y1003" s="642">
        <f t="shared" si="46"/>
        <v>6.9232364598910081</v>
      </c>
      <c r="Z1003" s="642" t="str">
        <f t="shared" si="47"/>
        <v/>
      </c>
    </row>
    <row r="1004" spans="1:26" s="127" customFormat="1" ht="25">
      <c r="A1004" s="636">
        <v>55041</v>
      </c>
      <c r="B1004" s="637" t="s">
        <v>33</v>
      </c>
      <c r="C1004" s="636" t="s">
        <v>2725</v>
      </c>
      <c r="D1004" s="637" t="s">
        <v>158</v>
      </c>
      <c r="E1004" s="637" t="s">
        <v>159</v>
      </c>
      <c r="F1004" s="636">
        <v>1616</v>
      </c>
      <c r="G1004" s="637" t="s">
        <v>81</v>
      </c>
      <c r="H1004" s="637" t="s">
        <v>1163</v>
      </c>
      <c r="I1004" s="637" t="s">
        <v>58</v>
      </c>
      <c r="J1004" s="636">
        <v>22</v>
      </c>
      <c r="K1004" s="636">
        <v>2</v>
      </c>
      <c r="L1004" s="637" t="s">
        <v>52</v>
      </c>
      <c r="M1004" s="637" t="s">
        <v>62</v>
      </c>
      <c r="N1004" s="637" t="s">
        <v>39</v>
      </c>
      <c r="O1004" s="637" t="s">
        <v>39</v>
      </c>
      <c r="P1004" s="637" t="s">
        <v>1020</v>
      </c>
      <c r="Q1004" s="638">
        <v>3915971</v>
      </c>
      <c r="R1004" s="638">
        <v>3915971</v>
      </c>
      <c r="S1004" s="638">
        <v>4030072</v>
      </c>
      <c r="T1004" s="638">
        <v>4030072</v>
      </c>
      <c r="U1004" s="638">
        <v>549169</v>
      </c>
      <c r="V1004" s="636">
        <v>2022</v>
      </c>
      <c r="W1004" s="640" t="s">
        <v>3934</v>
      </c>
      <c r="X1004" s="641">
        <f t="shared" si="45"/>
        <v>7.3384914297784469</v>
      </c>
      <c r="Y1004" s="642" t="str">
        <f t="shared" si="46"/>
        <v/>
      </c>
      <c r="Z1004" s="642" t="str">
        <f t="shared" si="47"/>
        <v/>
      </c>
    </row>
    <row r="1005" spans="1:26" s="127" customFormat="1" ht="25">
      <c r="A1005" s="636">
        <v>55042</v>
      </c>
      <c r="B1005" s="637" t="s">
        <v>33</v>
      </c>
      <c r="C1005" s="636" t="s">
        <v>2725</v>
      </c>
      <c r="D1005" s="637" t="s">
        <v>160</v>
      </c>
      <c r="E1005" s="637" t="s">
        <v>161</v>
      </c>
      <c r="F1005" s="636">
        <v>2232</v>
      </c>
      <c r="G1005" s="637" t="s">
        <v>41</v>
      </c>
      <c r="H1005" s="637" t="s">
        <v>1163</v>
      </c>
      <c r="I1005" s="637" t="s">
        <v>58</v>
      </c>
      <c r="J1005" s="636">
        <v>22</v>
      </c>
      <c r="K1005" s="636">
        <v>2</v>
      </c>
      <c r="L1005" s="637" t="s">
        <v>52</v>
      </c>
      <c r="M1005" s="637" t="s">
        <v>38</v>
      </c>
      <c r="N1005" s="637" t="s">
        <v>39</v>
      </c>
      <c r="O1005" s="637" t="s">
        <v>39</v>
      </c>
      <c r="P1005" s="637" t="s">
        <v>1020</v>
      </c>
      <c r="Q1005" s="638">
        <v>0</v>
      </c>
      <c r="R1005" s="638">
        <v>0</v>
      </c>
      <c r="S1005" s="638">
        <v>0</v>
      </c>
      <c r="T1005" s="638">
        <v>0</v>
      </c>
      <c r="U1005" s="638">
        <v>907768</v>
      </c>
      <c r="V1005" s="636">
        <v>2022</v>
      </c>
      <c r="W1005" s="640" t="s">
        <v>3934</v>
      </c>
      <c r="X1005" s="641" t="str">
        <f t="shared" si="45"/>
        <v/>
      </c>
      <c r="Y1005" s="642" t="str">
        <f t="shared" si="46"/>
        <v/>
      </c>
      <c r="Z1005" s="642" t="str">
        <f t="shared" si="47"/>
        <v/>
      </c>
    </row>
    <row r="1006" spans="1:26" s="127" customFormat="1" ht="25">
      <c r="A1006" s="636">
        <v>55042</v>
      </c>
      <c r="B1006" s="637" t="s">
        <v>33</v>
      </c>
      <c r="C1006" s="636" t="s">
        <v>2725</v>
      </c>
      <c r="D1006" s="637" t="s">
        <v>160</v>
      </c>
      <c r="E1006" s="637" t="s">
        <v>161</v>
      </c>
      <c r="F1006" s="636">
        <v>2232</v>
      </c>
      <c r="G1006" s="637" t="s">
        <v>41</v>
      </c>
      <c r="H1006" s="637" t="s">
        <v>1163</v>
      </c>
      <c r="I1006" s="637" t="s">
        <v>58</v>
      </c>
      <c r="J1006" s="636">
        <v>22</v>
      </c>
      <c r="K1006" s="636">
        <v>2</v>
      </c>
      <c r="L1006" s="637" t="s">
        <v>52</v>
      </c>
      <c r="M1006" s="637" t="s">
        <v>41</v>
      </c>
      <c r="N1006" s="637" t="s">
        <v>39</v>
      </c>
      <c r="O1006" s="637" t="s">
        <v>39</v>
      </c>
      <c r="P1006" s="637" t="s">
        <v>1020</v>
      </c>
      <c r="Q1006" s="638">
        <v>18082387</v>
      </c>
      <c r="R1006" s="638">
        <v>18082387</v>
      </c>
      <c r="S1006" s="638">
        <v>18668376</v>
      </c>
      <c r="T1006" s="638">
        <v>18668376</v>
      </c>
      <c r="U1006" s="638">
        <v>1668474</v>
      </c>
      <c r="V1006" s="636">
        <v>2022</v>
      </c>
      <c r="W1006" s="640" t="s">
        <v>3934</v>
      </c>
      <c r="X1006" s="641">
        <f t="shared" si="45"/>
        <v>11.188892365119266</v>
      </c>
      <c r="Y1006" s="642" t="str">
        <f t="shared" si="46"/>
        <v/>
      </c>
      <c r="Z1006" s="642" t="str">
        <f t="shared" si="47"/>
        <v/>
      </c>
    </row>
    <row r="1007" spans="1:26" s="127" customFormat="1" ht="25">
      <c r="A1007" s="636">
        <v>55048</v>
      </c>
      <c r="B1007" s="637" t="s">
        <v>33</v>
      </c>
      <c r="C1007" s="636" t="s">
        <v>2725</v>
      </c>
      <c r="D1007" s="637" t="s">
        <v>162</v>
      </c>
      <c r="E1007" s="637" t="s">
        <v>1178</v>
      </c>
      <c r="F1007" s="636">
        <v>55510</v>
      </c>
      <c r="G1007" s="637" t="s">
        <v>130</v>
      </c>
      <c r="H1007" s="637" t="s">
        <v>1163</v>
      </c>
      <c r="I1007" s="637" t="s">
        <v>58</v>
      </c>
      <c r="J1007" s="636">
        <v>22</v>
      </c>
      <c r="K1007" s="636">
        <v>2</v>
      </c>
      <c r="L1007" s="637" t="s">
        <v>52</v>
      </c>
      <c r="M1007" s="637" t="s">
        <v>38</v>
      </c>
      <c r="N1007" s="637" t="s">
        <v>39</v>
      </c>
      <c r="O1007" s="637" t="s">
        <v>39</v>
      </c>
      <c r="P1007" s="637" t="s">
        <v>1020</v>
      </c>
      <c r="Q1007" s="638">
        <v>0</v>
      </c>
      <c r="R1007" s="638">
        <v>0</v>
      </c>
      <c r="S1007" s="638">
        <v>0</v>
      </c>
      <c r="T1007" s="638">
        <v>0</v>
      </c>
      <c r="U1007" s="638">
        <v>364320</v>
      </c>
      <c r="V1007" s="636">
        <v>2022</v>
      </c>
      <c r="W1007" s="640" t="s">
        <v>3934</v>
      </c>
      <c r="X1007" s="641" t="str">
        <f t="shared" si="45"/>
        <v/>
      </c>
      <c r="Y1007" s="642" t="str">
        <f t="shared" si="46"/>
        <v/>
      </c>
      <c r="Z1007" s="642" t="str">
        <f t="shared" si="47"/>
        <v/>
      </c>
    </row>
    <row r="1008" spans="1:26" s="127" customFormat="1" ht="25">
      <c r="A1008" s="636">
        <v>55048</v>
      </c>
      <c r="B1008" s="637" t="s">
        <v>33</v>
      </c>
      <c r="C1008" s="636" t="s">
        <v>2725</v>
      </c>
      <c r="D1008" s="637" t="s">
        <v>162</v>
      </c>
      <c r="E1008" s="637" t="s">
        <v>1178</v>
      </c>
      <c r="F1008" s="636">
        <v>55510</v>
      </c>
      <c r="G1008" s="637" t="s">
        <v>130</v>
      </c>
      <c r="H1008" s="637" t="s">
        <v>1163</v>
      </c>
      <c r="I1008" s="637" t="s">
        <v>58</v>
      </c>
      <c r="J1008" s="636">
        <v>22</v>
      </c>
      <c r="K1008" s="636">
        <v>2</v>
      </c>
      <c r="L1008" s="637" t="s">
        <v>52</v>
      </c>
      <c r="M1008" s="637" t="s">
        <v>41</v>
      </c>
      <c r="N1008" s="637" t="s">
        <v>39</v>
      </c>
      <c r="O1008" s="637" t="s">
        <v>39</v>
      </c>
      <c r="P1008" s="637" t="s">
        <v>1020</v>
      </c>
      <c r="Q1008" s="638">
        <v>7548037</v>
      </c>
      <c r="R1008" s="638">
        <v>7548037</v>
      </c>
      <c r="S1008" s="638">
        <v>7751835</v>
      </c>
      <c r="T1008" s="638">
        <v>7751835</v>
      </c>
      <c r="U1008" s="638">
        <v>697752</v>
      </c>
      <c r="V1008" s="636">
        <v>2022</v>
      </c>
      <c r="W1008" s="640" t="s">
        <v>3934</v>
      </c>
      <c r="X1008" s="641">
        <f t="shared" si="45"/>
        <v>11.109728098235475</v>
      </c>
      <c r="Y1008" s="642" t="str">
        <f t="shared" si="46"/>
        <v/>
      </c>
      <c r="Z1008" s="642" t="str">
        <f t="shared" si="47"/>
        <v/>
      </c>
    </row>
    <row r="1009" spans="1:26" s="127" customFormat="1" ht="25">
      <c r="A1009" s="636">
        <v>55068</v>
      </c>
      <c r="B1009" s="637" t="s">
        <v>33</v>
      </c>
      <c r="C1009" s="636" t="s">
        <v>2725</v>
      </c>
      <c r="D1009" s="637" t="s">
        <v>163</v>
      </c>
      <c r="E1009" s="637" t="s">
        <v>164</v>
      </c>
      <c r="F1009" s="636">
        <v>4966</v>
      </c>
      <c r="G1009" s="637" t="s">
        <v>90</v>
      </c>
      <c r="H1009" s="637" t="s">
        <v>1163</v>
      </c>
      <c r="I1009" s="637" t="s">
        <v>58</v>
      </c>
      <c r="J1009" s="636">
        <v>22</v>
      </c>
      <c r="K1009" s="636">
        <v>2</v>
      </c>
      <c r="L1009" s="637" t="s">
        <v>52</v>
      </c>
      <c r="M1009" s="637" t="s">
        <v>38</v>
      </c>
      <c r="N1009" s="637" t="s">
        <v>39</v>
      </c>
      <c r="O1009" s="637" t="s">
        <v>39</v>
      </c>
      <c r="P1009" s="637" t="s">
        <v>1020</v>
      </c>
      <c r="Q1009" s="638">
        <v>0</v>
      </c>
      <c r="R1009" s="638">
        <v>0</v>
      </c>
      <c r="S1009" s="638">
        <v>0</v>
      </c>
      <c r="T1009" s="638">
        <v>0</v>
      </c>
      <c r="U1009" s="638">
        <v>252689</v>
      </c>
      <c r="V1009" s="636">
        <v>2022</v>
      </c>
      <c r="W1009" s="640" t="s">
        <v>3934</v>
      </c>
      <c r="X1009" s="641" t="str">
        <f t="shared" si="45"/>
        <v/>
      </c>
      <c r="Y1009" s="642" t="str">
        <f t="shared" si="46"/>
        <v/>
      </c>
      <c r="Z1009" s="642" t="str">
        <f t="shared" si="47"/>
        <v/>
      </c>
    </row>
    <row r="1010" spans="1:26" s="127" customFormat="1" ht="25">
      <c r="A1010" s="636">
        <v>55068</v>
      </c>
      <c r="B1010" s="637" t="s">
        <v>33</v>
      </c>
      <c r="C1010" s="636" t="s">
        <v>2725</v>
      </c>
      <c r="D1010" s="637" t="s">
        <v>163</v>
      </c>
      <c r="E1010" s="637" t="s">
        <v>164</v>
      </c>
      <c r="F1010" s="636">
        <v>4966</v>
      </c>
      <c r="G1010" s="637" t="s">
        <v>90</v>
      </c>
      <c r="H1010" s="637" t="s">
        <v>1163</v>
      </c>
      <c r="I1010" s="637" t="s">
        <v>58</v>
      </c>
      <c r="J1010" s="636">
        <v>22</v>
      </c>
      <c r="K1010" s="636">
        <v>2</v>
      </c>
      <c r="L1010" s="637" t="s">
        <v>52</v>
      </c>
      <c r="M1010" s="637" t="s">
        <v>41</v>
      </c>
      <c r="N1010" s="637" t="s">
        <v>39</v>
      </c>
      <c r="O1010" s="637" t="s">
        <v>39</v>
      </c>
      <c r="P1010" s="637" t="s">
        <v>1020</v>
      </c>
      <c r="Q1010" s="638">
        <v>4762376</v>
      </c>
      <c r="R1010" s="638">
        <v>4762376</v>
      </c>
      <c r="S1010" s="638">
        <v>4946806</v>
      </c>
      <c r="T1010" s="638">
        <v>4946806</v>
      </c>
      <c r="U1010" s="638">
        <v>416909</v>
      </c>
      <c r="V1010" s="636">
        <v>2022</v>
      </c>
      <c r="W1010" s="640" t="s">
        <v>3934</v>
      </c>
      <c r="X1010" s="641">
        <f t="shared" si="45"/>
        <v>11.865433463897396</v>
      </c>
      <c r="Y1010" s="642" t="str">
        <f t="shared" si="46"/>
        <v/>
      </c>
      <c r="Z1010" s="642" t="str">
        <f t="shared" si="47"/>
        <v/>
      </c>
    </row>
    <row r="1011" spans="1:26" s="127" customFormat="1" ht="25">
      <c r="A1011" s="636">
        <v>55079</v>
      </c>
      <c r="B1011" s="637" t="s">
        <v>33</v>
      </c>
      <c r="C1011" s="636" t="s">
        <v>2725</v>
      </c>
      <c r="D1011" s="637" t="s">
        <v>165</v>
      </c>
      <c r="E1011" s="637" t="s">
        <v>3033</v>
      </c>
      <c r="F1011" s="636">
        <v>12713</v>
      </c>
      <c r="G1011" s="637" t="s">
        <v>81</v>
      </c>
      <c r="H1011" s="637" t="s">
        <v>1163</v>
      </c>
      <c r="I1011" s="637" t="s">
        <v>58</v>
      </c>
      <c r="J1011" s="636">
        <v>22</v>
      </c>
      <c r="K1011" s="636">
        <v>2</v>
      </c>
      <c r="L1011" s="637" t="s">
        <v>52</v>
      </c>
      <c r="M1011" s="637" t="s">
        <v>38</v>
      </c>
      <c r="N1011" s="637" t="s">
        <v>46</v>
      </c>
      <c r="O1011" s="637" t="s">
        <v>46</v>
      </c>
      <c r="P1011" s="637" t="s">
        <v>47</v>
      </c>
      <c r="Q1011" s="638">
        <v>0</v>
      </c>
      <c r="R1011" s="638">
        <v>0</v>
      </c>
      <c r="S1011" s="638">
        <v>0</v>
      </c>
      <c r="T1011" s="638">
        <v>0</v>
      </c>
      <c r="U1011" s="638">
        <v>0</v>
      </c>
      <c r="V1011" s="636">
        <v>2022</v>
      </c>
      <c r="W1011" s="640" t="s">
        <v>3934</v>
      </c>
      <c r="X1011" s="641" t="str">
        <f t="shared" si="45"/>
        <v/>
      </c>
      <c r="Y1011" s="642" t="str">
        <f t="shared" si="46"/>
        <v/>
      </c>
      <c r="Z1011" s="642" t="str">
        <f t="shared" si="47"/>
        <v/>
      </c>
    </row>
    <row r="1012" spans="1:26" s="127" customFormat="1" ht="25">
      <c r="A1012" s="636">
        <v>55079</v>
      </c>
      <c r="B1012" s="637" t="s">
        <v>33</v>
      </c>
      <c r="C1012" s="636" t="s">
        <v>2725</v>
      </c>
      <c r="D1012" s="637" t="s">
        <v>165</v>
      </c>
      <c r="E1012" s="637" t="s">
        <v>3033</v>
      </c>
      <c r="F1012" s="636">
        <v>12713</v>
      </c>
      <c r="G1012" s="637" t="s">
        <v>81</v>
      </c>
      <c r="H1012" s="637" t="s">
        <v>1163</v>
      </c>
      <c r="I1012" s="637" t="s">
        <v>58</v>
      </c>
      <c r="J1012" s="636">
        <v>22</v>
      </c>
      <c r="K1012" s="636">
        <v>2</v>
      </c>
      <c r="L1012" s="637" t="s">
        <v>52</v>
      </c>
      <c r="M1012" s="637" t="s">
        <v>38</v>
      </c>
      <c r="N1012" s="637" t="s">
        <v>39</v>
      </c>
      <c r="O1012" s="637" t="s">
        <v>39</v>
      </c>
      <c r="P1012" s="637" t="s">
        <v>1020</v>
      </c>
      <c r="Q1012" s="638">
        <v>0</v>
      </c>
      <c r="R1012" s="638">
        <v>0</v>
      </c>
      <c r="S1012" s="638">
        <v>0</v>
      </c>
      <c r="T1012" s="638">
        <v>0</v>
      </c>
      <c r="U1012" s="638">
        <v>384586</v>
      </c>
      <c r="V1012" s="636">
        <v>2022</v>
      </c>
      <c r="W1012" s="640" t="s">
        <v>3934</v>
      </c>
      <c r="X1012" s="641" t="str">
        <f t="shared" si="45"/>
        <v/>
      </c>
      <c r="Y1012" s="642" t="str">
        <f t="shared" si="46"/>
        <v/>
      </c>
      <c r="Z1012" s="642" t="str">
        <f t="shared" si="47"/>
        <v/>
      </c>
    </row>
    <row r="1013" spans="1:26" s="127" customFormat="1" ht="25">
      <c r="A1013" s="636">
        <v>55079</v>
      </c>
      <c r="B1013" s="637" t="s">
        <v>33</v>
      </c>
      <c r="C1013" s="636" t="s">
        <v>2725</v>
      </c>
      <c r="D1013" s="637" t="s">
        <v>165</v>
      </c>
      <c r="E1013" s="637" t="s">
        <v>3033</v>
      </c>
      <c r="F1013" s="636">
        <v>12713</v>
      </c>
      <c r="G1013" s="637" t="s">
        <v>81</v>
      </c>
      <c r="H1013" s="637" t="s">
        <v>1163</v>
      </c>
      <c r="I1013" s="637" t="s">
        <v>58</v>
      </c>
      <c r="J1013" s="636">
        <v>22</v>
      </c>
      <c r="K1013" s="636">
        <v>2</v>
      </c>
      <c r="L1013" s="637" t="s">
        <v>52</v>
      </c>
      <c r="M1013" s="637" t="s">
        <v>41</v>
      </c>
      <c r="N1013" s="637" t="s">
        <v>46</v>
      </c>
      <c r="O1013" s="637" t="s">
        <v>46</v>
      </c>
      <c r="P1013" s="637" t="s">
        <v>47</v>
      </c>
      <c r="Q1013" s="638">
        <v>0</v>
      </c>
      <c r="R1013" s="638">
        <v>0</v>
      </c>
      <c r="S1013" s="638">
        <v>0</v>
      </c>
      <c r="T1013" s="638">
        <v>0</v>
      </c>
      <c r="U1013" s="638">
        <v>0</v>
      </c>
      <c r="V1013" s="636">
        <v>2022</v>
      </c>
      <c r="W1013" s="640" t="s">
        <v>3934</v>
      </c>
      <c r="X1013" s="641" t="str">
        <f t="shared" si="45"/>
        <v/>
      </c>
      <c r="Y1013" s="642" t="str">
        <f t="shared" si="46"/>
        <v/>
      </c>
      <c r="Z1013" s="642" t="str">
        <f t="shared" si="47"/>
        <v/>
      </c>
    </row>
    <row r="1014" spans="1:26" s="127" customFormat="1" ht="25">
      <c r="A1014" s="636">
        <v>55079</v>
      </c>
      <c r="B1014" s="637" t="s">
        <v>33</v>
      </c>
      <c r="C1014" s="636" t="s">
        <v>2725</v>
      </c>
      <c r="D1014" s="637" t="s">
        <v>165</v>
      </c>
      <c r="E1014" s="637" t="s">
        <v>3033</v>
      </c>
      <c r="F1014" s="636">
        <v>12713</v>
      </c>
      <c r="G1014" s="637" t="s">
        <v>81</v>
      </c>
      <c r="H1014" s="637" t="s">
        <v>1163</v>
      </c>
      <c r="I1014" s="637" t="s">
        <v>58</v>
      </c>
      <c r="J1014" s="636">
        <v>22</v>
      </c>
      <c r="K1014" s="636">
        <v>2</v>
      </c>
      <c r="L1014" s="637" t="s">
        <v>52</v>
      </c>
      <c r="M1014" s="637" t="s">
        <v>41</v>
      </c>
      <c r="N1014" s="637" t="s">
        <v>39</v>
      </c>
      <c r="O1014" s="637" t="s">
        <v>39</v>
      </c>
      <c r="P1014" s="637" t="s">
        <v>1020</v>
      </c>
      <c r="Q1014" s="638">
        <v>8121064</v>
      </c>
      <c r="R1014" s="638">
        <v>8121064</v>
      </c>
      <c r="S1014" s="638">
        <v>8360310</v>
      </c>
      <c r="T1014" s="638">
        <v>8360310</v>
      </c>
      <c r="U1014" s="638">
        <v>767977</v>
      </c>
      <c r="V1014" s="636">
        <v>2022</v>
      </c>
      <c r="W1014" s="640" t="s">
        <v>3934</v>
      </c>
      <c r="X1014" s="641">
        <f t="shared" si="45"/>
        <v>10.886146329903109</v>
      </c>
      <c r="Y1014" s="642" t="str">
        <f t="shared" si="46"/>
        <v/>
      </c>
      <c r="Z1014" s="642" t="str">
        <f t="shared" si="47"/>
        <v/>
      </c>
    </row>
    <row r="1015" spans="1:26" s="127" customFormat="1" ht="25">
      <c r="A1015" s="636">
        <v>55093</v>
      </c>
      <c r="B1015" s="637" t="s">
        <v>33</v>
      </c>
      <c r="C1015" s="636" t="s">
        <v>2725</v>
      </c>
      <c r="D1015" s="637" t="s">
        <v>1095</v>
      </c>
      <c r="E1015" s="637" t="s">
        <v>1096</v>
      </c>
      <c r="F1015" s="636">
        <v>57226</v>
      </c>
      <c r="G1015" s="637" t="s">
        <v>81</v>
      </c>
      <c r="H1015" s="637" t="s">
        <v>1163</v>
      </c>
      <c r="I1015" s="637" t="s">
        <v>58</v>
      </c>
      <c r="J1015" s="636">
        <v>22</v>
      </c>
      <c r="K1015" s="636">
        <v>2</v>
      </c>
      <c r="L1015" s="637" t="s">
        <v>52</v>
      </c>
      <c r="M1015" s="637" t="s">
        <v>51</v>
      </c>
      <c r="N1015" s="637" t="s">
        <v>63</v>
      </c>
      <c r="O1015" s="637" t="s">
        <v>64</v>
      </c>
      <c r="P1015" s="637" t="s">
        <v>1020</v>
      </c>
      <c r="Q1015" s="638">
        <v>292125</v>
      </c>
      <c r="R1015" s="638">
        <v>292125</v>
      </c>
      <c r="S1015" s="638">
        <v>125322</v>
      </c>
      <c r="T1015" s="638">
        <v>125322</v>
      </c>
      <c r="U1015" s="638">
        <v>11440</v>
      </c>
      <c r="V1015" s="636">
        <v>2022</v>
      </c>
      <c r="W1015" s="640"/>
      <c r="X1015" s="641">
        <f t="shared" si="45"/>
        <v>10.954720279720279</v>
      </c>
      <c r="Y1015" s="642" t="str">
        <f t="shared" si="46"/>
        <v/>
      </c>
      <c r="Z1015" s="642" t="str">
        <f t="shared" si="47"/>
        <v/>
      </c>
    </row>
    <row r="1016" spans="1:26" s="127" customFormat="1" ht="25">
      <c r="A1016" s="636">
        <v>55100</v>
      </c>
      <c r="B1016" s="637" t="s">
        <v>33</v>
      </c>
      <c r="C1016" s="636" t="s">
        <v>2725</v>
      </c>
      <c r="D1016" s="637" t="s">
        <v>2738</v>
      </c>
      <c r="E1016" s="637" t="s">
        <v>166</v>
      </c>
      <c r="F1016" s="636">
        <v>54821</v>
      </c>
      <c r="G1016" s="637" t="s">
        <v>90</v>
      </c>
      <c r="H1016" s="637" t="s">
        <v>1163</v>
      </c>
      <c r="I1016" s="637" t="s">
        <v>58</v>
      </c>
      <c r="J1016" s="636">
        <v>22</v>
      </c>
      <c r="K1016" s="636">
        <v>2</v>
      </c>
      <c r="L1016" s="637" t="s">
        <v>52</v>
      </c>
      <c r="M1016" s="637" t="s">
        <v>38</v>
      </c>
      <c r="N1016" s="637" t="s">
        <v>39</v>
      </c>
      <c r="O1016" s="637" t="s">
        <v>39</v>
      </c>
      <c r="P1016" s="637" t="s">
        <v>1020</v>
      </c>
      <c r="Q1016" s="638">
        <v>0</v>
      </c>
      <c r="R1016" s="638">
        <v>0</v>
      </c>
      <c r="S1016" s="638">
        <v>0</v>
      </c>
      <c r="T1016" s="638">
        <v>0</v>
      </c>
      <c r="U1016" s="638">
        <v>152816</v>
      </c>
      <c r="V1016" s="636">
        <v>2022</v>
      </c>
      <c r="W1016" s="640" t="s">
        <v>3934</v>
      </c>
      <c r="X1016" s="641" t="str">
        <f t="shared" si="45"/>
        <v/>
      </c>
      <c r="Y1016" s="642" t="str">
        <f t="shared" si="46"/>
        <v/>
      </c>
      <c r="Z1016" s="642" t="str">
        <f t="shared" si="47"/>
        <v/>
      </c>
    </row>
    <row r="1017" spans="1:26" s="127" customFormat="1" ht="25">
      <c r="A1017" s="636">
        <v>55100</v>
      </c>
      <c r="B1017" s="637" t="s">
        <v>33</v>
      </c>
      <c r="C1017" s="636" t="s">
        <v>2725</v>
      </c>
      <c r="D1017" s="637" t="s">
        <v>2738</v>
      </c>
      <c r="E1017" s="637" t="s">
        <v>166</v>
      </c>
      <c r="F1017" s="636">
        <v>54821</v>
      </c>
      <c r="G1017" s="637" t="s">
        <v>90</v>
      </c>
      <c r="H1017" s="637" t="s">
        <v>1163</v>
      </c>
      <c r="I1017" s="637" t="s">
        <v>58</v>
      </c>
      <c r="J1017" s="636">
        <v>22</v>
      </c>
      <c r="K1017" s="636">
        <v>2</v>
      </c>
      <c r="L1017" s="637" t="s">
        <v>52</v>
      </c>
      <c r="M1017" s="637" t="s">
        <v>41</v>
      </c>
      <c r="N1017" s="637" t="s">
        <v>39</v>
      </c>
      <c r="O1017" s="637" t="s">
        <v>39</v>
      </c>
      <c r="P1017" s="637" t="s">
        <v>1020</v>
      </c>
      <c r="Q1017" s="638">
        <v>3105550</v>
      </c>
      <c r="R1017" s="638">
        <v>3105550</v>
      </c>
      <c r="S1017" s="638">
        <v>3232545</v>
      </c>
      <c r="T1017" s="638">
        <v>3232545</v>
      </c>
      <c r="U1017" s="638">
        <v>275275</v>
      </c>
      <c r="V1017" s="636">
        <v>2022</v>
      </c>
      <c r="W1017" s="640" t="s">
        <v>3934</v>
      </c>
      <c r="X1017" s="641">
        <f t="shared" si="45"/>
        <v>11.742966124784306</v>
      </c>
      <c r="Y1017" s="642" t="str">
        <f t="shared" si="46"/>
        <v/>
      </c>
      <c r="Z1017" s="642" t="str">
        <f t="shared" si="47"/>
        <v/>
      </c>
    </row>
    <row r="1018" spans="1:26" s="127" customFormat="1" ht="25">
      <c r="A1018" s="636">
        <v>55107</v>
      </c>
      <c r="B1018" s="637" t="s">
        <v>33</v>
      </c>
      <c r="C1018" s="636" t="s">
        <v>2725</v>
      </c>
      <c r="D1018" s="637" t="s">
        <v>1778</v>
      </c>
      <c r="E1018" s="637" t="s">
        <v>2272</v>
      </c>
      <c r="F1018" s="636">
        <v>6832</v>
      </c>
      <c r="G1018" s="637" t="s">
        <v>130</v>
      </c>
      <c r="H1018" s="637" t="s">
        <v>1163</v>
      </c>
      <c r="I1018" s="637" t="s">
        <v>58</v>
      </c>
      <c r="J1018" s="636">
        <v>22</v>
      </c>
      <c r="K1018" s="636">
        <v>2</v>
      </c>
      <c r="L1018" s="637" t="s">
        <v>52</v>
      </c>
      <c r="M1018" s="637" t="s">
        <v>38</v>
      </c>
      <c r="N1018" s="637" t="s">
        <v>39</v>
      </c>
      <c r="O1018" s="637" t="s">
        <v>39</v>
      </c>
      <c r="P1018" s="637" t="s">
        <v>1020</v>
      </c>
      <c r="Q1018" s="638">
        <v>474155</v>
      </c>
      <c r="R1018" s="638">
        <v>474155</v>
      </c>
      <c r="S1018" s="638">
        <v>488316</v>
      </c>
      <c r="T1018" s="638">
        <v>488316</v>
      </c>
      <c r="U1018" s="638">
        <v>1185629</v>
      </c>
      <c r="V1018" s="636">
        <v>2022</v>
      </c>
      <c r="W1018" s="640" t="s">
        <v>3934</v>
      </c>
      <c r="X1018" s="641">
        <f t="shared" si="45"/>
        <v>0.41186239540362118</v>
      </c>
      <c r="Y1018" s="642" t="str">
        <f t="shared" si="46"/>
        <v/>
      </c>
      <c r="Z1018" s="642" t="str">
        <f t="shared" si="47"/>
        <v/>
      </c>
    </row>
    <row r="1019" spans="1:26" s="127" customFormat="1" ht="25">
      <c r="A1019" s="636">
        <v>55107</v>
      </c>
      <c r="B1019" s="637" t="s">
        <v>33</v>
      </c>
      <c r="C1019" s="636" t="s">
        <v>2725</v>
      </c>
      <c r="D1019" s="637" t="s">
        <v>1778</v>
      </c>
      <c r="E1019" s="637" t="s">
        <v>2272</v>
      </c>
      <c r="F1019" s="636">
        <v>6832</v>
      </c>
      <c r="G1019" s="637" t="s">
        <v>130</v>
      </c>
      <c r="H1019" s="637" t="s">
        <v>1163</v>
      </c>
      <c r="I1019" s="637" t="s">
        <v>58</v>
      </c>
      <c r="J1019" s="636">
        <v>22</v>
      </c>
      <c r="K1019" s="636">
        <v>2</v>
      </c>
      <c r="L1019" s="637" t="s">
        <v>52</v>
      </c>
      <c r="M1019" s="637" t="s">
        <v>41</v>
      </c>
      <c r="N1019" s="637" t="s">
        <v>39</v>
      </c>
      <c r="O1019" s="637" t="s">
        <v>39</v>
      </c>
      <c r="P1019" s="637" t="s">
        <v>1020</v>
      </c>
      <c r="Q1019" s="638">
        <v>22561923</v>
      </c>
      <c r="R1019" s="638">
        <v>22561923</v>
      </c>
      <c r="S1019" s="638">
        <v>23232114</v>
      </c>
      <c r="T1019" s="638">
        <v>23232114</v>
      </c>
      <c r="U1019" s="638">
        <v>2109244</v>
      </c>
      <c r="V1019" s="636">
        <v>2022</v>
      </c>
      <c r="W1019" s="640" t="s">
        <v>3934</v>
      </c>
      <c r="X1019" s="641">
        <f t="shared" si="45"/>
        <v>11.014426970042347</v>
      </c>
      <c r="Y1019" s="642" t="str">
        <f t="shared" si="46"/>
        <v/>
      </c>
      <c r="Z1019" s="642" t="str">
        <f t="shared" si="47"/>
        <v/>
      </c>
    </row>
    <row r="1020" spans="1:26" s="127" customFormat="1" ht="25">
      <c r="A1020" s="636">
        <v>55126</v>
      </c>
      <c r="B1020" s="637" t="s">
        <v>33</v>
      </c>
      <c r="C1020" s="636" t="s">
        <v>2725</v>
      </c>
      <c r="D1020" s="637" t="s">
        <v>167</v>
      </c>
      <c r="E1020" s="637" t="s">
        <v>168</v>
      </c>
      <c r="F1020" s="636">
        <v>12568</v>
      </c>
      <c r="G1020" s="637" t="s">
        <v>41</v>
      </c>
      <c r="H1020" s="637" t="s">
        <v>1163</v>
      </c>
      <c r="I1020" s="637" t="s">
        <v>58</v>
      </c>
      <c r="J1020" s="636">
        <v>22</v>
      </c>
      <c r="K1020" s="636">
        <v>2</v>
      </c>
      <c r="L1020" s="637" t="s">
        <v>52</v>
      </c>
      <c r="M1020" s="637" t="s">
        <v>62</v>
      </c>
      <c r="N1020" s="637" t="s">
        <v>39</v>
      </c>
      <c r="O1020" s="637" t="s">
        <v>39</v>
      </c>
      <c r="P1020" s="637" t="s">
        <v>1020</v>
      </c>
      <c r="Q1020" s="638">
        <v>25868686</v>
      </c>
      <c r="R1020" s="638">
        <v>25868686</v>
      </c>
      <c r="S1020" s="638">
        <v>26929301</v>
      </c>
      <c r="T1020" s="638">
        <v>26929301</v>
      </c>
      <c r="U1020" s="638">
        <v>3696502</v>
      </c>
      <c r="V1020" s="636">
        <v>2022</v>
      </c>
      <c r="W1020" s="640" t="s">
        <v>3934</v>
      </c>
      <c r="X1020" s="641">
        <f t="shared" si="45"/>
        <v>7.2850768104548571</v>
      </c>
      <c r="Y1020" s="642" t="str">
        <f t="shared" si="46"/>
        <v/>
      </c>
      <c r="Z1020" s="642" t="str">
        <f t="shared" si="47"/>
        <v/>
      </c>
    </row>
    <row r="1021" spans="1:26" s="127" customFormat="1" ht="25">
      <c r="A1021" s="636">
        <v>55126</v>
      </c>
      <c r="B1021" s="637" t="s">
        <v>33</v>
      </c>
      <c r="C1021" s="636" t="s">
        <v>2725</v>
      </c>
      <c r="D1021" s="637" t="s">
        <v>167</v>
      </c>
      <c r="E1021" s="637" t="s">
        <v>168</v>
      </c>
      <c r="F1021" s="636">
        <v>12568</v>
      </c>
      <c r="G1021" s="637" t="s">
        <v>41</v>
      </c>
      <c r="H1021" s="637" t="s">
        <v>1163</v>
      </c>
      <c r="I1021" s="637" t="s">
        <v>58</v>
      </c>
      <c r="J1021" s="636">
        <v>22</v>
      </c>
      <c r="K1021" s="636">
        <v>2</v>
      </c>
      <c r="L1021" s="637" t="s">
        <v>52</v>
      </c>
      <c r="M1021" s="637" t="s">
        <v>62</v>
      </c>
      <c r="N1021" s="637" t="s">
        <v>420</v>
      </c>
      <c r="O1021" s="637" t="s">
        <v>67</v>
      </c>
      <c r="P1021" s="637" t="s">
        <v>1020</v>
      </c>
      <c r="Q1021" s="638">
        <v>0</v>
      </c>
      <c r="R1021" s="638">
        <v>0</v>
      </c>
      <c r="S1021" s="638">
        <v>0</v>
      </c>
      <c r="T1021" s="638">
        <v>0</v>
      </c>
      <c r="U1021" s="638">
        <v>0</v>
      </c>
      <c r="V1021" s="636">
        <v>2022</v>
      </c>
      <c r="W1021" s="640" t="s">
        <v>3934</v>
      </c>
      <c r="X1021" s="641" t="str">
        <f t="shared" si="45"/>
        <v/>
      </c>
      <c r="Y1021" s="642" t="str">
        <f t="shared" si="46"/>
        <v/>
      </c>
      <c r="Z1021" s="642" t="str">
        <f t="shared" si="47"/>
        <v/>
      </c>
    </row>
    <row r="1022" spans="1:26" s="127" customFormat="1" ht="25">
      <c r="A1022" s="636">
        <v>55149</v>
      </c>
      <c r="B1022" s="637" t="s">
        <v>33</v>
      </c>
      <c r="C1022" s="636" t="s">
        <v>2725</v>
      </c>
      <c r="D1022" s="637" t="s">
        <v>169</v>
      </c>
      <c r="E1022" s="637" t="s">
        <v>170</v>
      </c>
      <c r="F1022" s="636">
        <v>10576</v>
      </c>
      <c r="G1022" s="637" t="s">
        <v>41</v>
      </c>
      <c r="H1022" s="637" t="s">
        <v>1163</v>
      </c>
      <c r="I1022" s="637" t="s">
        <v>58</v>
      </c>
      <c r="J1022" s="636">
        <v>22</v>
      </c>
      <c r="K1022" s="636">
        <v>2</v>
      </c>
      <c r="L1022" s="637" t="s">
        <v>52</v>
      </c>
      <c r="M1022" s="637" t="s">
        <v>62</v>
      </c>
      <c r="N1022" s="637" t="s">
        <v>39</v>
      </c>
      <c r="O1022" s="637" t="s">
        <v>39</v>
      </c>
      <c r="P1022" s="637" t="s">
        <v>1020</v>
      </c>
      <c r="Q1022" s="638">
        <v>41544951</v>
      </c>
      <c r="R1022" s="638">
        <v>41544951</v>
      </c>
      <c r="S1022" s="638">
        <v>42728115</v>
      </c>
      <c r="T1022" s="638">
        <v>42728115</v>
      </c>
      <c r="U1022" s="638">
        <v>5722994</v>
      </c>
      <c r="V1022" s="636">
        <v>2022</v>
      </c>
      <c r="W1022" s="640" t="s">
        <v>3934</v>
      </c>
      <c r="X1022" s="641">
        <f t="shared" si="45"/>
        <v>7.4660422499132446</v>
      </c>
      <c r="Y1022" s="642" t="str">
        <f t="shared" si="46"/>
        <v/>
      </c>
      <c r="Z1022" s="642" t="str">
        <f t="shared" si="47"/>
        <v/>
      </c>
    </row>
    <row r="1023" spans="1:26" s="127" customFormat="1" ht="25">
      <c r="A1023" s="636">
        <v>55149</v>
      </c>
      <c r="B1023" s="637" t="s">
        <v>33</v>
      </c>
      <c r="C1023" s="636" t="s">
        <v>2725</v>
      </c>
      <c r="D1023" s="637" t="s">
        <v>169</v>
      </c>
      <c r="E1023" s="637" t="s">
        <v>170</v>
      </c>
      <c r="F1023" s="636">
        <v>10576</v>
      </c>
      <c r="G1023" s="637" t="s">
        <v>41</v>
      </c>
      <c r="H1023" s="637" t="s">
        <v>1163</v>
      </c>
      <c r="I1023" s="637" t="s">
        <v>58</v>
      </c>
      <c r="J1023" s="636">
        <v>22</v>
      </c>
      <c r="K1023" s="636">
        <v>2</v>
      </c>
      <c r="L1023" s="637" t="s">
        <v>52</v>
      </c>
      <c r="M1023" s="637" t="s">
        <v>62</v>
      </c>
      <c r="N1023" s="637" t="s">
        <v>420</v>
      </c>
      <c r="O1023" s="637" t="s">
        <v>67</v>
      </c>
      <c r="P1023" s="637" t="s">
        <v>1020</v>
      </c>
      <c r="Q1023" s="638">
        <v>0</v>
      </c>
      <c r="R1023" s="638">
        <v>0</v>
      </c>
      <c r="S1023" s="638">
        <v>0</v>
      </c>
      <c r="T1023" s="638">
        <v>0</v>
      </c>
      <c r="U1023" s="638">
        <v>0</v>
      </c>
      <c r="V1023" s="636">
        <v>2022</v>
      </c>
      <c r="W1023" s="640" t="s">
        <v>3934</v>
      </c>
      <c r="X1023" s="641" t="str">
        <f t="shared" si="45"/>
        <v/>
      </c>
      <c r="Y1023" s="642" t="str">
        <f t="shared" si="46"/>
        <v/>
      </c>
      <c r="Z1023" s="642" t="str">
        <f t="shared" si="47"/>
        <v/>
      </c>
    </row>
    <row r="1024" spans="1:26" s="127" customFormat="1" ht="25">
      <c r="A1024" s="636">
        <v>55155</v>
      </c>
      <c r="B1024" s="637" t="s">
        <v>33</v>
      </c>
      <c r="C1024" s="636" t="s">
        <v>2725</v>
      </c>
      <c r="D1024" s="637" t="s">
        <v>1097</v>
      </c>
      <c r="E1024" s="637" t="s">
        <v>1098</v>
      </c>
      <c r="F1024" s="636">
        <v>57229</v>
      </c>
      <c r="G1024" s="637" t="s">
        <v>57</v>
      </c>
      <c r="H1024" s="637" t="s">
        <v>1162</v>
      </c>
      <c r="I1024" s="637" t="s">
        <v>58</v>
      </c>
      <c r="J1024" s="636">
        <v>22</v>
      </c>
      <c r="K1024" s="636">
        <v>2</v>
      </c>
      <c r="L1024" s="637" t="s">
        <v>52</v>
      </c>
      <c r="M1024" s="637" t="s">
        <v>51</v>
      </c>
      <c r="N1024" s="637" t="s">
        <v>63</v>
      </c>
      <c r="O1024" s="637" t="s">
        <v>64</v>
      </c>
      <c r="P1024" s="637" t="s">
        <v>1020</v>
      </c>
      <c r="Q1024" s="638">
        <v>46228</v>
      </c>
      <c r="R1024" s="638">
        <v>46228</v>
      </c>
      <c r="S1024" s="638">
        <v>20155</v>
      </c>
      <c r="T1024" s="638">
        <v>20155</v>
      </c>
      <c r="U1024" s="638">
        <v>1937</v>
      </c>
      <c r="V1024" s="636">
        <v>2022</v>
      </c>
      <c r="W1024" s="640"/>
      <c r="X1024" s="641">
        <f t="shared" si="45"/>
        <v>10.405265875064533</v>
      </c>
      <c r="Y1024" s="642" t="str">
        <f t="shared" si="46"/>
        <v/>
      </c>
      <c r="Z1024" s="642" t="str">
        <f t="shared" si="47"/>
        <v/>
      </c>
    </row>
    <row r="1025" spans="1:26" s="127" customFormat="1" ht="25">
      <c r="A1025" s="636">
        <v>55170</v>
      </c>
      <c r="B1025" s="637" t="s">
        <v>33</v>
      </c>
      <c r="C1025" s="636" t="s">
        <v>2725</v>
      </c>
      <c r="D1025" s="637" t="s">
        <v>171</v>
      </c>
      <c r="E1025" s="637" t="s">
        <v>172</v>
      </c>
      <c r="F1025" s="636">
        <v>88</v>
      </c>
      <c r="G1025" s="637" t="s">
        <v>96</v>
      </c>
      <c r="H1025" s="637" t="s">
        <v>1163</v>
      </c>
      <c r="I1025" s="637" t="s">
        <v>58</v>
      </c>
      <c r="J1025" s="636">
        <v>22</v>
      </c>
      <c r="K1025" s="636">
        <v>2</v>
      </c>
      <c r="L1025" s="637" t="s">
        <v>52</v>
      </c>
      <c r="M1025" s="637" t="s">
        <v>38</v>
      </c>
      <c r="N1025" s="637" t="s">
        <v>39</v>
      </c>
      <c r="O1025" s="637" t="s">
        <v>39</v>
      </c>
      <c r="P1025" s="637" t="s">
        <v>1020</v>
      </c>
      <c r="Q1025" s="638">
        <v>0</v>
      </c>
      <c r="R1025" s="638">
        <v>0</v>
      </c>
      <c r="S1025" s="638">
        <v>0</v>
      </c>
      <c r="T1025" s="638">
        <v>0</v>
      </c>
      <c r="U1025" s="638">
        <v>1222642</v>
      </c>
      <c r="V1025" s="636">
        <v>2022</v>
      </c>
      <c r="W1025" s="640" t="s">
        <v>3934</v>
      </c>
      <c r="X1025" s="641" t="str">
        <f t="shared" si="45"/>
        <v/>
      </c>
      <c r="Y1025" s="642" t="str">
        <f t="shared" si="46"/>
        <v/>
      </c>
      <c r="Z1025" s="642" t="str">
        <f t="shared" si="47"/>
        <v/>
      </c>
    </row>
    <row r="1026" spans="1:26" s="127" customFormat="1" ht="25">
      <c r="A1026" s="636">
        <v>55170</v>
      </c>
      <c r="B1026" s="637" t="s">
        <v>33</v>
      </c>
      <c r="C1026" s="636" t="s">
        <v>2725</v>
      </c>
      <c r="D1026" s="637" t="s">
        <v>171</v>
      </c>
      <c r="E1026" s="637" t="s">
        <v>172</v>
      </c>
      <c r="F1026" s="636">
        <v>88</v>
      </c>
      <c r="G1026" s="637" t="s">
        <v>96</v>
      </c>
      <c r="H1026" s="637" t="s">
        <v>1163</v>
      </c>
      <c r="I1026" s="637" t="s">
        <v>58</v>
      </c>
      <c r="J1026" s="636">
        <v>22</v>
      </c>
      <c r="K1026" s="636">
        <v>2</v>
      </c>
      <c r="L1026" s="637" t="s">
        <v>52</v>
      </c>
      <c r="M1026" s="637" t="s">
        <v>41</v>
      </c>
      <c r="N1026" s="637" t="s">
        <v>39</v>
      </c>
      <c r="O1026" s="637" t="s">
        <v>39</v>
      </c>
      <c r="P1026" s="637" t="s">
        <v>1020</v>
      </c>
      <c r="Q1026" s="638">
        <v>24429773</v>
      </c>
      <c r="R1026" s="638">
        <v>24429773</v>
      </c>
      <c r="S1026" s="638">
        <v>25168817</v>
      </c>
      <c r="T1026" s="638">
        <v>25168817</v>
      </c>
      <c r="U1026" s="638">
        <v>2211130</v>
      </c>
      <c r="V1026" s="636">
        <v>2022</v>
      </c>
      <c r="W1026" s="640" t="s">
        <v>3934</v>
      </c>
      <c r="X1026" s="641">
        <f t="shared" si="45"/>
        <v>11.382784820431182</v>
      </c>
      <c r="Y1026" s="642" t="str">
        <f t="shared" si="46"/>
        <v/>
      </c>
      <c r="Z1026" s="642" t="str">
        <f t="shared" si="47"/>
        <v/>
      </c>
    </row>
    <row r="1027" spans="1:26" s="127" customFormat="1" ht="25">
      <c r="A1027" s="636">
        <v>55211</v>
      </c>
      <c r="B1027" s="637" t="s">
        <v>33</v>
      </c>
      <c r="C1027" s="636" t="s">
        <v>2725</v>
      </c>
      <c r="D1027" s="637" t="s">
        <v>173</v>
      </c>
      <c r="E1027" s="637" t="s">
        <v>3017</v>
      </c>
      <c r="F1027" s="636">
        <v>641</v>
      </c>
      <c r="G1027" s="637" t="s">
        <v>81</v>
      </c>
      <c r="H1027" s="637" t="s">
        <v>1163</v>
      </c>
      <c r="I1027" s="637" t="s">
        <v>58</v>
      </c>
      <c r="J1027" s="636">
        <v>22</v>
      </c>
      <c r="K1027" s="636">
        <v>2</v>
      </c>
      <c r="L1027" s="637" t="s">
        <v>52</v>
      </c>
      <c r="M1027" s="637" t="s">
        <v>62</v>
      </c>
      <c r="N1027" s="637" t="s">
        <v>39</v>
      </c>
      <c r="O1027" s="637" t="s">
        <v>39</v>
      </c>
      <c r="P1027" s="637" t="s">
        <v>1020</v>
      </c>
      <c r="Q1027" s="638">
        <v>19536255</v>
      </c>
      <c r="R1027" s="638">
        <v>19536255</v>
      </c>
      <c r="S1027" s="638">
        <v>20108528</v>
      </c>
      <c r="T1027" s="638">
        <v>20108528</v>
      </c>
      <c r="U1027" s="638">
        <v>2561209</v>
      </c>
      <c r="V1027" s="636">
        <v>2022</v>
      </c>
      <c r="W1027" s="640" t="s">
        <v>3934</v>
      </c>
      <c r="X1027" s="641">
        <f t="shared" si="45"/>
        <v>7.851185904781687</v>
      </c>
      <c r="Y1027" s="642" t="str">
        <f t="shared" si="46"/>
        <v/>
      </c>
      <c r="Z1027" s="642" t="str">
        <f t="shared" si="47"/>
        <v/>
      </c>
    </row>
    <row r="1028" spans="1:26" s="127" customFormat="1" ht="25">
      <c r="A1028" s="636">
        <v>55212</v>
      </c>
      <c r="B1028" s="637" t="s">
        <v>33</v>
      </c>
      <c r="C1028" s="636" t="s">
        <v>2725</v>
      </c>
      <c r="D1028" s="637" t="s">
        <v>174</v>
      </c>
      <c r="E1028" s="637" t="s">
        <v>981</v>
      </c>
      <c r="F1028" s="636">
        <v>656</v>
      </c>
      <c r="G1028" s="637" t="s">
        <v>81</v>
      </c>
      <c r="H1028" s="637" t="s">
        <v>1163</v>
      </c>
      <c r="I1028" s="637" t="s">
        <v>58</v>
      </c>
      <c r="J1028" s="636">
        <v>22</v>
      </c>
      <c r="K1028" s="636">
        <v>2</v>
      </c>
      <c r="L1028" s="637" t="s">
        <v>52</v>
      </c>
      <c r="M1028" s="637" t="s">
        <v>62</v>
      </c>
      <c r="N1028" s="637" t="s">
        <v>39</v>
      </c>
      <c r="O1028" s="637" t="s">
        <v>39</v>
      </c>
      <c r="P1028" s="637" t="s">
        <v>1020</v>
      </c>
      <c r="Q1028" s="638">
        <v>19397219</v>
      </c>
      <c r="R1028" s="638">
        <v>19397219</v>
      </c>
      <c r="S1028" s="638">
        <v>20011225</v>
      </c>
      <c r="T1028" s="638">
        <v>20011225</v>
      </c>
      <c r="U1028" s="638">
        <v>2598161</v>
      </c>
      <c r="V1028" s="636">
        <v>2022</v>
      </c>
      <c r="W1028" s="640" t="s">
        <v>3934</v>
      </c>
      <c r="X1028" s="641">
        <f t="shared" si="45"/>
        <v>7.7020727352923855</v>
      </c>
      <c r="Y1028" s="642" t="str">
        <f t="shared" si="46"/>
        <v/>
      </c>
      <c r="Z1028" s="642" t="str">
        <f t="shared" si="47"/>
        <v/>
      </c>
    </row>
    <row r="1029" spans="1:26" s="127" customFormat="1" ht="25">
      <c r="A1029" s="636">
        <v>55243</v>
      </c>
      <c r="B1029" s="637" t="s">
        <v>33</v>
      </c>
      <c r="C1029" s="636" t="s">
        <v>2725</v>
      </c>
      <c r="D1029" s="637" t="s">
        <v>175</v>
      </c>
      <c r="E1029" s="637" t="s">
        <v>176</v>
      </c>
      <c r="F1029" s="636">
        <v>13582</v>
      </c>
      <c r="G1029" s="637" t="s">
        <v>57</v>
      </c>
      <c r="H1029" s="637" t="s">
        <v>1162</v>
      </c>
      <c r="I1029" s="637" t="s">
        <v>58</v>
      </c>
      <c r="J1029" s="636">
        <v>22</v>
      </c>
      <c r="K1029" s="636">
        <v>2</v>
      </c>
      <c r="L1029" s="637" t="s">
        <v>52</v>
      </c>
      <c r="M1029" s="637" t="s">
        <v>50</v>
      </c>
      <c r="N1029" s="637" t="s">
        <v>76</v>
      </c>
      <c r="O1029" s="637" t="s">
        <v>67</v>
      </c>
      <c r="P1029" s="637" t="s">
        <v>47</v>
      </c>
      <c r="Q1029" s="638">
        <v>18468</v>
      </c>
      <c r="R1029" s="638">
        <v>18468</v>
      </c>
      <c r="S1029" s="638">
        <v>103847</v>
      </c>
      <c r="T1029" s="638">
        <v>103847</v>
      </c>
      <c r="U1029" s="638">
        <v>7193.2460000000001</v>
      </c>
      <c r="V1029" s="636">
        <v>2022</v>
      </c>
      <c r="W1029" s="640" t="s">
        <v>3934</v>
      </c>
      <c r="X1029" s="641">
        <f t="shared" si="45"/>
        <v>14.436736905702933</v>
      </c>
      <c r="Y1029" s="642" t="str">
        <f t="shared" si="46"/>
        <v/>
      </c>
      <c r="Z1029" s="642" t="str">
        <f t="shared" si="47"/>
        <v/>
      </c>
    </row>
    <row r="1030" spans="1:26" s="127" customFormat="1" ht="25">
      <c r="A1030" s="636">
        <v>55243</v>
      </c>
      <c r="B1030" s="637" t="s">
        <v>33</v>
      </c>
      <c r="C1030" s="636" t="s">
        <v>2725</v>
      </c>
      <c r="D1030" s="637" t="s">
        <v>175</v>
      </c>
      <c r="E1030" s="637" t="s">
        <v>176</v>
      </c>
      <c r="F1030" s="636">
        <v>13582</v>
      </c>
      <c r="G1030" s="637" t="s">
        <v>57</v>
      </c>
      <c r="H1030" s="637" t="s">
        <v>1162</v>
      </c>
      <c r="I1030" s="637" t="s">
        <v>58</v>
      </c>
      <c r="J1030" s="636">
        <v>22</v>
      </c>
      <c r="K1030" s="636">
        <v>2</v>
      </c>
      <c r="L1030" s="637" t="s">
        <v>52</v>
      </c>
      <c r="M1030" s="637" t="s">
        <v>50</v>
      </c>
      <c r="N1030" s="637" t="s">
        <v>39</v>
      </c>
      <c r="O1030" s="637" t="s">
        <v>39</v>
      </c>
      <c r="P1030" s="637" t="s">
        <v>1020</v>
      </c>
      <c r="Q1030" s="638">
        <v>573252</v>
      </c>
      <c r="R1030" s="638">
        <v>573252</v>
      </c>
      <c r="S1030" s="638">
        <v>589876</v>
      </c>
      <c r="T1030" s="638">
        <v>589876</v>
      </c>
      <c r="U1030" s="638">
        <v>40857.752999999997</v>
      </c>
      <c r="V1030" s="636">
        <v>2022</v>
      </c>
      <c r="W1030" s="640" t="s">
        <v>3934</v>
      </c>
      <c r="X1030" s="641">
        <f t="shared" si="45"/>
        <v>14.437308875013271</v>
      </c>
      <c r="Y1030" s="642" t="str">
        <f t="shared" si="46"/>
        <v/>
      </c>
      <c r="Z1030" s="642" t="str">
        <f t="shared" si="47"/>
        <v/>
      </c>
    </row>
    <row r="1031" spans="1:26" s="127" customFormat="1" ht="25">
      <c r="A1031" s="636">
        <v>55288</v>
      </c>
      <c r="B1031" s="637" t="s">
        <v>33</v>
      </c>
      <c r="C1031" s="636" t="s">
        <v>2725</v>
      </c>
      <c r="D1031" s="637" t="s">
        <v>1179</v>
      </c>
      <c r="E1031" s="637" t="s">
        <v>1541</v>
      </c>
      <c r="F1031" s="636">
        <v>59178</v>
      </c>
      <c r="G1031" s="637" t="s">
        <v>90</v>
      </c>
      <c r="H1031" s="637" t="s">
        <v>1163</v>
      </c>
      <c r="I1031" s="637" t="s">
        <v>58</v>
      </c>
      <c r="J1031" s="636">
        <v>22</v>
      </c>
      <c r="K1031" s="636">
        <v>2</v>
      </c>
      <c r="L1031" s="637" t="s">
        <v>52</v>
      </c>
      <c r="M1031" s="637" t="s">
        <v>35</v>
      </c>
      <c r="N1031" s="637" t="s">
        <v>36</v>
      </c>
      <c r="O1031" s="637" t="s">
        <v>37</v>
      </c>
      <c r="P1031" s="637" t="s">
        <v>1156</v>
      </c>
      <c r="Q1031" s="638">
        <v>0</v>
      </c>
      <c r="R1031" s="638">
        <v>0</v>
      </c>
      <c r="S1031" s="638">
        <v>96939</v>
      </c>
      <c r="T1031" s="638">
        <v>96939</v>
      </c>
      <c r="U1031" s="638">
        <v>28411</v>
      </c>
      <c r="V1031" s="636">
        <v>2022</v>
      </c>
      <c r="W1031" s="640"/>
      <c r="X1031" s="641">
        <f t="shared" si="45"/>
        <v>3.4120235120199922</v>
      </c>
      <c r="Y1031" s="642" t="str">
        <f t="shared" si="46"/>
        <v/>
      </c>
      <c r="Z1031" s="642" t="str">
        <f t="shared" si="47"/>
        <v/>
      </c>
    </row>
    <row r="1032" spans="1:26" s="127" customFormat="1" ht="25">
      <c r="A1032" s="636">
        <v>55294</v>
      </c>
      <c r="B1032" s="637" t="s">
        <v>33</v>
      </c>
      <c r="C1032" s="636" t="s">
        <v>2725</v>
      </c>
      <c r="D1032" s="637" t="s">
        <v>1099</v>
      </c>
      <c r="E1032" s="637" t="s">
        <v>177</v>
      </c>
      <c r="F1032" s="636">
        <v>2891</v>
      </c>
      <c r="G1032" s="637" t="s">
        <v>90</v>
      </c>
      <c r="H1032" s="637" t="s">
        <v>1163</v>
      </c>
      <c r="I1032" s="637" t="s">
        <v>58</v>
      </c>
      <c r="J1032" s="636">
        <v>22</v>
      </c>
      <c r="K1032" s="636">
        <v>2</v>
      </c>
      <c r="L1032" s="637" t="s">
        <v>52</v>
      </c>
      <c r="M1032" s="637" t="s">
        <v>38</v>
      </c>
      <c r="N1032" s="637" t="s">
        <v>39</v>
      </c>
      <c r="O1032" s="637" t="s">
        <v>39</v>
      </c>
      <c r="P1032" s="637" t="s">
        <v>1020</v>
      </c>
      <c r="Q1032" s="638">
        <v>0</v>
      </c>
      <c r="R1032" s="638">
        <v>0</v>
      </c>
      <c r="S1032" s="638">
        <v>0</v>
      </c>
      <c r="T1032" s="638">
        <v>0</v>
      </c>
      <c r="U1032" s="638">
        <v>864252</v>
      </c>
      <c r="V1032" s="636">
        <v>2022</v>
      </c>
      <c r="W1032" s="640" t="s">
        <v>3934</v>
      </c>
      <c r="X1032" s="641" t="str">
        <f t="shared" ref="X1032:X1095" si="48">IF(OR(K1032&gt;3,T1032=0,NOT(U1032&gt;0)),"",T1032/U1032)</f>
        <v/>
      </c>
      <c r="Y1032" s="642" t="str">
        <f t="shared" ref="Y1032:Y1095" si="49">IF(AND($M1032=$Y$2,$N1032=$Y$3,NOT($Q1032=$R1032),NOT($U1032=0)),IF($K1032=5,$S1032/($U1032+(8/5)*$U1032),IF($K1032=7,$S1032/($U1032+(29/25)*$U1032),"")),"")</f>
        <v/>
      </c>
      <c r="Z1032" s="642" t="str">
        <f t="shared" si="47"/>
        <v/>
      </c>
    </row>
    <row r="1033" spans="1:26" s="127" customFormat="1" ht="25">
      <c r="A1033" s="636">
        <v>55294</v>
      </c>
      <c r="B1033" s="637" t="s">
        <v>33</v>
      </c>
      <c r="C1033" s="636" t="s">
        <v>2725</v>
      </c>
      <c r="D1033" s="637" t="s">
        <v>1099</v>
      </c>
      <c r="E1033" s="637" t="s">
        <v>177</v>
      </c>
      <c r="F1033" s="636">
        <v>2891</v>
      </c>
      <c r="G1033" s="637" t="s">
        <v>90</v>
      </c>
      <c r="H1033" s="637" t="s">
        <v>1163</v>
      </c>
      <c r="I1033" s="637" t="s">
        <v>58</v>
      </c>
      <c r="J1033" s="636">
        <v>22</v>
      </c>
      <c r="K1033" s="636">
        <v>2</v>
      </c>
      <c r="L1033" s="637" t="s">
        <v>52</v>
      </c>
      <c r="M1033" s="637" t="s">
        <v>41</v>
      </c>
      <c r="N1033" s="637" t="s">
        <v>39</v>
      </c>
      <c r="O1033" s="637" t="s">
        <v>39</v>
      </c>
      <c r="P1033" s="637" t="s">
        <v>1020</v>
      </c>
      <c r="Q1033" s="638">
        <v>17063306</v>
      </c>
      <c r="R1033" s="638">
        <v>17063306</v>
      </c>
      <c r="S1033" s="638">
        <v>17797636</v>
      </c>
      <c r="T1033" s="638">
        <v>17797636</v>
      </c>
      <c r="U1033" s="638">
        <v>1597468</v>
      </c>
      <c r="V1033" s="636">
        <v>2022</v>
      </c>
      <c r="W1033" s="640" t="s">
        <v>3934</v>
      </c>
      <c r="X1033" s="641">
        <f t="shared" si="48"/>
        <v>11.14115337521628</v>
      </c>
      <c r="Y1033" s="642" t="str">
        <f t="shared" si="49"/>
        <v/>
      </c>
      <c r="Z1033" s="642" t="str">
        <f t="shared" si="47"/>
        <v/>
      </c>
    </row>
    <row r="1034" spans="1:26" s="127" customFormat="1" ht="25">
      <c r="A1034" s="636">
        <v>55317</v>
      </c>
      <c r="B1034" s="637" t="s">
        <v>33</v>
      </c>
      <c r="C1034" s="636" t="s">
        <v>2725</v>
      </c>
      <c r="D1034" s="637" t="s">
        <v>178</v>
      </c>
      <c r="E1034" s="637" t="s">
        <v>1574</v>
      </c>
      <c r="F1034" s="636">
        <v>59368</v>
      </c>
      <c r="G1034" s="637" t="s">
        <v>81</v>
      </c>
      <c r="H1034" s="637" t="s">
        <v>1163</v>
      </c>
      <c r="I1034" s="637" t="s">
        <v>58</v>
      </c>
      <c r="J1034" s="636">
        <v>22</v>
      </c>
      <c r="K1034" s="636">
        <v>2</v>
      </c>
      <c r="L1034" s="637" t="s">
        <v>52</v>
      </c>
      <c r="M1034" s="637" t="s">
        <v>38</v>
      </c>
      <c r="N1034" s="637" t="s">
        <v>46</v>
      </c>
      <c r="O1034" s="637" t="s">
        <v>46</v>
      </c>
      <c r="P1034" s="637" t="s">
        <v>47</v>
      </c>
      <c r="Q1034" s="638">
        <v>0</v>
      </c>
      <c r="R1034" s="638">
        <v>0</v>
      </c>
      <c r="S1034" s="638">
        <v>0</v>
      </c>
      <c r="T1034" s="638">
        <v>0</v>
      </c>
      <c r="U1034" s="638">
        <v>81037.331999999995</v>
      </c>
      <c r="V1034" s="636">
        <v>2022</v>
      </c>
      <c r="W1034" s="640" t="s">
        <v>3934</v>
      </c>
      <c r="X1034" s="641" t="str">
        <f t="shared" si="48"/>
        <v/>
      </c>
      <c r="Y1034" s="642" t="str">
        <f t="shared" si="49"/>
        <v/>
      </c>
      <c r="Z1034" s="642" t="str">
        <f t="shared" si="47"/>
        <v/>
      </c>
    </row>
    <row r="1035" spans="1:26" s="127" customFormat="1" ht="25">
      <c r="A1035" s="636">
        <v>55317</v>
      </c>
      <c r="B1035" s="637" t="s">
        <v>33</v>
      </c>
      <c r="C1035" s="636" t="s">
        <v>2725</v>
      </c>
      <c r="D1035" s="637" t="s">
        <v>178</v>
      </c>
      <c r="E1035" s="637" t="s">
        <v>1574</v>
      </c>
      <c r="F1035" s="636">
        <v>59368</v>
      </c>
      <c r="G1035" s="637" t="s">
        <v>81</v>
      </c>
      <c r="H1035" s="637" t="s">
        <v>1163</v>
      </c>
      <c r="I1035" s="637" t="s">
        <v>58</v>
      </c>
      <c r="J1035" s="636">
        <v>22</v>
      </c>
      <c r="K1035" s="636">
        <v>2</v>
      </c>
      <c r="L1035" s="637" t="s">
        <v>52</v>
      </c>
      <c r="M1035" s="637" t="s">
        <v>38</v>
      </c>
      <c r="N1035" s="637" t="s">
        <v>39</v>
      </c>
      <c r="O1035" s="637" t="s">
        <v>39</v>
      </c>
      <c r="P1035" s="637" t="s">
        <v>1020</v>
      </c>
      <c r="Q1035" s="638">
        <v>122694</v>
      </c>
      <c r="R1035" s="638">
        <v>122694</v>
      </c>
      <c r="S1035" s="638">
        <v>126374</v>
      </c>
      <c r="T1035" s="638">
        <v>126374</v>
      </c>
      <c r="U1035" s="638">
        <v>1014082.7</v>
      </c>
      <c r="V1035" s="636">
        <v>2022</v>
      </c>
      <c r="W1035" s="640" t="s">
        <v>3934</v>
      </c>
      <c r="X1035" s="641">
        <f t="shared" si="48"/>
        <v>0.1246190276197395</v>
      </c>
      <c r="Y1035" s="642" t="str">
        <f t="shared" si="49"/>
        <v/>
      </c>
      <c r="Z1035" s="642" t="str">
        <f t="shared" si="47"/>
        <v/>
      </c>
    </row>
    <row r="1036" spans="1:26" s="127" customFormat="1" ht="25">
      <c r="A1036" s="636">
        <v>55317</v>
      </c>
      <c r="B1036" s="637" t="s">
        <v>33</v>
      </c>
      <c r="C1036" s="636" t="s">
        <v>2725</v>
      </c>
      <c r="D1036" s="637" t="s">
        <v>178</v>
      </c>
      <c r="E1036" s="637" t="s">
        <v>1574</v>
      </c>
      <c r="F1036" s="636">
        <v>59368</v>
      </c>
      <c r="G1036" s="637" t="s">
        <v>81</v>
      </c>
      <c r="H1036" s="637" t="s">
        <v>1163</v>
      </c>
      <c r="I1036" s="637" t="s">
        <v>58</v>
      </c>
      <c r="J1036" s="636">
        <v>22</v>
      </c>
      <c r="K1036" s="636">
        <v>2</v>
      </c>
      <c r="L1036" s="637" t="s">
        <v>52</v>
      </c>
      <c r="M1036" s="637" t="s">
        <v>41</v>
      </c>
      <c r="N1036" s="637" t="s">
        <v>46</v>
      </c>
      <c r="O1036" s="637" t="s">
        <v>46</v>
      </c>
      <c r="P1036" s="637" t="s">
        <v>47</v>
      </c>
      <c r="Q1036" s="638">
        <v>353613</v>
      </c>
      <c r="R1036" s="638">
        <v>353613</v>
      </c>
      <c r="S1036" s="638">
        <v>2050956</v>
      </c>
      <c r="T1036" s="638">
        <v>2050956</v>
      </c>
      <c r="U1036" s="638">
        <v>187469.69</v>
      </c>
      <c r="V1036" s="636">
        <v>2022</v>
      </c>
      <c r="W1036" s="640" t="s">
        <v>3934</v>
      </c>
      <c r="X1036" s="641">
        <f t="shared" si="48"/>
        <v>10.940200519881374</v>
      </c>
      <c r="Y1036" s="642" t="str">
        <f t="shared" si="49"/>
        <v/>
      </c>
      <c r="Z1036" s="642" t="str">
        <f t="shared" si="47"/>
        <v/>
      </c>
    </row>
    <row r="1037" spans="1:26" s="127" customFormat="1" ht="25">
      <c r="A1037" s="636">
        <v>55317</v>
      </c>
      <c r="B1037" s="637" t="s">
        <v>33</v>
      </c>
      <c r="C1037" s="636" t="s">
        <v>2725</v>
      </c>
      <c r="D1037" s="637" t="s">
        <v>178</v>
      </c>
      <c r="E1037" s="637" t="s">
        <v>1574</v>
      </c>
      <c r="F1037" s="636">
        <v>59368</v>
      </c>
      <c r="G1037" s="637" t="s">
        <v>81</v>
      </c>
      <c r="H1037" s="637" t="s">
        <v>1163</v>
      </c>
      <c r="I1037" s="637" t="s">
        <v>58</v>
      </c>
      <c r="J1037" s="636">
        <v>22</v>
      </c>
      <c r="K1037" s="636">
        <v>2</v>
      </c>
      <c r="L1037" s="637" t="s">
        <v>52</v>
      </c>
      <c r="M1037" s="637" t="s">
        <v>41</v>
      </c>
      <c r="N1037" s="637" t="s">
        <v>39</v>
      </c>
      <c r="O1037" s="637" t="s">
        <v>39</v>
      </c>
      <c r="P1037" s="637" t="s">
        <v>1020</v>
      </c>
      <c r="Q1037" s="638">
        <v>22561761</v>
      </c>
      <c r="R1037" s="638">
        <v>22561761</v>
      </c>
      <c r="S1037" s="638">
        <v>23238613</v>
      </c>
      <c r="T1037" s="638">
        <v>23238613</v>
      </c>
      <c r="U1037" s="638">
        <v>2113591.2999999998</v>
      </c>
      <c r="V1037" s="636">
        <v>2022</v>
      </c>
      <c r="W1037" s="640" t="s">
        <v>3934</v>
      </c>
      <c r="X1037" s="641">
        <f t="shared" si="48"/>
        <v>10.994847017017907</v>
      </c>
      <c r="Y1037" s="642" t="str">
        <f t="shared" si="49"/>
        <v/>
      </c>
      <c r="Z1037" s="642" t="str">
        <f t="shared" si="47"/>
        <v/>
      </c>
    </row>
    <row r="1038" spans="1:26" s="127" customFormat="1" ht="25">
      <c r="A1038" s="636">
        <v>55368</v>
      </c>
      <c r="B1038" s="637" t="s">
        <v>33</v>
      </c>
      <c r="C1038" s="636" t="s">
        <v>2725</v>
      </c>
      <c r="D1038" s="637" t="s">
        <v>982</v>
      </c>
      <c r="E1038" s="637" t="s">
        <v>797</v>
      </c>
      <c r="F1038" s="636">
        <v>34688</v>
      </c>
      <c r="G1038" s="637" t="s">
        <v>57</v>
      </c>
      <c r="H1038" s="637" t="s">
        <v>1162</v>
      </c>
      <c r="I1038" s="637" t="s">
        <v>58</v>
      </c>
      <c r="J1038" s="636">
        <v>22</v>
      </c>
      <c r="K1038" s="636">
        <v>2</v>
      </c>
      <c r="L1038" s="637" t="s">
        <v>52</v>
      </c>
      <c r="M1038" s="637" t="s">
        <v>71</v>
      </c>
      <c r="N1038" s="637" t="s">
        <v>72</v>
      </c>
      <c r="O1038" s="637" t="s">
        <v>72</v>
      </c>
      <c r="P1038" s="637" t="s">
        <v>1156</v>
      </c>
      <c r="Q1038" s="638">
        <v>0</v>
      </c>
      <c r="R1038" s="638">
        <v>0</v>
      </c>
      <c r="S1038" s="638">
        <v>0</v>
      </c>
      <c r="T1038" s="638">
        <v>0</v>
      </c>
      <c r="U1038" s="638">
        <v>0</v>
      </c>
      <c r="V1038" s="636">
        <v>2022</v>
      </c>
      <c r="W1038" s="640"/>
      <c r="X1038" s="641" t="str">
        <f t="shared" si="48"/>
        <v/>
      </c>
      <c r="Y1038" s="642" t="str">
        <f t="shared" si="49"/>
        <v/>
      </c>
      <c r="Z1038" s="642" t="str">
        <f t="shared" si="47"/>
        <v/>
      </c>
    </row>
    <row r="1039" spans="1:26" s="127" customFormat="1" ht="25">
      <c r="A1039" s="636">
        <v>55375</v>
      </c>
      <c r="B1039" s="637" t="s">
        <v>33</v>
      </c>
      <c r="C1039" s="636" t="s">
        <v>2725</v>
      </c>
      <c r="D1039" s="637" t="s">
        <v>179</v>
      </c>
      <c r="E1039" s="637" t="s">
        <v>180</v>
      </c>
      <c r="F1039" s="636">
        <v>22979</v>
      </c>
      <c r="G1039" s="637" t="s">
        <v>57</v>
      </c>
      <c r="H1039" s="637" t="s">
        <v>1162</v>
      </c>
      <c r="I1039" s="637" t="s">
        <v>58</v>
      </c>
      <c r="J1039" s="636">
        <v>22</v>
      </c>
      <c r="K1039" s="636">
        <v>2</v>
      </c>
      <c r="L1039" s="637" t="s">
        <v>52</v>
      </c>
      <c r="M1039" s="637" t="s">
        <v>38</v>
      </c>
      <c r="N1039" s="637" t="s">
        <v>46</v>
      </c>
      <c r="O1039" s="637" t="s">
        <v>46</v>
      </c>
      <c r="P1039" s="637" t="s">
        <v>47</v>
      </c>
      <c r="Q1039" s="638">
        <v>0</v>
      </c>
      <c r="R1039" s="638">
        <v>0</v>
      </c>
      <c r="S1039" s="638">
        <v>0</v>
      </c>
      <c r="T1039" s="638">
        <v>0</v>
      </c>
      <c r="U1039" s="638">
        <v>57176.718999999997</v>
      </c>
      <c r="V1039" s="636">
        <v>2022</v>
      </c>
      <c r="W1039" s="640" t="s">
        <v>3934</v>
      </c>
      <c r="X1039" s="641" t="str">
        <f t="shared" si="48"/>
        <v/>
      </c>
      <c r="Y1039" s="642" t="str">
        <f t="shared" si="49"/>
        <v/>
      </c>
      <c r="Z1039" s="642" t="str">
        <f t="shared" si="47"/>
        <v/>
      </c>
    </row>
    <row r="1040" spans="1:26" s="127" customFormat="1" ht="25">
      <c r="A1040" s="636">
        <v>55375</v>
      </c>
      <c r="B1040" s="637" t="s">
        <v>33</v>
      </c>
      <c r="C1040" s="636" t="s">
        <v>2725</v>
      </c>
      <c r="D1040" s="637" t="s">
        <v>179</v>
      </c>
      <c r="E1040" s="637" t="s">
        <v>180</v>
      </c>
      <c r="F1040" s="636">
        <v>22979</v>
      </c>
      <c r="G1040" s="637" t="s">
        <v>57</v>
      </c>
      <c r="H1040" s="637" t="s">
        <v>1162</v>
      </c>
      <c r="I1040" s="637" t="s">
        <v>58</v>
      </c>
      <c r="J1040" s="636">
        <v>22</v>
      </c>
      <c r="K1040" s="636">
        <v>2</v>
      </c>
      <c r="L1040" s="637" t="s">
        <v>52</v>
      </c>
      <c r="M1040" s="637" t="s">
        <v>38</v>
      </c>
      <c r="N1040" s="637" t="s">
        <v>39</v>
      </c>
      <c r="O1040" s="637" t="s">
        <v>39</v>
      </c>
      <c r="P1040" s="637" t="s">
        <v>1020</v>
      </c>
      <c r="Q1040" s="638">
        <v>820908</v>
      </c>
      <c r="R1040" s="638">
        <v>820908</v>
      </c>
      <c r="S1040" s="638">
        <v>845509</v>
      </c>
      <c r="T1040" s="638">
        <v>845509</v>
      </c>
      <c r="U1040" s="638">
        <v>1289128.3</v>
      </c>
      <c r="V1040" s="636">
        <v>2022</v>
      </c>
      <c r="W1040" s="640" t="s">
        <v>3934</v>
      </c>
      <c r="X1040" s="641">
        <f t="shared" si="48"/>
        <v>0.65587653300296023</v>
      </c>
      <c r="Y1040" s="642" t="str">
        <f t="shared" si="49"/>
        <v/>
      </c>
      <c r="Z1040" s="642" t="str">
        <f t="shared" ref="Z1040:Z1103" si="50">IF(AND($M1040=$Y$2,$N1040=$Y$4,NOT($Q1040=$R1040),NOT($U1040=0)),IF($K1040=5,$S1040/($U1040+(8/5)*$U1040),IF($K1040=7,$S1040/($U1040+(29/25)*$U1040),"")),"")</f>
        <v/>
      </c>
    </row>
    <row r="1041" spans="1:26" s="127" customFormat="1" ht="25">
      <c r="A1041" s="636">
        <v>55375</v>
      </c>
      <c r="B1041" s="637" t="s">
        <v>33</v>
      </c>
      <c r="C1041" s="636" t="s">
        <v>2725</v>
      </c>
      <c r="D1041" s="637" t="s">
        <v>179</v>
      </c>
      <c r="E1041" s="637" t="s">
        <v>180</v>
      </c>
      <c r="F1041" s="636">
        <v>22979</v>
      </c>
      <c r="G1041" s="637" t="s">
        <v>57</v>
      </c>
      <c r="H1041" s="637" t="s">
        <v>1162</v>
      </c>
      <c r="I1041" s="637" t="s">
        <v>58</v>
      </c>
      <c r="J1041" s="636">
        <v>22</v>
      </c>
      <c r="K1041" s="636">
        <v>2</v>
      </c>
      <c r="L1041" s="637" t="s">
        <v>52</v>
      </c>
      <c r="M1041" s="637" t="s">
        <v>41</v>
      </c>
      <c r="N1041" s="637" t="s">
        <v>46</v>
      </c>
      <c r="O1041" s="637" t="s">
        <v>46</v>
      </c>
      <c r="P1041" s="637" t="s">
        <v>47</v>
      </c>
      <c r="Q1041" s="638">
        <v>201455</v>
      </c>
      <c r="R1041" s="638">
        <v>201455</v>
      </c>
      <c r="S1041" s="638">
        <v>1167633</v>
      </c>
      <c r="T1041" s="638">
        <v>1167633</v>
      </c>
      <c r="U1041" s="638">
        <v>107150.02</v>
      </c>
      <c r="V1041" s="636">
        <v>2022</v>
      </c>
      <c r="W1041" s="640" t="s">
        <v>3934</v>
      </c>
      <c r="X1041" s="641">
        <f t="shared" si="48"/>
        <v>10.897179487227346</v>
      </c>
      <c r="Y1041" s="642" t="str">
        <f t="shared" si="49"/>
        <v/>
      </c>
      <c r="Z1041" s="642" t="str">
        <f t="shared" si="50"/>
        <v/>
      </c>
    </row>
    <row r="1042" spans="1:26" s="127" customFormat="1" ht="25">
      <c r="A1042" s="636">
        <v>55375</v>
      </c>
      <c r="B1042" s="637" t="s">
        <v>33</v>
      </c>
      <c r="C1042" s="636" t="s">
        <v>2725</v>
      </c>
      <c r="D1042" s="637" t="s">
        <v>179</v>
      </c>
      <c r="E1042" s="637" t="s">
        <v>180</v>
      </c>
      <c r="F1042" s="636">
        <v>22979</v>
      </c>
      <c r="G1042" s="637" t="s">
        <v>57</v>
      </c>
      <c r="H1042" s="637" t="s">
        <v>1162</v>
      </c>
      <c r="I1042" s="637" t="s">
        <v>58</v>
      </c>
      <c r="J1042" s="636">
        <v>22</v>
      </c>
      <c r="K1042" s="636">
        <v>2</v>
      </c>
      <c r="L1042" s="637" t="s">
        <v>52</v>
      </c>
      <c r="M1042" s="637" t="s">
        <v>41</v>
      </c>
      <c r="N1042" s="637" t="s">
        <v>39</v>
      </c>
      <c r="O1042" s="637" t="s">
        <v>39</v>
      </c>
      <c r="P1042" s="637" t="s">
        <v>1020</v>
      </c>
      <c r="Q1042" s="638">
        <v>23440020</v>
      </c>
      <c r="R1042" s="638">
        <v>23440020</v>
      </c>
      <c r="S1042" s="638">
        <v>24144646</v>
      </c>
      <c r="T1042" s="638">
        <v>24144646</v>
      </c>
      <c r="U1042" s="638">
        <v>2168275</v>
      </c>
      <c r="V1042" s="636">
        <v>2022</v>
      </c>
      <c r="W1042" s="640" t="s">
        <v>3934</v>
      </c>
      <c r="X1042" s="641">
        <f t="shared" si="48"/>
        <v>11.135416863635839</v>
      </c>
      <c r="Y1042" s="642" t="str">
        <f t="shared" si="49"/>
        <v/>
      </c>
      <c r="Z1042" s="642" t="str">
        <f t="shared" si="50"/>
        <v/>
      </c>
    </row>
    <row r="1043" spans="1:26" s="127" customFormat="1" ht="25">
      <c r="A1043" s="636">
        <v>55405</v>
      </c>
      <c r="B1043" s="637" t="s">
        <v>33</v>
      </c>
      <c r="C1043" s="636" t="s">
        <v>2725</v>
      </c>
      <c r="D1043" s="637" t="s">
        <v>93</v>
      </c>
      <c r="E1043" s="637" t="s">
        <v>94</v>
      </c>
      <c r="F1043" s="636">
        <v>32173</v>
      </c>
      <c r="G1043" s="637" t="s">
        <v>57</v>
      </c>
      <c r="H1043" s="637" t="s">
        <v>1162</v>
      </c>
      <c r="I1043" s="637" t="s">
        <v>58</v>
      </c>
      <c r="J1043" s="636">
        <v>22</v>
      </c>
      <c r="K1043" s="636">
        <v>2</v>
      </c>
      <c r="L1043" s="637" t="s">
        <v>52</v>
      </c>
      <c r="M1043" s="637" t="s">
        <v>38</v>
      </c>
      <c r="N1043" s="637" t="s">
        <v>46</v>
      </c>
      <c r="O1043" s="637" t="s">
        <v>46</v>
      </c>
      <c r="P1043" s="637" t="s">
        <v>47</v>
      </c>
      <c r="Q1043" s="638">
        <v>0</v>
      </c>
      <c r="R1043" s="638">
        <v>0</v>
      </c>
      <c r="S1043" s="638">
        <v>0</v>
      </c>
      <c r="T1043" s="638">
        <v>0</v>
      </c>
      <c r="U1043" s="638">
        <v>0</v>
      </c>
      <c r="V1043" s="636">
        <v>2022</v>
      </c>
      <c r="W1043" s="640" t="s">
        <v>3934</v>
      </c>
      <c r="X1043" s="641" t="str">
        <f t="shared" si="48"/>
        <v/>
      </c>
      <c r="Y1043" s="642" t="str">
        <f t="shared" si="49"/>
        <v/>
      </c>
      <c r="Z1043" s="642" t="str">
        <f t="shared" si="50"/>
        <v/>
      </c>
    </row>
    <row r="1044" spans="1:26" s="127" customFormat="1" ht="25">
      <c r="A1044" s="636">
        <v>55405</v>
      </c>
      <c r="B1044" s="637" t="s">
        <v>33</v>
      </c>
      <c r="C1044" s="636" t="s">
        <v>2725</v>
      </c>
      <c r="D1044" s="637" t="s">
        <v>93</v>
      </c>
      <c r="E1044" s="637" t="s">
        <v>94</v>
      </c>
      <c r="F1044" s="636">
        <v>32173</v>
      </c>
      <c r="G1044" s="637" t="s">
        <v>57</v>
      </c>
      <c r="H1044" s="637" t="s">
        <v>1162</v>
      </c>
      <c r="I1044" s="637" t="s">
        <v>58</v>
      </c>
      <c r="J1044" s="636">
        <v>22</v>
      </c>
      <c r="K1044" s="636">
        <v>2</v>
      </c>
      <c r="L1044" s="637" t="s">
        <v>52</v>
      </c>
      <c r="M1044" s="637" t="s">
        <v>38</v>
      </c>
      <c r="N1044" s="637" t="s">
        <v>39</v>
      </c>
      <c r="O1044" s="637" t="s">
        <v>39</v>
      </c>
      <c r="P1044" s="637" t="s">
        <v>1020</v>
      </c>
      <c r="Q1044" s="638">
        <v>0</v>
      </c>
      <c r="R1044" s="638">
        <v>0</v>
      </c>
      <c r="S1044" s="638">
        <v>0</v>
      </c>
      <c r="T1044" s="638">
        <v>0</v>
      </c>
      <c r="U1044" s="638">
        <v>1502114</v>
      </c>
      <c r="V1044" s="636">
        <v>2022</v>
      </c>
      <c r="W1044" s="640" t="s">
        <v>3934</v>
      </c>
      <c r="X1044" s="641" t="str">
        <f t="shared" si="48"/>
        <v/>
      </c>
      <c r="Y1044" s="642" t="str">
        <f t="shared" si="49"/>
        <v/>
      </c>
      <c r="Z1044" s="642" t="str">
        <f t="shared" si="50"/>
        <v/>
      </c>
    </row>
    <row r="1045" spans="1:26" s="127" customFormat="1" ht="25">
      <c r="A1045" s="636">
        <v>55405</v>
      </c>
      <c r="B1045" s="637" t="s">
        <v>33</v>
      </c>
      <c r="C1045" s="636" t="s">
        <v>2725</v>
      </c>
      <c r="D1045" s="637" t="s">
        <v>93</v>
      </c>
      <c r="E1045" s="637" t="s">
        <v>94</v>
      </c>
      <c r="F1045" s="636">
        <v>32173</v>
      </c>
      <c r="G1045" s="637" t="s">
        <v>57</v>
      </c>
      <c r="H1045" s="637" t="s">
        <v>1162</v>
      </c>
      <c r="I1045" s="637" t="s">
        <v>58</v>
      </c>
      <c r="J1045" s="636">
        <v>22</v>
      </c>
      <c r="K1045" s="636">
        <v>2</v>
      </c>
      <c r="L1045" s="637" t="s">
        <v>52</v>
      </c>
      <c r="M1045" s="637" t="s">
        <v>41</v>
      </c>
      <c r="N1045" s="637" t="s">
        <v>46</v>
      </c>
      <c r="O1045" s="637" t="s">
        <v>46</v>
      </c>
      <c r="P1045" s="637" t="s">
        <v>47</v>
      </c>
      <c r="Q1045" s="638">
        <v>0</v>
      </c>
      <c r="R1045" s="638">
        <v>0</v>
      </c>
      <c r="S1045" s="638">
        <v>0</v>
      </c>
      <c r="T1045" s="638">
        <v>0</v>
      </c>
      <c r="U1045" s="638">
        <v>0</v>
      </c>
      <c r="V1045" s="636">
        <v>2022</v>
      </c>
      <c r="W1045" s="640" t="s">
        <v>3934</v>
      </c>
      <c r="X1045" s="641" t="str">
        <f t="shared" si="48"/>
        <v/>
      </c>
      <c r="Y1045" s="642" t="str">
        <f t="shared" si="49"/>
        <v/>
      </c>
      <c r="Z1045" s="642" t="str">
        <f t="shared" si="50"/>
        <v/>
      </c>
    </row>
    <row r="1046" spans="1:26" s="127" customFormat="1" ht="25">
      <c r="A1046" s="636">
        <v>55405</v>
      </c>
      <c r="B1046" s="637" t="s">
        <v>33</v>
      </c>
      <c r="C1046" s="636" t="s">
        <v>2725</v>
      </c>
      <c r="D1046" s="637" t="s">
        <v>93</v>
      </c>
      <c r="E1046" s="637" t="s">
        <v>94</v>
      </c>
      <c r="F1046" s="636">
        <v>32173</v>
      </c>
      <c r="G1046" s="637" t="s">
        <v>57</v>
      </c>
      <c r="H1046" s="637" t="s">
        <v>1162</v>
      </c>
      <c r="I1046" s="637" t="s">
        <v>58</v>
      </c>
      <c r="J1046" s="636">
        <v>22</v>
      </c>
      <c r="K1046" s="636">
        <v>2</v>
      </c>
      <c r="L1046" s="637" t="s">
        <v>52</v>
      </c>
      <c r="M1046" s="637" t="s">
        <v>41</v>
      </c>
      <c r="N1046" s="637" t="s">
        <v>39</v>
      </c>
      <c r="O1046" s="637" t="s">
        <v>39</v>
      </c>
      <c r="P1046" s="637" t="s">
        <v>1020</v>
      </c>
      <c r="Q1046" s="638">
        <v>30346960</v>
      </c>
      <c r="R1046" s="638">
        <v>30346960</v>
      </c>
      <c r="S1046" s="638">
        <v>31492876</v>
      </c>
      <c r="T1046" s="638">
        <v>31492876</v>
      </c>
      <c r="U1046" s="638">
        <v>2835141</v>
      </c>
      <c r="V1046" s="636">
        <v>2022</v>
      </c>
      <c r="W1046" s="640" t="s">
        <v>3934</v>
      </c>
      <c r="X1046" s="641">
        <f t="shared" si="48"/>
        <v>11.108045772679384</v>
      </c>
      <c r="Y1046" s="642" t="str">
        <f t="shared" si="49"/>
        <v/>
      </c>
      <c r="Z1046" s="642" t="str">
        <f t="shared" si="50"/>
        <v/>
      </c>
    </row>
    <row r="1047" spans="1:26" s="127" customFormat="1" ht="25">
      <c r="A1047" s="636">
        <v>55517</v>
      </c>
      <c r="B1047" s="637" t="s">
        <v>33</v>
      </c>
      <c r="C1047" s="636" t="s">
        <v>2725</v>
      </c>
      <c r="D1047" s="637" t="s">
        <v>1100</v>
      </c>
      <c r="E1047" s="637" t="s">
        <v>1045</v>
      </c>
      <c r="F1047" s="636">
        <v>56927</v>
      </c>
      <c r="G1047" s="637" t="s">
        <v>41</v>
      </c>
      <c r="H1047" s="637" t="s">
        <v>1163</v>
      </c>
      <c r="I1047" s="637" t="s">
        <v>58</v>
      </c>
      <c r="J1047" s="636">
        <v>22</v>
      </c>
      <c r="K1047" s="636">
        <v>2</v>
      </c>
      <c r="L1047" s="637" t="s">
        <v>52</v>
      </c>
      <c r="M1047" s="637" t="s">
        <v>50</v>
      </c>
      <c r="N1047" s="637" t="s">
        <v>39</v>
      </c>
      <c r="O1047" s="637" t="s">
        <v>39</v>
      </c>
      <c r="P1047" s="637" t="s">
        <v>1020</v>
      </c>
      <c r="Q1047" s="638">
        <v>838986</v>
      </c>
      <c r="R1047" s="638">
        <v>838986</v>
      </c>
      <c r="S1047" s="638">
        <v>860801</v>
      </c>
      <c r="T1047" s="638">
        <v>860801</v>
      </c>
      <c r="U1047" s="638">
        <v>78187</v>
      </c>
      <c r="V1047" s="636">
        <v>2022</v>
      </c>
      <c r="W1047" s="640" t="s">
        <v>3934</v>
      </c>
      <c r="X1047" s="641">
        <f t="shared" si="48"/>
        <v>11.009515648381445</v>
      </c>
      <c r="Y1047" s="642" t="str">
        <f t="shared" si="49"/>
        <v/>
      </c>
      <c r="Z1047" s="642" t="str">
        <f t="shared" si="50"/>
        <v/>
      </c>
    </row>
    <row r="1048" spans="1:26" s="127" customFormat="1" ht="25">
      <c r="A1048" s="636">
        <v>55589</v>
      </c>
      <c r="B1048" s="637" t="s">
        <v>33</v>
      </c>
      <c r="C1048" s="636" t="s">
        <v>2725</v>
      </c>
      <c r="D1048" s="637" t="s">
        <v>1101</v>
      </c>
      <c r="E1048" s="637" t="s">
        <v>983</v>
      </c>
      <c r="F1048" s="636">
        <v>25049</v>
      </c>
      <c r="G1048" s="637" t="s">
        <v>81</v>
      </c>
      <c r="H1048" s="637" t="s">
        <v>1163</v>
      </c>
      <c r="I1048" s="637" t="s">
        <v>58</v>
      </c>
      <c r="J1048" s="636">
        <v>22</v>
      </c>
      <c r="K1048" s="636">
        <v>2</v>
      </c>
      <c r="L1048" s="637" t="s">
        <v>52</v>
      </c>
      <c r="M1048" s="637" t="s">
        <v>50</v>
      </c>
      <c r="N1048" s="637" t="s">
        <v>63</v>
      </c>
      <c r="O1048" s="637" t="s">
        <v>64</v>
      </c>
      <c r="P1048" s="637" t="s">
        <v>1020</v>
      </c>
      <c r="Q1048" s="638">
        <v>6469</v>
      </c>
      <c r="R1048" s="638">
        <v>6469</v>
      </c>
      <c r="S1048" s="638">
        <v>2806</v>
      </c>
      <c r="T1048" s="638">
        <v>2806</v>
      </c>
      <c r="U1048" s="638">
        <v>121</v>
      </c>
      <c r="V1048" s="636">
        <v>2022</v>
      </c>
      <c r="W1048" s="640"/>
      <c r="X1048" s="641">
        <f t="shared" si="48"/>
        <v>23.190082644628099</v>
      </c>
      <c r="Y1048" s="642" t="str">
        <f t="shared" si="49"/>
        <v/>
      </c>
      <c r="Z1048" s="642" t="str">
        <f t="shared" si="50"/>
        <v/>
      </c>
    </row>
    <row r="1049" spans="1:26" s="127" customFormat="1" ht="25">
      <c r="A1049" s="636">
        <v>55661</v>
      </c>
      <c r="B1049" s="637" t="s">
        <v>33</v>
      </c>
      <c r="C1049" s="636" t="s">
        <v>2725</v>
      </c>
      <c r="D1049" s="637" t="s">
        <v>145</v>
      </c>
      <c r="E1049" s="637" t="s">
        <v>3034</v>
      </c>
      <c r="F1049" s="636">
        <v>13538</v>
      </c>
      <c r="G1049" s="637" t="s">
        <v>96</v>
      </c>
      <c r="H1049" s="637" t="s">
        <v>1163</v>
      </c>
      <c r="I1049" s="637" t="s">
        <v>58</v>
      </c>
      <c r="J1049" s="636">
        <v>22</v>
      </c>
      <c r="K1049" s="636">
        <v>2</v>
      </c>
      <c r="L1049" s="637" t="s">
        <v>52</v>
      </c>
      <c r="M1049" s="637" t="s">
        <v>38</v>
      </c>
      <c r="N1049" s="637" t="s">
        <v>46</v>
      </c>
      <c r="O1049" s="637" t="s">
        <v>46</v>
      </c>
      <c r="P1049" s="637" t="s">
        <v>47</v>
      </c>
      <c r="Q1049" s="638">
        <v>0</v>
      </c>
      <c r="R1049" s="638">
        <v>0</v>
      </c>
      <c r="S1049" s="638">
        <v>0</v>
      </c>
      <c r="T1049" s="638">
        <v>0</v>
      </c>
      <c r="U1049" s="638">
        <v>109078.35</v>
      </c>
      <c r="V1049" s="636">
        <v>2022</v>
      </c>
      <c r="W1049" s="640" t="s">
        <v>3934</v>
      </c>
      <c r="X1049" s="641" t="str">
        <f t="shared" si="48"/>
        <v/>
      </c>
      <c r="Y1049" s="642" t="str">
        <f t="shared" si="49"/>
        <v/>
      </c>
      <c r="Z1049" s="642" t="str">
        <f t="shared" si="50"/>
        <v/>
      </c>
    </row>
    <row r="1050" spans="1:26" s="127" customFormat="1" ht="25">
      <c r="A1050" s="636">
        <v>55661</v>
      </c>
      <c r="B1050" s="637" t="s">
        <v>33</v>
      </c>
      <c r="C1050" s="636" t="s">
        <v>2725</v>
      </c>
      <c r="D1050" s="637" t="s">
        <v>145</v>
      </c>
      <c r="E1050" s="637" t="s">
        <v>3034</v>
      </c>
      <c r="F1050" s="636">
        <v>13538</v>
      </c>
      <c r="G1050" s="637" t="s">
        <v>96</v>
      </c>
      <c r="H1050" s="637" t="s">
        <v>1163</v>
      </c>
      <c r="I1050" s="637" t="s">
        <v>58</v>
      </c>
      <c r="J1050" s="636">
        <v>22</v>
      </c>
      <c r="K1050" s="636">
        <v>2</v>
      </c>
      <c r="L1050" s="637" t="s">
        <v>52</v>
      </c>
      <c r="M1050" s="637" t="s">
        <v>38</v>
      </c>
      <c r="N1050" s="637" t="s">
        <v>39</v>
      </c>
      <c r="O1050" s="637" t="s">
        <v>39</v>
      </c>
      <c r="P1050" s="637" t="s">
        <v>1020</v>
      </c>
      <c r="Q1050" s="638">
        <v>116036</v>
      </c>
      <c r="R1050" s="638">
        <v>116036</v>
      </c>
      <c r="S1050" s="638">
        <v>120311</v>
      </c>
      <c r="T1050" s="638">
        <v>120311</v>
      </c>
      <c r="U1050" s="638">
        <v>372753.65</v>
      </c>
      <c r="V1050" s="636">
        <v>2022</v>
      </c>
      <c r="W1050" s="640" t="s">
        <v>3934</v>
      </c>
      <c r="X1050" s="641">
        <f t="shared" si="48"/>
        <v>0.32276276838603724</v>
      </c>
      <c r="Y1050" s="642" t="str">
        <f t="shared" si="49"/>
        <v/>
      </c>
      <c r="Z1050" s="642" t="str">
        <f t="shared" si="50"/>
        <v/>
      </c>
    </row>
    <row r="1051" spans="1:26" s="127" customFormat="1" ht="25">
      <c r="A1051" s="636">
        <v>55661</v>
      </c>
      <c r="B1051" s="637" t="s">
        <v>33</v>
      </c>
      <c r="C1051" s="636" t="s">
        <v>2725</v>
      </c>
      <c r="D1051" s="637" t="s">
        <v>145</v>
      </c>
      <c r="E1051" s="637" t="s">
        <v>3034</v>
      </c>
      <c r="F1051" s="636">
        <v>13538</v>
      </c>
      <c r="G1051" s="637" t="s">
        <v>96</v>
      </c>
      <c r="H1051" s="637" t="s">
        <v>1163</v>
      </c>
      <c r="I1051" s="637" t="s">
        <v>58</v>
      </c>
      <c r="J1051" s="636">
        <v>22</v>
      </c>
      <c r="K1051" s="636">
        <v>2</v>
      </c>
      <c r="L1051" s="637" t="s">
        <v>52</v>
      </c>
      <c r="M1051" s="637" t="s">
        <v>41</v>
      </c>
      <c r="N1051" s="637" t="s">
        <v>46</v>
      </c>
      <c r="O1051" s="637" t="s">
        <v>46</v>
      </c>
      <c r="P1051" s="637" t="s">
        <v>47</v>
      </c>
      <c r="Q1051" s="638">
        <v>430257</v>
      </c>
      <c r="R1051" s="638">
        <v>430257</v>
      </c>
      <c r="S1051" s="638">
        <v>2481295</v>
      </c>
      <c r="T1051" s="638">
        <v>2481295</v>
      </c>
      <c r="U1051" s="638">
        <v>213190.32</v>
      </c>
      <c r="V1051" s="636">
        <v>2022</v>
      </c>
      <c r="W1051" s="640" t="s">
        <v>3934</v>
      </c>
      <c r="X1051" s="641">
        <f t="shared" si="48"/>
        <v>11.638872721800876</v>
      </c>
      <c r="Y1051" s="642" t="str">
        <f t="shared" si="49"/>
        <v/>
      </c>
      <c r="Z1051" s="642" t="str">
        <f t="shared" si="50"/>
        <v/>
      </c>
    </row>
    <row r="1052" spans="1:26" s="127" customFormat="1" ht="25">
      <c r="A1052" s="636">
        <v>55661</v>
      </c>
      <c r="B1052" s="637" t="s">
        <v>33</v>
      </c>
      <c r="C1052" s="636" t="s">
        <v>2725</v>
      </c>
      <c r="D1052" s="637" t="s">
        <v>145</v>
      </c>
      <c r="E1052" s="637" t="s">
        <v>3034</v>
      </c>
      <c r="F1052" s="636">
        <v>13538</v>
      </c>
      <c r="G1052" s="637" t="s">
        <v>96</v>
      </c>
      <c r="H1052" s="637" t="s">
        <v>1163</v>
      </c>
      <c r="I1052" s="637" t="s">
        <v>58</v>
      </c>
      <c r="J1052" s="636">
        <v>22</v>
      </c>
      <c r="K1052" s="636">
        <v>2</v>
      </c>
      <c r="L1052" s="637" t="s">
        <v>52</v>
      </c>
      <c r="M1052" s="637" t="s">
        <v>41</v>
      </c>
      <c r="N1052" s="637" t="s">
        <v>39</v>
      </c>
      <c r="O1052" s="637" t="s">
        <v>39</v>
      </c>
      <c r="P1052" s="637" t="s">
        <v>1020</v>
      </c>
      <c r="Q1052" s="638">
        <v>7033962</v>
      </c>
      <c r="R1052" s="638">
        <v>7033962</v>
      </c>
      <c r="S1052" s="638">
        <v>7303746</v>
      </c>
      <c r="T1052" s="638">
        <v>7303746</v>
      </c>
      <c r="U1052" s="638">
        <v>625425.68999999994</v>
      </c>
      <c r="V1052" s="636">
        <v>2022</v>
      </c>
      <c r="W1052" s="640" t="s">
        <v>3934</v>
      </c>
      <c r="X1052" s="641">
        <f t="shared" si="48"/>
        <v>11.678039640488706</v>
      </c>
      <c r="Y1052" s="642" t="str">
        <f t="shared" si="49"/>
        <v/>
      </c>
      <c r="Z1052" s="642" t="str">
        <f t="shared" si="50"/>
        <v/>
      </c>
    </row>
    <row r="1053" spans="1:26" s="127" customFormat="1" ht="25">
      <c r="A1053" s="636">
        <v>55699</v>
      </c>
      <c r="B1053" s="637" t="s">
        <v>33</v>
      </c>
      <c r="C1053" s="636" t="s">
        <v>2725</v>
      </c>
      <c r="D1053" s="637" t="s">
        <v>984</v>
      </c>
      <c r="E1053" s="637" t="s">
        <v>984</v>
      </c>
      <c r="F1053" s="636">
        <v>1268</v>
      </c>
      <c r="G1053" s="637" t="s">
        <v>57</v>
      </c>
      <c r="H1053" s="637" t="s">
        <v>1162</v>
      </c>
      <c r="I1053" s="637" t="s">
        <v>58</v>
      </c>
      <c r="J1053" s="636">
        <v>22</v>
      </c>
      <c r="K1053" s="636">
        <v>2</v>
      </c>
      <c r="L1053" s="637" t="s">
        <v>52</v>
      </c>
      <c r="M1053" s="637" t="s">
        <v>50</v>
      </c>
      <c r="N1053" s="637" t="s">
        <v>39</v>
      </c>
      <c r="O1053" s="637" t="s">
        <v>39</v>
      </c>
      <c r="P1053" s="637" t="s">
        <v>1020</v>
      </c>
      <c r="Q1053" s="638">
        <v>541480</v>
      </c>
      <c r="R1053" s="638">
        <v>541480</v>
      </c>
      <c r="S1053" s="638">
        <v>557183</v>
      </c>
      <c r="T1053" s="638">
        <v>557183</v>
      </c>
      <c r="U1053" s="638">
        <v>47951</v>
      </c>
      <c r="V1053" s="636">
        <v>2022</v>
      </c>
      <c r="W1053" s="640" t="s">
        <v>3934</v>
      </c>
      <c r="X1053" s="641">
        <f t="shared" si="48"/>
        <v>11.619841087777106</v>
      </c>
      <c r="Y1053" s="642" t="str">
        <f t="shared" si="49"/>
        <v/>
      </c>
      <c r="Z1053" s="642" t="str">
        <f t="shared" si="50"/>
        <v/>
      </c>
    </row>
    <row r="1054" spans="1:26" s="127" customFormat="1" ht="25">
      <c r="A1054" s="636">
        <v>55757</v>
      </c>
      <c r="B1054" s="637" t="s">
        <v>33</v>
      </c>
      <c r="C1054" s="636" t="s">
        <v>2725</v>
      </c>
      <c r="D1054" s="637" t="s">
        <v>985</v>
      </c>
      <c r="E1054" s="637" t="s">
        <v>986</v>
      </c>
      <c r="F1054" s="636">
        <v>12758</v>
      </c>
      <c r="G1054" s="637" t="s">
        <v>57</v>
      </c>
      <c r="H1054" s="637" t="s">
        <v>1162</v>
      </c>
      <c r="I1054" s="637" t="s">
        <v>58</v>
      </c>
      <c r="J1054" s="636">
        <v>22</v>
      </c>
      <c r="K1054" s="636">
        <v>2</v>
      </c>
      <c r="L1054" s="637" t="s">
        <v>52</v>
      </c>
      <c r="M1054" s="637" t="s">
        <v>51</v>
      </c>
      <c r="N1054" s="637" t="s">
        <v>63</v>
      </c>
      <c r="O1054" s="637" t="s">
        <v>64</v>
      </c>
      <c r="P1054" s="637" t="s">
        <v>1020</v>
      </c>
      <c r="Q1054" s="638">
        <v>710256</v>
      </c>
      <c r="R1054" s="638">
        <v>710256</v>
      </c>
      <c r="S1054" s="638">
        <v>386379</v>
      </c>
      <c r="T1054" s="638">
        <v>386379</v>
      </c>
      <c r="U1054" s="638">
        <v>28926</v>
      </c>
      <c r="V1054" s="636">
        <v>2022</v>
      </c>
      <c r="W1054" s="640"/>
      <c r="X1054" s="641">
        <f t="shared" si="48"/>
        <v>13.357498444306161</v>
      </c>
      <c r="Y1054" s="642" t="str">
        <f t="shared" si="49"/>
        <v/>
      </c>
      <c r="Z1054" s="642" t="str">
        <f t="shared" si="50"/>
        <v/>
      </c>
    </row>
    <row r="1055" spans="1:26" s="127" customFormat="1" ht="25">
      <c r="A1055" s="636">
        <v>55769</v>
      </c>
      <c r="B1055" s="637" t="s">
        <v>33</v>
      </c>
      <c r="C1055" s="636" t="s">
        <v>2725</v>
      </c>
      <c r="D1055" s="637" t="s">
        <v>987</v>
      </c>
      <c r="E1055" s="637" t="s">
        <v>987</v>
      </c>
      <c r="F1055" s="636">
        <v>49880</v>
      </c>
      <c r="G1055" s="637" t="s">
        <v>57</v>
      </c>
      <c r="H1055" s="637" t="s">
        <v>1162</v>
      </c>
      <c r="I1055" s="637" t="s">
        <v>58</v>
      </c>
      <c r="J1055" s="636">
        <v>22</v>
      </c>
      <c r="K1055" s="636">
        <v>2</v>
      </c>
      <c r="L1055" s="637" t="s">
        <v>52</v>
      </c>
      <c r="M1055" s="637" t="s">
        <v>71</v>
      </c>
      <c r="N1055" s="637" t="s">
        <v>72</v>
      </c>
      <c r="O1055" s="637" t="s">
        <v>72</v>
      </c>
      <c r="P1055" s="637" t="s">
        <v>1156</v>
      </c>
      <c r="Q1055" s="638">
        <v>0</v>
      </c>
      <c r="R1055" s="638">
        <v>0</v>
      </c>
      <c r="S1055" s="638">
        <v>34779</v>
      </c>
      <c r="T1055" s="638">
        <v>34779</v>
      </c>
      <c r="U1055" s="638">
        <v>10193</v>
      </c>
      <c r="V1055" s="636">
        <v>2022</v>
      </c>
      <c r="W1055" s="640"/>
      <c r="X1055" s="641">
        <f t="shared" si="48"/>
        <v>3.4120474835671541</v>
      </c>
      <c r="Y1055" s="642" t="str">
        <f t="shared" si="49"/>
        <v/>
      </c>
      <c r="Z1055" s="642" t="str">
        <f t="shared" si="50"/>
        <v/>
      </c>
    </row>
    <row r="1056" spans="1:26" s="127" customFormat="1" ht="25">
      <c r="A1056" s="636">
        <v>55786</v>
      </c>
      <c r="B1056" s="637" t="s">
        <v>33</v>
      </c>
      <c r="C1056" s="636" t="s">
        <v>2725</v>
      </c>
      <c r="D1056" s="637" t="s">
        <v>1046</v>
      </c>
      <c r="E1056" s="637" t="s">
        <v>1046</v>
      </c>
      <c r="F1056" s="636">
        <v>56852</v>
      </c>
      <c r="G1056" s="637" t="s">
        <v>57</v>
      </c>
      <c r="H1056" s="637" t="s">
        <v>1162</v>
      </c>
      <c r="I1056" s="637" t="s">
        <v>58</v>
      </c>
      <c r="J1056" s="636">
        <v>22</v>
      </c>
      <c r="K1056" s="636">
        <v>2</v>
      </c>
      <c r="L1056" s="637" t="s">
        <v>52</v>
      </c>
      <c r="M1056" s="637" t="s">
        <v>50</v>
      </c>
      <c r="N1056" s="637" t="s">
        <v>39</v>
      </c>
      <c r="O1056" s="637" t="s">
        <v>39</v>
      </c>
      <c r="P1056" s="637" t="s">
        <v>1020</v>
      </c>
      <c r="Q1056" s="638">
        <v>1372357</v>
      </c>
      <c r="R1056" s="638">
        <v>1372357</v>
      </c>
      <c r="S1056" s="638">
        <v>1416273</v>
      </c>
      <c r="T1056" s="638">
        <v>1416273</v>
      </c>
      <c r="U1056" s="638">
        <v>156996</v>
      </c>
      <c r="V1056" s="636">
        <v>2022</v>
      </c>
      <c r="W1056" s="640" t="s">
        <v>3934</v>
      </c>
      <c r="X1056" s="641">
        <f t="shared" si="48"/>
        <v>9.0210769701138886</v>
      </c>
      <c r="Y1056" s="642" t="str">
        <f t="shared" si="49"/>
        <v/>
      </c>
      <c r="Z1056" s="642" t="str">
        <f t="shared" si="50"/>
        <v/>
      </c>
    </row>
    <row r="1057" spans="1:26" s="127" customFormat="1" ht="25">
      <c r="A1057" s="636">
        <v>55787</v>
      </c>
      <c r="B1057" s="637" t="s">
        <v>33</v>
      </c>
      <c r="C1057" s="636" t="s">
        <v>2725</v>
      </c>
      <c r="D1057" s="637" t="s">
        <v>1047</v>
      </c>
      <c r="E1057" s="637" t="s">
        <v>1047</v>
      </c>
      <c r="F1057" s="636">
        <v>56853</v>
      </c>
      <c r="G1057" s="637" t="s">
        <v>57</v>
      </c>
      <c r="H1057" s="637" t="s">
        <v>1162</v>
      </c>
      <c r="I1057" s="637" t="s">
        <v>58</v>
      </c>
      <c r="J1057" s="636">
        <v>22</v>
      </c>
      <c r="K1057" s="636">
        <v>2</v>
      </c>
      <c r="L1057" s="637" t="s">
        <v>52</v>
      </c>
      <c r="M1057" s="637" t="s">
        <v>50</v>
      </c>
      <c r="N1057" s="637" t="s">
        <v>46</v>
      </c>
      <c r="O1057" s="637" t="s">
        <v>46</v>
      </c>
      <c r="P1057" s="637" t="s">
        <v>47</v>
      </c>
      <c r="Q1057" s="638">
        <v>0</v>
      </c>
      <c r="R1057" s="638">
        <v>0</v>
      </c>
      <c r="S1057" s="638">
        <v>0</v>
      </c>
      <c r="T1057" s="638">
        <v>0</v>
      </c>
      <c r="U1057" s="638">
        <v>0</v>
      </c>
      <c r="V1057" s="636">
        <v>2022</v>
      </c>
      <c r="W1057" s="640" t="s">
        <v>3934</v>
      </c>
      <c r="X1057" s="641" t="str">
        <f t="shared" si="48"/>
        <v/>
      </c>
      <c r="Y1057" s="642" t="str">
        <f t="shared" si="49"/>
        <v/>
      </c>
      <c r="Z1057" s="642" t="str">
        <f t="shared" si="50"/>
        <v/>
      </c>
    </row>
    <row r="1058" spans="1:26" s="127" customFormat="1" ht="25">
      <c r="A1058" s="636">
        <v>55787</v>
      </c>
      <c r="B1058" s="637" t="s">
        <v>33</v>
      </c>
      <c r="C1058" s="636" t="s">
        <v>2725</v>
      </c>
      <c r="D1058" s="637" t="s">
        <v>1047</v>
      </c>
      <c r="E1058" s="637" t="s">
        <v>1047</v>
      </c>
      <c r="F1058" s="636">
        <v>56853</v>
      </c>
      <c r="G1058" s="637" t="s">
        <v>57</v>
      </c>
      <c r="H1058" s="637" t="s">
        <v>1162</v>
      </c>
      <c r="I1058" s="637" t="s">
        <v>58</v>
      </c>
      <c r="J1058" s="636">
        <v>22</v>
      </c>
      <c r="K1058" s="636">
        <v>2</v>
      </c>
      <c r="L1058" s="637" t="s">
        <v>52</v>
      </c>
      <c r="M1058" s="637" t="s">
        <v>50</v>
      </c>
      <c r="N1058" s="637" t="s">
        <v>76</v>
      </c>
      <c r="O1058" s="637" t="s">
        <v>67</v>
      </c>
      <c r="P1058" s="637" t="s">
        <v>47</v>
      </c>
      <c r="Q1058" s="638">
        <v>35840</v>
      </c>
      <c r="R1058" s="638">
        <v>35840</v>
      </c>
      <c r="S1058" s="638">
        <v>201420</v>
      </c>
      <c r="T1058" s="638">
        <v>201420</v>
      </c>
      <c r="U1058" s="638">
        <v>20497</v>
      </c>
      <c r="V1058" s="636">
        <v>2022</v>
      </c>
      <c r="W1058" s="640" t="s">
        <v>3934</v>
      </c>
      <c r="X1058" s="641">
        <f t="shared" si="48"/>
        <v>9.8268039225252473</v>
      </c>
      <c r="Y1058" s="642" t="str">
        <f t="shared" si="49"/>
        <v/>
      </c>
      <c r="Z1058" s="642" t="str">
        <f t="shared" si="50"/>
        <v/>
      </c>
    </row>
    <row r="1059" spans="1:26" s="127" customFormat="1" ht="25">
      <c r="A1059" s="636">
        <v>55790</v>
      </c>
      <c r="B1059" s="637" t="s">
        <v>33</v>
      </c>
      <c r="C1059" s="636" t="s">
        <v>2725</v>
      </c>
      <c r="D1059" s="637" t="s">
        <v>988</v>
      </c>
      <c r="E1059" s="637" t="s">
        <v>797</v>
      </c>
      <c r="F1059" s="636">
        <v>34688</v>
      </c>
      <c r="G1059" s="637" t="s">
        <v>57</v>
      </c>
      <c r="H1059" s="637" t="s">
        <v>1162</v>
      </c>
      <c r="I1059" s="637" t="s">
        <v>58</v>
      </c>
      <c r="J1059" s="636">
        <v>22</v>
      </c>
      <c r="K1059" s="636">
        <v>2</v>
      </c>
      <c r="L1059" s="637" t="s">
        <v>52</v>
      </c>
      <c r="M1059" s="637" t="s">
        <v>71</v>
      </c>
      <c r="N1059" s="637" t="s">
        <v>72</v>
      </c>
      <c r="O1059" s="637" t="s">
        <v>72</v>
      </c>
      <c r="P1059" s="637" t="s">
        <v>1156</v>
      </c>
      <c r="Q1059" s="638">
        <v>0</v>
      </c>
      <c r="R1059" s="638">
        <v>0</v>
      </c>
      <c r="S1059" s="638">
        <v>297127</v>
      </c>
      <c r="T1059" s="638">
        <v>297127</v>
      </c>
      <c r="U1059" s="638">
        <v>87083</v>
      </c>
      <c r="V1059" s="636">
        <v>2022</v>
      </c>
      <c r="W1059" s="640"/>
      <c r="X1059" s="641">
        <f t="shared" si="48"/>
        <v>3.4119977492736813</v>
      </c>
      <c r="Y1059" s="642" t="str">
        <f t="shared" si="49"/>
        <v/>
      </c>
      <c r="Z1059" s="642" t="str">
        <f t="shared" si="50"/>
        <v/>
      </c>
    </row>
    <row r="1060" spans="1:26" s="127" customFormat="1" ht="25">
      <c r="A1060" s="636">
        <v>55860</v>
      </c>
      <c r="B1060" s="637" t="s">
        <v>33</v>
      </c>
      <c r="C1060" s="636" t="s">
        <v>2725</v>
      </c>
      <c r="D1060" s="637" t="s">
        <v>989</v>
      </c>
      <c r="E1060" s="637" t="s">
        <v>990</v>
      </c>
      <c r="F1060" s="636">
        <v>25771</v>
      </c>
      <c r="G1060" s="637" t="s">
        <v>41</v>
      </c>
      <c r="H1060" s="637" t="s">
        <v>1163</v>
      </c>
      <c r="I1060" s="637" t="s">
        <v>58</v>
      </c>
      <c r="J1060" s="636">
        <v>22</v>
      </c>
      <c r="K1060" s="636">
        <v>2</v>
      </c>
      <c r="L1060" s="637" t="s">
        <v>52</v>
      </c>
      <c r="M1060" s="637" t="s">
        <v>35</v>
      </c>
      <c r="N1060" s="637" t="s">
        <v>36</v>
      </c>
      <c r="O1060" s="637" t="s">
        <v>37</v>
      </c>
      <c r="P1060" s="637" t="s">
        <v>1156</v>
      </c>
      <c r="Q1060" s="638">
        <v>0</v>
      </c>
      <c r="R1060" s="638">
        <v>0</v>
      </c>
      <c r="S1060" s="638">
        <v>16456</v>
      </c>
      <c r="T1060" s="638">
        <v>16456</v>
      </c>
      <c r="U1060" s="638">
        <v>4823</v>
      </c>
      <c r="V1060" s="636">
        <v>2022</v>
      </c>
      <c r="W1060" s="640"/>
      <c r="X1060" s="641">
        <f t="shared" si="48"/>
        <v>3.4119842421729216</v>
      </c>
      <c r="Y1060" s="642" t="str">
        <f t="shared" si="49"/>
        <v/>
      </c>
      <c r="Z1060" s="642" t="str">
        <f t="shared" si="50"/>
        <v/>
      </c>
    </row>
    <row r="1061" spans="1:26" s="127" customFormat="1" ht="25">
      <c r="A1061" s="636">
        <v>55969</v>
      </c>
      <c r="B1061" s="637" t="s">
        <v>33</v>
      </c>
      <c r="C1061" s="636" t="s">
        <v>2725</v>
      </c>
      <c r="D1061" s="637" t="s">
        <v>991</v>
      </c>
      <c r="E1061" s="637" t="s">
        <v>991</v>
      </c>
      <c r="F1061" s="636">
        <v>7308</v>
      </c>
      <c r="G1061" s="637" t="s">
        <v>57</v>
      </c>
      <c r="H1061" s="637" t="s">
        <v>1162</v>
      </c>
      <c r="I1061" s="637" t="s">
        <v>58</v>
      </c>
      <c r="J1061" s="636">
        <v>22</v>
      </c>
      <c r="K1061" s="636">
        <v>2</v>
      </c>
      <c r="L1061" s="637" t="s">
        <v>52</v>
      </c>
      <c r="M1061" s="637" t="s">
        <v>50</v>
      </c>
      <c r="N1061" s="637" t="s">
        <v>46</v>
      </c>
      <c r="O1061" s="637" t="s">
        <v>46</v>
      </c>
      <c r="P1061" s="637" t="s">
        <v>47</v>
      </c>
      <c r="Q1061" s="638">
        <v>0</v>
      </c>
      <c r="R1061" s="638">
        <v>0</v>
      </c>
      <c r="S1061" s="638">
        <v>0</v>
      </c>
      <c r="T1061" s="638">
        <v>0</v>
      </c>
      <c r="U1061" s="638">
        <v>0</v>
      </c>
      <c r="V1061" s="636">
        <v>2022</v>
      </c>
      <c r="W1061" s="640" t="s">
        <v>3934</v>
      </c>
      <c r="X1061" s="641" t="str">
        <f t="shared" si="48"/>
        <v/>
      </c>
      <c r="Y1061" s="642" t="str">
        <f t="shared" si="49"/>
        <v/>
      </c>
      <c r="Z1061" s="642" t="str">
        <f t="shared" si="50"/>
        <v/>
      </c>
    </row>
    <row r="1062" spans="1:26" s="127" customFormat="1" ht="25">
      <c r="A1062" s="636">
        <v>55969</v>
      </c>
      <c r="B1062" s="637" t="s">
        <v>33</v>
      </c>
      <c r="C1062" s="636" t="s">
        <v>2725</v>
      </c>
      <c r="D1062" s="637" t="s">
        <v>991</v>
      </c>
      <c r="E1062" s="637" t="s">
        <v>991</v>
      </c>
      <c r="F1062" s="636">
        <v>7308</v>
      </c>
      <c r="G1062" s="637" t="s">
        <v>57</v>
      </c>
      <c r="H1062" s="637" t="s">
        <v>1162</v>
      </c>
      <c r="I1062" s="637" t="s">
        <v>58</v>
      </c>
      <c r="J1062" s="636">
        <v>22</v>
      </c>
      <c r="K1062" s="636">
        <v>2</v>
      </c>
      <c r="L1062" s="637" t="s">
        <v>52</v>
      </c>
      <c r="M1062" s="637" t="s">
        <v>50</v>
      </c>
      <c r="N1062" s="637" t="s">
        <v>76</v>
      </c>
      <c r="O1062" s="637" t="s">
        <v>67</v>
      </c>
      <c r="P1062" s="637" t="s">
        <v>47</v>
      </c>
      <c r="Q1062" s="638">
        <v>59971</v>
      </c>
      <c r="R1062" s="638">
        <v>59971</v>
      </c>
      <c r="S1062" s="638">
        <v>337517</v>
      </c>
      <c r="T1062" s="638">
        <v>337517</v>
      </c>
      <c r="U1062" s="638">
        <v>31642.001</v>
      </c>
      <c r="V1062" s="636">
        <v>2022</v>
      </c>
      <c r="W1062" s="640" t="s">
        <v>3934</v>
      </c>
      <c r="X1062" s="641">
        <f t="shared" si="48"/>
        <v>10.666740071211047</v>
      </c>
      <c r="Y1062" s="642" t="str">
        <f t="shared" si="49"/>
        <v/>
      </c>
      <c r="Z1062" s="642" t="str">
        <f t="shared" si="50"/>
        <v/>
      </c>
    </row>
    <row r="1063" spans="1:26" s="127" customFormat="1" ht="25">
      <c r="A1063" s="636">
        <v>56032</v>
      </c>
      <c r="B1063" s="637" t="s">
        <v>33</v>
      </c>
      <c r="C1063" s="636" t="s">
        <v>2725</v>
      </c>
      <c r="D1063" s="637" t="s">
        <v>992</v>
      </c>
      <c r="E1063" s="637" t="s">
        <v>3616</v>
      </c>
      <c r="F1063" s="636">
        <v>49845</v>
      </c>
      <c r="G1063" s="637" t="s">
        <v>57</v>
      </c>
      <c r="H1063" s="637" t="s">
        <v>1162</v>
      </c>
      <c r="I1063" s="637" t="s">
        <v>58</v>
      </c>
      <c r="J1063" s="636">
        <v>22</v>
      </c>
      <c r="K1063" s="636">
        <v>2</v>
      </c>
      <c r="L1063" s="637" t="s">
        <v>52</v>
      </c>
      <c r="M1063" s="637" t="s">
        <v>50</v>
      </c>
      <c r="N1063" s="637" t="s">
        <v>76</v>
      </c>
      <c r="O1063" s="637" t="s">
        <v>67</v>
      </c>
      <c r="P1063" s="637" t="s">
        <v>47</v>
      </c>
      <c r="Q1063" s="638">
        <v>1282</v>
      </c>
      <c r="R1063" s="638">
        <v>1282</v>
      </c>
      <c r="S1063" s="638">
        <v>7179</v>
      </c>
      <c r="T1063" s="638">
        <v>7179</v>
      </c>
      <c r="U1063" s="638">
        <v>704.86400000000003</v>
      </c>
      <c r="V1063" s="636">
        <v>2022</v>
      </c>
      <c r="W1063" s="640" t="s">
        <v>3934</v>
      </c>
      <c r="X1063" s="641">
        <f t="shared" si="48"/>
        <v>10.184943478458255</v>
      </c>
      <c r="Y1063" s="642" t="str">
        <f t="shared" si="49"/>
        <v/>
      </c>
      <c r="Z1063" s="642" t="str">
        <f t="shared" si="50"/>
        <v/>
      </c>
    </row>
    <row r="1064" spans="1:26" s="127" customFormat="1" ht="25">
      <c r="A1064" s="636">
        <v>56032</v>
      </c>
      <c r="B1064" s="637" t="s">
        <v>33</v>
      </c>
      <c r="C1064" s="636" t="s">
        <v>2725</v>
      </c>
      <c r="D1064" s="637" t="s">
        <v>992</v>
      </c>
      <c r="E1064" s="637" t="s">
        <v>3616</v>
      </c>
      <c r="F1064" s="636">
        <v>49845</v>
      </c>
      <c r="G1064" s="637" t="s">
        <v>57</v>
      </c>
      <c r="H1064" s="637" t="s">
        <v>1162</v>
      </c>
      <c r="I1064" s="637" t="s">
        <v>58</v>
      </c>
      <c r="J1064" s="636">
        <v>22</v>
      </c>
      <c r="K1064" s="636">
        <v>2</v>
      </c>
      <c r="L1064" s="637" t="s">
        <v>52</v>
      </c>
      <c r="M1064" s="637" t="s">
        <v>50</v>
      </c>
      <c r="N1064" s="637" t="s">
        <v>39</v>
      </c>
      <c r="O1064" s="637" t="s">
        <v>39</v>
      </c>
      <c r="P1064" s="637" t="s">
        <v>1020</v>
      </c>
      <c r="Q1064" s="638">
        <v>624298</v>
      </c>
      <c r="R1064" s="638">
        <v>624298</v>
      </c>
      <c r="S1064" s="638">
        <v>643028</v>
      </c>
      <c r="T1064" s="638">
        <v>643028</v>
      </c>
      <c r="U1064" s="638">
        <v>63035.133999999998</v>
      </c>
      <c r="V1064" s="636">
        <v>2022</v>
      </c>
      <c r="W1064" s="640" t="s">
        <v>3934</v>
      </c>
      <c r="X1064" s="641">
        <f t="shared" si="48"/>
        <v>10.201104672832139</v>
      </c>
      <c r="Y1064" s="642" t="str">
        <f t="shared" si="49"/>
        <v/>
      </c>
      <c r="Z1064" s="642" t="str">
        <f t="shared" si="50"/>
        <v/>
      </c>
    </row>
    <row r="1065" spans="1:26" s="127" customFormat="1" ht="25">
      <c r="A1065" s="636">
        <v>56047</v>
      </c>
      <c r="B1065" s="637" t="s">
        <v>33</v>
      </c>
      <c r="C1065" s="636" t="s">
        <v>2725</v>
      </c>
      <c r="D1065" s="637" t="s">
        <v>2258</v>
      </c>
      <c r="E1065" s="637" t="s">
        <v>2273</v>
      </c>
      <c r="F1065" s="636">
        <v>19002</v>
      </c>
      <c r="G1065" s="637" t="s">
        <v>41</v>
      </c>
      <c r="H1065" s="637" t="s">
        <v>1163</v>
      </c>
      <c r="I1065" s="637" t="s">
        <v>58</v>
      </c>
      <c r="J1065" s="636">
        <v>22</v>
      </c>
      <c r="K1065" s="636">
        <v>2</v>
      </c>
      <c r="L1065" s="637" t="s">
        <v>52</v>
      </c>
      <c r="M1065" s="637" t="s">
        <v>38</v>
      </c>
      <c r="N1065" s="637" t="s">
        <v>46</v>
      </c>
      <c r="O1065" s="637" t="s">
        <v>46</v>
      </c>
      <c r="P1065" s="637" t="s">
        <v>47</v>
      </c>
      <c r="Q1065" s="638">
        <v>0</v>
      </c>
      <c r="R1065" s="638">
        <v>0</v>
      </c>
      <c r="S1065" s="638">
        <v>0</v>
      </c>
      <c r="T1065" s="638">
        <v>0</v>
      </c>
      <c r="U1065" s="638">
        <v>113.806</v>
      </c>
      <c r="V1065" s="636">
        <v>2022</v>
      </c>
      <c r="W1065" s="640" t="s">
        <v>3934</v>
      </c>
      <c r="X1065" s="641" t="str">
        <f t="shared" si="48"/>
        <v/>
      </c>
      <c r="Y1065" s="642" t="str">
        <f t="shared" si="49"/>
        <v/>
      </c>
      <c r="Z1065" s="642" t="str">
        <f t="shared" si="50"/>
        <v/>
      </c>
    </row>
    <row r="1066" spans="1:26" s="127" customFormat="1" ht="25">
      <c r="A1066" s="636">
        <v>56047</v>
      </c>
      <c r="B1066" s="637" t="s">
        <v>33</v>
      </c>
      <c r="C1066" s="636" t="s">
        <v>2725</v>
      </c>
      <c r="D1066" s="637" t="s">
        <v>2258</v>
      </c>
      <c r="E1066" s="637" t="s">
        <v>2273</v>
      </c>
      <c r="F1066" s="636">
        <v>19002</v>
      </c>
      <c r="G1066" s="637" t="s">
        <v>41</v>
      </c>
      <c r="H1066" s="637" t="s">
        <v>1163</v>
      </c>
      <c r="I1066" s="637" t="s">
        <v>58</v>
      </c>
      <c r="J1066" s="636">
        <v>22</v>
      </c>
      <c r="K1066" s="636">
        <v>2</v>
      </c>
      <c r="L1066" s="637" t="s">
        <v>52</v>
      </c>
      <c r="M1066" s="637" t="s">
        <v>38</v>
      </c>
      <c r="N1066" s="637" t="s">
        <v>39</v>
      </c>
      <c r="O1066" s="637" t="s">
        <v>39</v>
      </c>
      <c r="P1066" s="637" t="s">
        <v>1020</v>
      </c>
      <c r="Q1066" s="638">
        <v>486546</v>
      </c>
      <c r="R1066" s="638">
        <v>486546</v>
      </c>
      <c r="S1066" s="638">
        <v>499403</v>
      </c>
      <c r="T1066" s="638">
        <v>499403</v>
      </c>
      <c r="U1066" s="638">
        <v>1603425.2</v>
      </c>
      <c r="V1066" s="636">
        <v>2022</v>
      </c>
      <c r="W1066" s="640" t="s">
        <v>3934</v>
      </c>
      <c r="X1066" s="641">
        <f t="shared" si="48"/>
        <v>0.31146011675505664</v>
      </c>
      <c r="Y1066" s="642" t="str">
        <f t="shared" si="49"/>
        <v/>
      </c>
      <c r="Z1066" s="642" t="str">
        <f t="shared" si="50"/>
        <v/>
      </c>
    </row>
    <row r="1067" spans="1:26" s="127" customFormat="1" ht="25">
      <c r="A1067" s="636">
        <v>56047</v>
      </c>
      <c r="B1067" s="637" t="s">
        <v>33</v>
      </c>
      <c r="C1067" s="636" t="s">
        <v>2725</v>
      </c>
      <c r="D1067" s="637" t="s">
        <v>2258</v>
      </c>
      <c r="E1067" s="637" t="s">
        <v>2273</v>
      </c>
      <c r="F1067" s="636">
        <v>19002</v>
      </c>
      <c r="G1067" s="637" t="s">
        <v>41</v>
      </c>
      <c r="H1067" s="637" t="s">
        <v>1163</v>
      </c>
      <c r="I1067" s="637" t="s">
        <v>58</v>
      </c>
      <c r="J1067" s="636">
        <v>22</v>
      </c>
      <c r="K1067" s="636">
        <v>2</v>
      </c>
      <c r="L1067" s="637" t="s">
        <v>52</v>
      </c>
      <c r="M1067" s="637" t="s">
        <v>41</v>
      </c>
      <c r="N1067" s="637" t="s">
        <v>46</v>
      </c>
      <c r="O1067" s="637" t="s">
        <v>46</v>
      </c>
      <c r="P1067" s="637" t="s">
        <v>47</v>
      </c>
      <c r="Q1067" s="638">
        <v>408</v>
      </c>
      <c r="R1067" s="638">
        <v>408</v>
      </c>
      <c r="S1067" s="638">
        <v>2358</v>
      </c>
      <c r="T1067" s="638">
        <v>2358</v>
      </c>
      <c r="U1067" s="638">
        <v>239.654</v>
      </c>
      <c r="V1067" s="636">
        <v>2022</v>
      </c>
      <c r="W1067" s="640" t="s">
        <v>3934</v>
      </c>
      <c r="X1067" s="641">
        <f t="shared" si="48"/>
        <v>9.8391848247890703</v>
      </c>
      <c r="Y1067" s="642" t="str">
        <f t="shared" si="49"/>
        <v/>
      </c>
      <c r="Z1067" s="642" t="str">
        <f t="shared" si="50"/>
        <v/>
      </c>
    </row>
    <row r="1068" spans="1:26" s="127" customFormat="1" ht="25">
      <c r="A1068" s="636">
        <v>56047</v>
      </c>
      <c r="B1068" s="637" t="s">
        <v>33</v>
      </c>
      <c r="C1068" s="636" t="s">
        <v>2725</v>
      </c>
      <c r="D1068" s="637" t="s">
        <v>2258</v>
      </c>
      <c r="E1068" s="637" t="s">
        <v>2273</v>
      </c>
      <c r="F1068" s="636">
        <v>19002</v>
      </c>
      <c r="G1068" s="637" t="s">
        <v>41</v>
      </c>
      <c r="H1068" s="637" t="s">
        <v>1163</v>
      </c>
      <c r="I1068" s="637" t="s">
        <v>58</v>
      </c>
      <c r="J1068" s="636">
        <v>22</v>
      </c>
      <c r="K1068" s="636">
        <v>2</v>
      </c>
      <c r="L1068" s="637" t="s">
        <v>52</v>
      </c>
      <c r="M1068" s="637" t="s">
        <v>41</v>
      </c>
      <c r="N1068" s="637" t="s">
        <v>39</v>
      </c>
      <c r="O1068" s="637" t="s">
        <v>39</v>
      </c>
      <c r="P1068" s="637" t="s">
        <v>1020</v>
      </c>
      <c r="Q1068" s="638">
        <v>31425515</v>
      </c>
      <c r="R1068" s="638">
        <v>31425515</v>
      </c>
      <c r="S1068" s="638">
        <v>32255707</v>
      </c>
      <c r="T1068" s="638">
        <v>32255707</v>
      </c>
      <c r="U1068" s="638">
        <v>3349322.3</v>
      </c>
      <c r="V1068" s="636">
        <v>2022</v>
      </c>
      <c r="W1068" s="640" t="s">
        <v>3934</v>
      </c>
      <c r="X1068" s="641">
        <f t="shared" si="48"/>
        <v>9.6305174930462805</v>
      </c>
      <c r="Y1068" s="642" t="str">
        <f t="shared" si="49"/>
        <v/>
      </c>
      <c r="Z1068" s="642" t="str">
        <f t="shared" si="50"/>
        <v/>
      </c>
    </row>
    <row r="1069" spans="1:26" s="127" customFormat="1" ht="25">
      <c r="A1069" s="636">
        <v>56141</v>
      </c>
      <c r="B1069" s="637" t="s">
        <v>33</v>
      </c>
      <c r="C1069" s="636" t="s">
        <v>2725</v>
      </c>
      <c r="D1069" s="637" t="s">
        <v>993</v>
      </c>
      <c r="E1069" s="637" t="s">
        <v>994</v>
      </c>
      <c r="F1069" s="636">
        <v>49786</v>
      </c>
      <c r="G1069" s="637" t="s">
        <v>57</v>
      </c>
      <c r="H1069" s="637" t="s">
        <v>1162</v>
      </c>
      <c r="I1069" s="637" t="s">
        <v>58</v>
      </c>
      <c r="J1069" s="636">
        <v>22</v>
      </c>
      <c r="K1069" s="636">
        <v>2</v>
      </c>
      <c r="L1069" s="637" t="s">
        <v>52</v>
      </c>
      <c r="M1069" s="637" t="s">
        <v>50</v>
      </c>
      <c r="N1069" s="637" t="s">
        <v>76</v>
      </c>
      <c r="O1069" s="637" t="s">
        <v>67</v>
      </c>
      <c r="P1069" s="637" t="s">
        <v>47</v>
      </c>
      <c r="Q1069" s="638">
        <v>1528</v>
      </c>
      <c r="R1069" s="638">
        <v>1528</v>
      </c>
      <c r="S1069" s="638">
        <v>8557</v>
      </c>
      <c r="T1069" s="638">
        <v>8557</v>
      </c>
      <c r="U1069" s="638">
        <v>821.74800000000005</v>
      </c>
      <c r="V1069" s="636">
        <v>2022</v>
      </c>
      <c r="W1069" s="640"/>
      <c r="X1069" s="641">
        <f t="shared" si="48"/>
        <v>10.413168027181081</v>
      </c>
      <c r="Y1069" s="642" t="str">
        <f t="shared" si="49"/>
        <v/>
      </c>
      <c r="Z1069" s="642" t="str">
        <f t="shared" si="50"/>
        <v/>
      </c>
    </row>
    <row r="1070" spans="1:26" s="127" customFormat="1" ht="25">
      <c r="A1070" s="636">
        <v>56141</v>
      </c>
      <c r="B1070" s="637" t="s">
        <v>33</v>
      </c>
      <c r="C1070" s="636" t="s">
        <v>2725</v>
      </c>
      <c r="D1070" s="637" t="s">
        <v>993</v>
      </c>
      <c r="E1070" s="637" t="s">
        <v>994</v>
      </c>
      <c r="F1070" s="636">
        <v>49786</v>
      </c>
      <c r="G1070" s="637" t="s">
        <v>57</v>
      </c>
      <c r="H1070" s="637" t="s">
        <v>1162</v>
      </c>
      <c r="I1070" s="637" t="s">
        <v>58</v>
      </c>
      <c r="J1070" s="636">
        <v>22</v>
      </c>
      <c r="K1070" s="636">
        <v>2</v>
      </c>
      <c r="L1070" s="637" t="s">
        <v>52</v>
      </c>
      <c r="M1070" s="637" t="s">
        <v>50</v>
      </c>
      <c r="N1070" s="637" t="s">
        <v>39</v>
      </c>
      <c r="O1070" s="637" t="s">
        <v>39</v>
      </c>
      <c r="P1070" s="637" t="s">
        <v>1020</v>
      </c>
      <c r="Q1070" s="638">
        <v>672091</v>
      </c>
      <c r="R1070" s="638">
        <v>672091</v>
      </c>
      <c r="S1070" s="638">
        <v>692254</v>
      </c>
      <c r="T1070" s="638">
        <v>692254</v>
      </c>
      <c r="U1070" s="638">
        <v>66480.251999999993</v>
      </c>
      <c r="V1070" s="636">
        <v>2022</v>
      </c>
      <c r="W1070" s="640"/>
      <c r="X1070" s="641">
        <f t="shared" si="48"/>
        <v>10.412926834272531</v>
      </c>
      <c r="Y1070" s="642" t="str">
        <f t="shared" si="49"/>
        <v/>
      </c>
      <c r="Z1070" s="642" t="str">
        <f t="shared" si="50"/>
        <v/>
      </c>
    </row>
    <row r="1071" spans="1:26" s="127" customFormat="1" ht="25">
      <c r="A1071" s="636">
        <v>56188</v>
      </c>
      <c r="B1071" s="637" t="s">
        <v>33</v>
      </c>
      <c r="C1071" s="636" t="s">
        <v>2725</v>
      </c>
      <c r="D1071" s="637" t="s">
        <v>995</v>
      </c>
      <c r="E1071" s="637" t="s">
        <v>995</v>
      </c>
      <c r="F1071" s="636">
        <v>49837</v>
      </c>
      <c r="G1071" s="637" t="s">
        <v>57</v>
      </c>
      <c r="H1071" s="637" t="s">
        <v>1162</v>
      </c>
      <c r="I1071" s="637" t="s">
        <v>58</v>
      </c>
      <c r="J1071" s="636">
        <v>22</v>
      </c>
      <c r="K1071" s="636">
        <v>2</v>
      </c>
      <c r="L1071" s="637" t="s">
        <v>52</v>
      </c>
      <c r="M1071" s="637" t="s">
        <v>38</v>
      </c>
      <c r="N1071" s="637" t="s">
        <v>76</v>
      </c>
      <c r="O1071" s="637" t="s">
        <v>67</v>
      </c>
      <c r="P1071" s="637" t="s">
        <v>47</v>
      </c>
      <c r="Q1071" s="638">
        <v>0</v>
      </c>
      <c r="R1071" s="638">
        <v>0</v>
      </c>
      <c r="S1071" s="638">
        <v>0</v>
      </c>
      <c r="T1071" s="638">
        <v>0</v>
      </c>
      <c r="U1071" s="638">
        <v>268.68099999999998</v>
      </c>
      <c r="V1071" s="636">
        <v>2022</v>
      </c>
      <c r="W1071" s="640" t="s">
        <v>3934</v>
      </c>
      <c r="X1071" s="641" t="str">
        <f t="shared" si="48"/>
        <v/>
      </c>
      <c r="Y1071" s="642" t="str">
        <f t="shared" si="49"/>
        <v/>
      </c>
      <c r="Z1071" s="642" t="str">
        <f t="shared" si="50"/>
        <v/>
      </c>
    </row>
    <row r="1072" spans="1:26" s="127" customFormat="1" ht="25">
      <c r="A1072" s="636">
        <v>56188</v>
      </c>
      <c r="B1072" s="637" t="s">
        <v>33</v>
      </c>
      <c r="C1072" s="636" t="s">
        <v>2725</v>
      </c>
      <c r="D1072" s="637" t="s">
        <v>995</v>
      </c>
      <c r="E1072" s="637" t="s">
        <v>995</v>
      </c>
      <c r="F1072" s="636">
        <v>49837</v>
      </c>
      <c r="G1072" s="637" t="s">
        <v>57</v>
      </c>
      <c r="H1072" s="637" t="s">
        <v>1162</v>
      </c>
      <c r="I1072" s="637" t="s">
        <v>58</v>
      </c>
      <c r="J1072" s="636">
        <v>22</v>
      </c>
      <c r="K1072" s="636">
        <v>2</v>
      </c>
      <c r="L1072" s="637" t="s">
        <v>52</v>
      </c>
      <c r="M1072" s="637" t="s">
        <v>38</v>
      </c>
      <c r="N1072" s="637" t="s">
        <v>39</v>
      </c>
      <c r="O1072" s="637" t="s">
        <v>39</v>
      </c>
      <c r="P1072" s="637" t="s">
        <v>1020</v>
      </c>
      <c r="Q1072" s="638">
        <v>0</v>
      </c>
      <c r="R1072" s="638">
        <v>0</v>
      </c>
      <c r="S1072" s="638">
        <v>0</v>
      </c>
      <c r="T1072" s="638">
        <v>0</v>
      </c>
      <c r="U1072" s="638">
        <v>49002.319000000003</v>
      </c>
      <c r="V1072" s="636">
        <v>2022</v>
      </c>
      <c r="W1072" s="640" t="s">
        <v>3934</v>
      </c>
      <c r="X1072" s="641" t="str">
        <f t="shared" si="48"/>
        <v/>
      </c>
      <c r="Y1072" s="642" t="str">
        <f t="shared" si="49"/>
        <v/>
      </c>
      <c r="Z1072" s="642" t="str">
        <f t="shared" si="50"/>
        <v/>
      </c>
    </row>
    <row r="1073" spans="1:26" s="127" customFormat="1" ht="25">
      <c r="A1073" s="636">
        <v>56188</v>
      </c>
      <c r="B1073" s="637" t="s">
        <v>33</v>
      </c>
      <c r="C1073" s="636" t="s">
        <v>2725</v>
      </c>
      <c r="D1073" s="637" t="s">
        <v>995</v>
      </c>
      <c r="E1073" s="637" t="s">
        <v>995</v>
      </c>
      <c r="F1073" s="636">
        <v>49837</v>
      </c>
      <c r="G1073" s="637" t="s">
        <v>57</v>
      </c>
      <c r="H1073" s="637" t="s">
        <v>1162</v>
      </c>
      <c r="I1073" s="637" t="s">
        <v>58</v>
      </c>
      <c r="J1073" s="636">
        <v>22</v>
      </c>
      <c r="K1073" s="636">
        <v>2</v>
      </c>
      <c r="L1073" s="637" t="s">
        <v>52</v>
      </c>
      <c r="M1073" s="637" t="s">
        <v>41</v>
      </c>
      <c r="N1073" s="637" t="s">
        <v>76</v>
      </c>
      <c r="O1073" s="637" t="s">
        <v>67</v>
      </c>
      <c r="P1073" s="637" t="s">
        <v>47</v>
      </c>
      <c r="Q1073" s="638">
        <v>1475</v>
      </c>
      <c r="R1073" s="638">
        <v>1475</v>
      </c>
      <c r="S1073" s="638">
        <v>8260</v>
      </c>
      <c r="T1073" s="638">
        <v>8260</v>
      </c>
      <c r="U1073" s="638">
        <v>729.73299999999995</v>
      </c>
      <c r="V1073" s="636">
        <v>2022</v>
      </c>
      <c r="W1073" s="640" t="s">
        <v>3934</v>
      </c>
      <c r="X1073" s="641">
        <f t="shared" si="48"/>
        <v>11.319208532435837</v>
      </c>
      <c r="Y1073" s="642" t="str">
        <f t="shared" si="49"/>
        <v/>
      </c>
      <c r="Z1073" s="642" t="str">
        <f t="shared" si="50"/>
        <v/>
      </c>
    </row>
    <row r="1074" spans="1:26" s="127" customFormat="1" ht="25">
      <c r="A1074" s="636">
        <v>56188</v>
      </c>
      <c r="B1074" s="637" t="s">
        <v>33</v>
      </c>
      <c r="C1074" s="636" t="s">
        <v>2725</v>
      </c>
      <c r="D1074" s="637" t="s">
        <v>995</v>
      </c>
      <c r="E1074" s="637" t="s">
        <v>995</v>
      </c>
      <c r="F1074" s="636">
        <v>49837</v>
      </c>
      <c r="G1074" s="637" t="s">
        <v>57</v>
      </c>
      <c r="H1074" s="637" t="s">
        <v>1162</v>
      </c>
      <c r="I1074" s="637" t="s">
        <v>58</v>
      </c>
      <c r="J1074" s="636">
        <v>22</v>
      </c>
      <c r="K1074" s="636">
        <v>2</v>
      </c>
      <c r="L1074" s="637" t="s">
        <v>52</v>
      </c>
      <c r="M1074" s="637" t="s">
        <v>41</v>
      </c>
      <c r="N1074" s="637" t="s">
        <v>39</v>
      </c>
      <c r="O1074" s="637" t="s">
        <v>39</v>
      </c>
      <c r="P1074" s="637" t="s">
        <v>1020</v>
      </c>
      <c r="Q1074" s="638">
        <v>1387607</v>
      </c>
      <c r="R1074" s="638">
        <v>1387607</v>
      </c>
      <c r="S1074" s="638">
        <v>1429234</v>
      </c>
      <c r="T1074" s="638">
        <v>1429234</v>
      </c>
      <c r="U1074" s="638">
        <v>118379.27</v>
      </c>
      <c r="V1074" s="636">
        <v>2022</v>
      </c>
      <c r="W1074" s="640" t="s">
        <v>3934</v>
      </c>
      <c r="X1074" s="641">
        <f t="shared" si="48"/>
        <v>12.073346963535085</v>
      </c>
      <c r="Y1074" s="642" t="str">
        <f t="shared" si="49"/>
        <v/>
      </c>
      <c r="Z1074" s="642" t="str">
        <f t="shared" si="50"/>
        <v/>
      </c>
    </row>
    <row r="1075" spans="1:26" s="127" customFormat="1" ht="25">
      <c r="A1075" s="636">
        <v>56189</v>
      </c>
      <c r="B1075" s="637" t="s">
        <v>33</v>
      </c>
      <c r="C1075" s="636" t="s">
        <v>2725</v>
      </c>
      <c r="D1075" s="637" t="s">
        <v>996</v>
      </c>
      <c r="E1075" s="637" t="s">
        <v>996</v>
      </c>
      <c r="F1075" s="636">
        <v>49840</v>
      </c>
      <c r="G1075" s="637" t="s">
        <v>41</v>
      </c>
      <c r="H1075" s="637" t="s">
        <v>1163</v>
      </c>
      <c r="I1075" s="637" t="s">
        <v>58</v>
      </c>
      <c r="J1075" s="636">
        <v>22</v>
      </c>
      <c r="K1075" s="636">
        <v>2</v>
      </c>
      <c r="L1075" s="637" t="s">
        <v>52</v>
      </c>
      <c r="M1075" s="637" t="s">
        <v>50</v>
      </c>
      <c r="N1075" s="637" t="s">
        <v>46</v>
      </c>
      <c r="O1075" s="637" t="s">
        <v>46</v>
      </c>
      <c r="P1075" s="637" t="s">
        <v>47</v>
      </c>
      <c r="Q1075" s="638">
        <v>3561</v>
      </c>
      <c r="R1075" s="638">
        <v>3561</v>
      </c>
      <c r="S1075" s="638">
        <v>20600</v>
      </c>
      <c r="T1075" s="638">
        <v>20600</v>
      </c>
      <c r="U1075" s="638">
        <v>1676</v>
      </c>
      <c r="V1075" s="636">
        <v>2022</v>
      </c>
      <c r="W1075" s="640"/>
      <c r="X1075" s="641">
        <f t="shared" si="48"/>
        <v>12.291169451073985</v>
      </c>
      <c r="Y1075" s="642" t="str">
        <f t="shared" si="49"/>
        <v/>
      </c>
      <c r="Z1075" s="642" t="str">
        <f t="shared" si="50"/>
        <v/>
      </c>
    </row>
    <row r="1076" spans="1:26" s="127" customFormat="1" ht="25">
      <c r="A1076" s="636">
        <v>56196</v>
      </c>
      <c r="B1076" s="637" t="s">
        <v>33</v>
      </c>
      <c r="C1076" s="636" t="s">
        <v>2725</v>
      </c>
      <c r="D1076" s="637" t="s">
        <v>181</v>
      </c>
      <c r="E1076" s="637" t="s">
        <v>56</v>
      </c>
      <c r="F1076" s="636">
        <v>15296</v>
      </c>
      <c r="G1076" s="637" t="s">
        <v>57</v>
      </c>
      <c r="H1076" s="637" t="s">
        <v>1162</v>
      </c>
      <c r="I1076" s="637" t="s">
        <v>58</v>
      </c>
      <c r="J1076" s="636">
        <v>22</v>
      </c>
      <c r="K1076" s="636">
        <v>1</v>
      </c>
      <c r="L1076" s="637" t="s">
        <v>34</v>
      </c>
      <c r="M1076" s="637" t="s">
        <v>38</v>
      </c>
      <c r="N1076" s="637" t="s">
        <v>46</v>
      </c>
      <c r="O1076" s="637" t="s">
        <v>46</v>
      </c>
      <c r="P1076" s="637" t="s">
        <v>47</v>
      </c>
      <c r="Q1076" s="638">
        <v>0</v>
      </c>
      <c r="R1076" s="638">
        <v>0</v>
      </c>
      <c r="S1076" s="638">
        <v>0</v>
      </c>
      <c r="T1076" s="638">
        <v>0</v>
      </c>
      <c r="U1076" s="638">
        <v>56884.137999999999</v>
      </c>
      <c r="V1076" s="636">
        <v>2022</v>
      </c>
      <c r="W1076" s="640" t="s">
        <v>3934</v>
      </c>
      <c r="X1076" s="641" t="str">
        <f t="shared" si="48"/>
        <v/>
      </c>
      <c r="Y1076" s="642" t="str">
        <f t="shared" si="49"/>
        <v/>
      </c>
      <c r="Z1076" s="642" t="str">
        <f t="shared" si="50"/>
        <v/>
      </c>
    </row>
    <row r="1077" spans="1:26" s="127" customFormat="1" ht="25">
      <c r="A1077" s="636">
        <v>56196</v>
      </c>
      <c r="B1077" s="637" t="s">
        <v>33</v>
      </c>
      <c r="C1077" s="636" t="s">
        <v>2725</v>
      </c>
      <c r="D1077" s="637" t="s">
        <v>181</v>
      </c>
      <c r="E1077" s="637" t="s">
        <v>56</v>
      </c>
      <c r="F1077" s="636">
        <v>15296</v>
      </c>
      <c r="G1077" s="637" t="s">
        <v>57</v>
      </c>
      <c r="H1077" s="637" t="s">
        <v>1162</v>
      </c>
      <c r="I1077" s="637" t="s">
        <v>58</v>
      </c>
      <c r="J1077" s="636">
        <v>22</v>
      </c>
      <c r="K1077" s="636">
        <v>1</v>
      </c>
      <c r="L1077" s="637" t="s">
        <v>34</v>
      </c>
      <c r="M1077" s="637" t="s">
        <v>38</v>
      </c>
      <c r="N1077" s="637" t="s">
        <v>39</v>
      </c>
      <c r="O1077" s="637" t="s">
        <v>39</v>
      </c>
      <c r="P1077" s="637" t="s">
        <v>1020</v>
      </c>
      <c r="Q1077" s="638">
        <v>0</v>
      </c>
      <c r="R1077" s="638">
        <v>0</v>
      </c>
      <c r="S1077" s="638">
        <v>0</v>
      </c>
      <c r="T1077" s="638">
        <v>0</v>
      </c>
      <c r="U1077" s="638">
        <v>883035.86</v>
      </c>
      <c r="V1077" s="636">
        <v>2022</v>
      </c>
      <c r="W1077" s="640" t="s">
        <v>3934</v>
      </c>
      <c r="X1077" s="641" t="str">
        <f t="shared" si="48"/>
        <v/>
      </c>
      <c r="Y1077" s="642" t="str">
        <f t="shared" si="49"/>
        <v/>
      </c>
      <c r="Z1077" s="642" t="str">
        <f t="shared" si="50"/>
        <v/>
      </c>
    </row>
    <row r="1078" spans="1:26" s="127" customFormat="1" ht="25">
      <c r="A1078" s="636">
        <v>56196</v>
      </c>
      <c r="B1078" s="637" t="s">
        <v>33</v>
      </c>
      <c r="C1078" s="636" t="s">
        <v>2725</v>
      </c>
      <c r="D1078" s="637" t="s">
        <v>181</v>
      </c>
      <c r="E1078" s="637" t="s">
        <v>56</v>
      </c>
      <c r="F1078" s="636">
        <v>15296</v>
      </c>
      <c r="G1078" s="637" t="s">
        <v>57</v>
      </c>
      <c r="H1078" s="637" t="s">
        <v>1162</v>
      </c>
      <c r="I1078" s="637" t="s">
        <v>58</v>
      </c>
      <c r="J1078" s="636">
        <v>22</v>
      </c>
      <c r="K1078" s="636">
        <v>1</v>
      </c>
      <c r="L1078" s="637" t="s">
        <v>34</v>
      </c>
      <c r="M1078" s="637" t="s">
        <v>41</v>
      </c>
      <c r="N1078" s="637" t="s">
        <v>46</v>
      </c>
      <c r="O1078" s="637" t="s">
        <v>46</v>
      </c>
      <c r="P1078" s="637" t="s">
        <v>47</v>
      </c>
      <c r="Q1078" s="638">
        <v>214500</v>
      </c>
      <c r="R1078" s="638">
        <v>214500</v>
      </c>
      <c r="S1078" s="638">
        <v>1226238</v>
      </c>
      <c r="T1078" s="638">
        <v>1226238</v>
      </c>
      <c r="U1078" s="638">
        <v>105254.18</v>
      </c>
      <c r="V1078" s="636">
        <v>2022</v>
      </c>
      <c r="W1078" s="640" t="s">
        <v>3934</v>
      </c>
      <c r="X1078" s="641">
        <f t="shared" si="48"/>
        <v>11.650254650219118</v>
      </c>
      <c r="Y1078" s="642" t="str">
        <f t="shared" si="49"/>
        <v/>
      </c>
      <c r="Z1078" s="642" t="str">
        <f t="shared" si="50"/>
        <v/>
      </c>
    </row>
    <row r="1079" spans="1:26" s="127" customFormat="1" ht="25">
      <c r="A1079" s="636">
        <v>56196</v>
      </c>
      <c r="B1079" s="637" t="s">
        <v>33</v>
      </c>
      <c r="C1079" s="636" t="s">
        <v>2725</v>
      </c>
      <c r="D1079" s="637" t="s">
        <v>181</v>
      </c>
      <c r="E1079" s="637" t="s">
        <v>56</v>
      </c>
      <c r="F1079" s="636">
        <v>15296</v>
      </c>
      <c r="G1079" s="637" t="s">
        <v>57</v>
      </c>
      <c r="H1079" s="637" t="s">
        <v>1162</v>
      </c>
      <c r="I1079" s="637" t="s">
        <v>58</v>
      </c>
      <c r="J1079" s="636">
        <v>22</v>
      </c>
      <c r="K1079" s="636">
        <v>1</v>
      </c>
      <c r="L1079" s="637" t="s">
        <v>34</v>
      </c>
      <c r="M1079" s="637" t="s">
        <v>41</v>
      </c>
      <c r="N1079" s="637" t="s">
        <v>39</v>
      </c>
      <c r="O1079" s="637" t="s">
        <v>39</v>
      </c>
      <c r="P1079" s="637" t="s">
        <v>1020</v>
      </c>
      <c r="Q1079" s="638">
        <v>17350474</v>
      </c>
      <c r="R1079" s="638">
        <v>17350474</v>
      </c>
      <c r="S1079" s="638">
        <v>17835371</v>
      </c>
      <c r="T1079" s="638">
        <v>17835371</v>
      </c>
      <c r="U1079" s="638">
        <v>1541113.8</v>
      </c>
      <c r="V1079" s="636">
        <v>2022</v>
      </c>
      <c r="W1079" s="640" t="s">
        <v>3934</v>
      </c>
      <c r="X1079" s="641">
        <f t="shared" si="48"/>
        <v>11.573039576960507</v>
      </c>
      <c r="Y1079" s="642" t="str">
        <f t="shared" si="49"/>
        <v/>
      </c>
      <c r="Z1079" s="642" t="str">
        <f t="shared" si="50"/>
        <v/>
      </c>
    </row>
    <row r="1080" spans="1:26" s="127" customFormat="1" ht="25">
      <c r="A1080" s="636">
        <v>56234</v>
      </c>
      <c r="B1080" s="637" t="s">
        <v>33</v>
      </c>
      <c r="C1080" s="636" t="s">
        <v>2725</v>
      </c>
      <c r="D1080" s="637" t="s">
        <v>437</v>
      </c>
      <c r="E1080" s="637" t="s">
        <v>438</v>
      </c>
      <c r="F1080" s="636">
        <v>49950</v>
      </c>
      <c r="G1080" s="637" t="s">
        <v>57</v>
      </c>
      <c r="H1080" s="637" t="s">
        <v>1162</v>
      </c>
      <c r="I1080" s="637" t="s">
        <v>58</v>
      </c>
      <c r="J1080" s="636">
        <v>22</v>
      </c>
      <c r="K1080" s="636">
        <v>2</v>
      </c>
      <c r="L1080" s="637" t="s">
        <v>52</v>
      </c>
      <c r="M1080" s="637" t="s">
        <v>38</v>
      </c>
      <c r="N1080" s="637" t="s">
        <v>46</v>
      </c>
      <c r="O1080" s="637" t="s">
        <v>46</v>
      </c>
      <c r="P1080" s="637" t="s">
        <v>47</v>
      </c>
      <c r="Q1080" s="638">
        <v>0</v>
      </c>
      <c r="R1080" s="638">
        <v>0</v>
      </c>
      <c r="S1080" s="638">
        <v>0</v>
      </c>
      <c r="T1080" s="638">
        <v>0</v>
      </c>
      <c r="U1080" s="638">
        <v>3972.973</v>
      </c>
      <c r="V1080" s="636">
        <v>2022</v>
      </c>
      <c r="W1080" s="640" t="s">
        <v>3934</v>
      </c>
      <c r="X1080" s="641" t="str">
        <f t="shared" si="48"/>
        <v/>
      </c>
      <c r="Y1080" s="642" t="str">
        <f t="shared" si="49"/>
        <v/>
      </c>
      <c r="Z1080" s="642" t="str">
        <f t="shared" si="50"/>
        <v/>
      </c>
    </row>
    <row r="1081" spans="1:26" s="127" customFormat="1" ht="25">
      <c r="A1081" s="636">
        <v>56234</v>
      </c>
      <c r="B1081" s="637" t="s">
        <v>33</v>
      </c>
      <c r="C1081" s="636" t="s">
        <v>2725</v>
      </c>
      <c r="D1081" s="637" t="s">
        <v>437</v>
      </c>
      <c r="E1081" s="637" t="s">
        <v>438</v>
      </c>
      <c r="F1081" s="636">
        <v>49950</v>
      </c>
      <c r="G1081" s="637" t="s">
        <v>57</v>
      </c>
      <c r="H1081" s="637" t="s">
        <v>1162</v>
      </c>
      <c r="I1081" s="637" t="s">
        <v>58</v>
      </c>
      <c r="J1081" s="636">
        <v>22</v>
      </c>
      <c r="K1081" s="636">
        <v>2</v>
      </c>
      <c r="L1081" s="637" t="s">
        <v>52</v>
      </c>
      <c r="M1081" s="637" t="s">
        <v>38</v>
      </c>
      <c r="N1081" s="637" t="s">
        <v>39</v>
      </c>
      <c r="O1081" s="637" t="s">
        <v>39</v>
      </c>
      <c r="P1081" s="637" t="s">
        <v>1020</v>
      </c>
      <c r="Q1081" s="638">
        <v>1320682</v>
      </c>
      <c r="R1081" s="638">
        <v>1320682</v>
      </c>
      <c r="S1081" s="638">
        <v>1364285</v>
      </c>
      <c r="T1081" s="638">
        <v>1364285</v>
      </c>
      <c r="U1081" s="638">
        <v>924703.03</v>
      </c>
      <c r="V1081" s="636">
        <v>2022</v>
      </c>
      <c r="W1081" s="640" t="s">
        <v>3934</v>
      </c>
      <c r="X1081" s="641">
        <f t="shared" si="48"/>
        <v>1.4753763702926332</v>
      </c>
      <c r="Y1081" s="642" t="str">
        <f t="shared" si="49"/>
        <v/>
      </c>
      <c r="Z1081" s="642" t="str">
        <f t="shared" si="50"/>
        <v/>
      </c>
    </row>
    <row r="1082" spans="1:26" s="127" customFormat="1" ht="25">
      <c r="A1082" s="636">
        <v>56234</v>
      </c>
      <c r="B1082" s="637" t="s">
        <v>33</v>
      </c>
      <c r="C1082" s="636" t="s">
        <v>2725</v>
      </c>
      <c r="D1082" s="637" t="s">
        <v>437</v>
      </c>
      <c r="E1082" s="637" t="s">
        <v>438</v>
      </c>
      <c r="F1082" s="636">
        <v>49950</v>
      </c>
      <c r="G1082" s="637" t="s">
        <v>57</v>
      </c>
      <c r="H1082" s="637" t="s">
        <v>1162</v>
      </c>
      <c r="I1082" s="637" t="s">
        <v>58</v>
      </c>
      <c r="J1082" s="636">
        <v>22</v>
      </c>
      <c r="K1082" s="636">
        <v>2</v>
      </c>
      <c r="L1082" s="637" t="s">
        <v>52</v>
      </c>
      <c r="M1082" s="637" t="s">
        <v>41</v>
      </c>
      <c r="N1082" s="637" t="s">
        <v>46</v>
      </c>
      <c r="O1082" s="637" t="s">
        <v>46</v>
      </c>
      <c r="P1082" s="637" t="s">
        <v>47</v>
      </c>
      <c r="Q1082" s="638">
        <v>13136</v>
      </c>
      <c r="R1082" s="638">
        <v>13136</v>
      </c>
      <c r="S1082" s="638">
        <v>77240</v>
      </c>
      <c r="T1082" s="638">
        <v>77240</v>
      </c>
      <c r="U1082" s="638">
        <v>6887.0870000000004</v>
      </c>
      <c r="V1082" s="636">
        <v>2022</v>
      </c>
      <c r="W1082" s="640" t="s">
        <v>3934</v>
      </c>
      <c r="X1082" s="641">
        <f t="shared" si="48"/>
        <v>11.215191560669989</v>
      </c>
      <c r="Y1082" s="642" t="str">
        <f t="shared" si="49"/>
        <v/>
      </c>
      <c r="Z1082" s="642" t="str">
        <f t="shared" si="50"/>
        <v/>
      </c>
    </row>
    <row r="1083" spans="1:26" s="127" customFormat="1" ht="25">
      <c r="A1083" s="636">
        <v>56234</v>
      </c>
      <c r="B1083" s="637" t="s">
        <v>33</v>
      </c>
      <c r="C1083" s="636" t="s">
        <v>2725</v>
      </c>
      <c r="D1083" s="637" t="s">
        <v>437</v>
      </c>
      <c r="E1083" s="637" t="s">
        <v>438</v>
      </c>
      <c r="F1083" s="636">
        <v>49950</v>
      </c>
      <c r="G1083" s="637" t="s">
        <v>57</v>
      </c>
      <c r="H1083" s="637" t="s">
        <v>1162</v>
      </c>
      <c r="I1083" s="637" t="s">
        <v>58</v>
      </c>
      <c r="J1083" s="636">
        <v>22</v>
      </c>
      <c r="K1083" s="636">
        <v>2</v>
      </c>
      <c r="L1083" s="637" t="s">
        <v>52</v>
      </c>
      <c r="M1083" s="637" t="s">
        <v>41</v>
      </c>
      <c r="N1083" s="637" t="s">
        <v>39</v>
      </c>
      <c r="O1083" s="637" t="s">
        <v>39</v>
      </c>
      <c r="P1083" s="637" t="s">
        <v>1020</v>
      </c>
      <c r="Q1083" s="638">
        <v>15328799</v>
      </c>
      <c r="R1083" s="638">
        <v>15328799</v>
      </c>
      <c r="S1083" s="638">
        <v>15831301</v>
      </c>
      <c r="T1083" s="638">
        <v>15831301</v>
      </c>
      <c r="U1083" s="638">
        <v>1387306.9</v>
      </c>
      <c r="V1083" s="636">
        <v>2022</v>
      </c>
      <c r="W1083" s="640" t="s">
        <v>3934</v>
      </c>
      <c r="X1083" s="641">
        <f t="shared" si="48"/>
        <v>11.411534823332891</v>
      </c>
      <c r="Y1083" s="642" t="str">
        <f t="shared" si="49"/>
        <v/>
      </c>
      <c r="Z1083" s="642" t="str">
        <f t="shared" si="50"/>
        <v/>
      </c>
    </row>
    <row r="1084" spans="1:26" s="127" customFormat="1" ht="25">
      <c r="A1084" s="636">
        <v>56250</v>
      </c>
      <c r="B1084" s="637" t="s">
        <v>33</v>
      </c>
      <c r="C1084" s="636" t="s">
        <v>2725</v>
      </c>
      <c r="D1084" s="637" t="s">
        <v>997</v>
      </c>
      <c r="E1084" s="637" t="s">
        <v>970</v>
      </c>
      <c r="F1084" s="636">
        <v>17283</v>
      </c>
      <c r="G1084" s="637" t="s">
        <v>57</v>
      </c>
      <c r="H1084" s="637" t="s">
        <v>1162</v>
      </c>
      <c r="I1084" s="637" t="s">
        <v>58</v>
      </c>
      <c r="J1084" s="636">
        <v>22</v>
      </c>
      <c r="K1084" s="636">
        <v>2</v>
      </c>
      <c r="L1084" s="637" t="s">
        <v>52</v>
      </c>
      <c r="M1084" s="637" t="s">
        <v>51</v>
      </c>
      <c r="N1084" s="637" t="s">
        <v>63</v>
      </c>
      <c r="O1084" s="637" t="s">
        <v>64</v>
      </c>
      <c r="P1084" s="637" t="s">
        <v>1020</v>
      </c>
      <c r="Q1084" s="638">
        <v>1879343</v>
      </c>
      <c r="R1084" s="638">
        <v>1879343</v>
      </c>
      <c r="S1084" s="638">
        <v>932155</v>
      </c>
      <c r="T1084" s="638">
        <v>932155</v>
      </c>
      <c r="U1084" s="638">
        <v>77667</v>
      </c>
      <c r="V1084" s="636">
        <v>2022</v>
      </c>
      <c r="W1084" s="640"/>
      <c r="X1084" s="641">
        <f t="shared" si="48"/>
        <v>12.001944197664388</v>
      </c>
      <c r="Y1084" s="642" t="str">
        <f t="shared" si="49"/>
        <v/>
      </c>
      <c r="Z1084" s="642" t="str">
        <f t="shared" si="50"/>
        <v/>
      </c>
    </row>
    <row r="1085" spans="1:26" s="127" customFormat="1" ht="25">
      <c r="A1085" s="636">
        <v>56259</v>
      </c>
      <c r="B1085" s="637" t="s">
        <v>54</v>
      </c>
      <c r="C1085" s="636" t="s">
        <v>2725</v>
      </c>
      <c r="D1085" s="637" t="s">
        <v>1874</v>
      </c>
      <c r="E1085" s="637" t="s">
        <v>1874</v>
      </c>
      <c r="F1085" s="636">
        <v>56480</v>
      </c>
      <c r="G1085" s="637" t="s">
        <v>57</v>
      </c>
      <c r="H1085" s="637" t="s">
        <v>1162</v>
      </c>
      <c r="I1085" s="637" t="s">
        <v>58</v>
      </c>
      <c r="J1085" s="636">
        <v>22</v>
      </c>
      <c r="K1085" s="636">
        <v>3</v>
      </c>
      <c r="L1085" s="637" t="s">
        <v>55</v>
      </c>
      <c r="M1085" s="637" t="s">
        <v>38</v>
      </c>
      <c r="N1085" s="637" t="s">
        <v>46</v>
      </c>
      <c r="O1085" s="637" t="s">
        <v>46</v>
      </c>
      <c r="P1085" s="637" t="s">
        <v>47</v>
      </c>
      <c r="Q1085" s="638">
        <v>0</v>
      </c>
      <c r="R1085" s="638">
        <v>0</v>
      </c>
      <c r="S1085" s="638">
        <v>0</v>
      </c>
      <c r="T1085" s="638">
        <v>0</v>
      </c>
      <c r="U1085" s="638">
        <v>15748.343999999999</v>
      </c>
      <c r="V1085" s="636">
        <v>2022</v>
      </c>
      <c r="W1085" s="640"/>
      <c r="X1085" s="641" t="str">
        <f t="shared" si="48"/>
        <v/>
      </c>
      <c r="Y1085" s="642" t="str">
        <f t="shared" si="49"/>
        <v/>
      </c>
      <c r="Z1085" s="642" t="str">
        <f t="shared" si="50"/>
        <v/>
      </c>
    </row>
    <row r="1086" spans="1:26" s="127" customFormat="1" ht="25">
      <c r="A1086" s="636">
        <v>56259</v>
      </c>
      <c r="B1086" s="637" t="s">
        <v>54</v>
      </c>
      <c r="C1086" s="636" t="s">
        <v>2725</v>
      </c>
      <c r="D1086" s="637" t="s">
        <v>1874</v>
      </c>
      <c r="E1086" s="637" t="s">
        <v>1874</v>
      </c>
      <c r="F1086" s="636">
        <v>56480</v>
      </c>
      <c r="G1086" s="637" t="s">
        <v>57</v>
      </c>
      <c r="H1086" s="637" t="s">
        <v>1162</v>
      </c>
      <c r="I1086" s="637" t="s">
        <v>58</v>
      </c>
      <c r="J1086" s="636">
        <v>22</v>
      </c>
      <c r="K1086" s="636">
        <v>3</v>
      </c>
      <c r="L1086" s="637" t="s">
        <v>55</v>
      </c>
      <c r="M1086" s="637" t="s">
        <v>38</v>
      </c>
      <c r="N1086" s="637" t="s">
        <v>39</v>
      </c>
      <c r="O1086" s="637" t="s">
        <v>39</v>
      </c>
      <c r="P1086" s="637" t="s">
        <v>1020</v>
      </c>
      <c r="Q1086" s="638">
        <v>4015858</v>
      </c>
      <c r="R1086" s="638">
        <v>2916238</v>
      </c>
      <c r="S1086" s="638">
        <v>4138518</v>
      </c>
      <c r="T1086" s="638">
        <v>3005910</v>
      </c>
      <c r="U1086" s="638">
        <v>1279818.7</v>
      </c>
      <c r="V1086" s="636">
        <v>2022</v>
      </c>
      <c r="W1086" s="640"/>
      <c r="X1086" s="641">
        <f t="shared" si="48"/>
        <v>2.34869985881594</v>
      </c>
      <c r="Y1086" s="642" t="str">
        <f t="shared" si="49"/>
        <v/>
      </c>
      <c r="Z1086" s="642" t="str">
        <f t="shared" si="50"/>
        <v/>
      </c>
    </row>
    <row r="1087" spans="1:26" s="127" customFormat="1" ht="25">
      <c r="A1087" s="636">
        <v>56259</v>
      </c>
      <c r="B1087" s="637" t="s">
        <v>54</v>
      </c>
      <c r="C1087" s="636" t="s">
        <v>2725</v>
      </c>
      <c r="D1087" s="637" t="s">
        <v>1874</v>
      </c>
      <c r="E1087" s="637" t="s">
        <v>1874</v>
      </c>
      <c r="F1087" s="636">
        <v>56480</v>
      </c>
      <c r="G1087" s="637" t="s">
        <v>57</v>
      </c>
      <c r="H1087" s="637" t="s">
        <v>1162</v>
      </c>
      <c r="I1087" s="637" t="s">
        <v>58</v>
      </c>
      <c r="J1087" s="636">
        <v>22</v>
      </c>
      <c r="K1087" s="636">
        <v>3</v>
      </c>
      <c r="L1087" s="637" t="s">
        <v>55</v>
      </c>
      <c r="M1087" s="637" t="s">
        <v>41</v>
      </c>
      <c r="N1087" s="637" t="s">
        <v>46</v>
      </c>
      <c r="O1087" s="637" t="s">
        <v>46</v>
      </c>
      <c r="P1087" s="637" t="s">
        <v>47</v>
      </c>
      <c r="Q1087" s="638">
        <v>57228</v>
      </c>
      <c r="R1087" s="638">
        <v>57228</v>
      </c>
      <c r="S1087" s="638">
        <v>330492</v>
      </c>
      <c r="T1087" s="638">
        <v>330492</v>
      </c>
      <c r="U1087" s="638">
        <v>28766.777999999998</v>
      </c>
      <c r="V1087" s="636">
        <v>2022</v>
      </c>
      <c r="W1087" s="640"/>
      <c r="X1087" s="641">
        <f t="shared" si="48"/>
        <v>11.488669325428104</v>
      </c>
      <c r="Y1087" s="642" t="str">
        <f t="shared" si="49"/>
        <v/>
      </c>
      <c r="Z1087" s="642" t="str">
        <f t="shared" si="50"/>
        <v/>
      </c>
    </row>
    <row r="1088" spans="1:26" s="127" customFormat="1" ht="25">
      <c r="A1088" s="636">
        <v>56259</v>
      </c>
      <c r="B1088" s="637" t="s">
        <v>54</v>
      </c>
      <c r="C1088" s="636" t="s">
        <v>2725</v>
      </c>
      <c r="D1088" s="637" t="s">
        <v>1874</v>
      </c>
      <c r="E1088" s="637" t="s">
        <v>1874</v>
      </c>
      <c r="F1088" s="636">
        <v>56480</v>
      </c>
      <c r="G1088" s="637" t="s">
        <v>57</v>
      </c>
      <c r="H1088" s="637" t="s">
        <v>1162</v>
      </c>
      <c r="I1088" s="637" t="s">
        <v>58</v>
      </c>
      <c r="J1088" s="636">
        <v>22</v>
      </c>
      <c r="K1088" s="636">
        <v>3</v>
      </c>
      <c r="L1088" s="637" t="s">
        <v>55</v>
      </c>
      <c r="M1088" s="637" t="s">
        <v>41</v>
      </c>
      <c r="N1088" s="637" t="s">
        <v>39</v>
      </c>
      <c r="O1088" s="637" t="s">
        <v>39</v>
      </c>
      <c r="P1088" s="637" t="s">
        <v>1020</v>
      </c>
      <c r="Q1088" s="638">
        <v>19105692</v>
      </c>
      <c r="R1088" s="638">
        <v>19105692</v>
      </c>
      <c r="S1088" s="638">
        <v>19701796</v>
      </c>
      <c r="T1088" s="638">
        <v>19701796</v>
      </c>
      <c r="U1088" s="638">
        <v>1923283.2</v>
      </c>
      <c r="V1088" s="636">
        <v>2022</v>
      </c>
      <c r="W1088" s="640"/>
      <c r="X1088" s="641">
        <f t="shared" si="48"/>
        <v>10.243835125269124</v>
      </c>
      <c r="Y1088" s="642" t="str">
        <f t="shared" si="49"/>
        <v/>
      </c>
      <c r="Z1088" s="642" t="str">
        <f t="shared" si="50"/>
        <v/>
      </c>
    </row>
    <row r="1089" spans="1:26" s="127" customFormat="1" ht="25">
      <c r="A1089" s="636">
        <v>56290</v>
      </c>
      <c r="B1089" s="637" t="s">
        <v>33</v>
      </c>
      <c r="C1089" s="636" t="s">
        <v>2725</v>
      </c>
      <c r="D1089" s="637" t="s">
        <v>135</v>
      </c>
      <c r="E1089" s="637" t="s">
        <v>136</v>
      </c>
      <c r="F1089" s="636">
        <v>54684</v>
      </c>
      <c r="G1089" s="637" t="s">
        <v>57</v>
      </c>
      <c r="H1089" s="637" t="s">
        <v>1162</v>
      </c>
      <c r="I1089" s="637" t="s">
        <v>58</v>
      </c>
      <c r="J1089" s="636">
        <v>22</v>
      </c>
      <c r="K1089" s="636">
        <v>2</v>
      </c>
      <c r="L1089" s="637" t="s">
        <v>52</v>
      </c>
      <c r="M1089" s="637" t="s">
        <v>71</v>
      </c>
      <c r="N1089" s="637" t="s">
        <v>72</v>
      </c>
      <c r="O1089" s="637" t="s">
        <v>72</v>
      </c>
      <c r="P1089" s="637" t="s">
        <v>1156</v>
      </c>
      <c r="Q1089" s="638">
        <v>0</v>
      </c>
      <c r="R1089" s="638">
        <v>0</v>
      </c>
      <c r="S1089" s="638">
        <v>2326449</v>
      </c>
      <c r="T1089" s="638">
        <v>2326449</v>
      </c>
      <c r="U1089" s="638">
        <v>681843</v>
      </c>
      <c r="V1089" s="636">
        <v>2022</v>
      </c>
      <c r="W1089" s="640"/>
      <c r="X1089" s="641">
        <f t="shared" si="48"/>
        <v>3.4120010031634846</v>
      </c>
      <c r="Y1089" s="642" t="str">
        <f t="shared" si="49"/>
        <v/>
      </c>
      <c r="Z1089" s="642" t="str">
        <f t="shared" si="50"/>
        <v/>
      </c>
    </row>
    <row r="1090" spans="1:26" s="127" customFormat="1" ht="25">
      <c r="A1090" s="636">
        <v>56323</v>
      </c>
      <c r="B1090" s="637" t="s">
        <v>33</v>
      </c>
      <c r="C1090" s="636" t="s">
        <v>2725</v>
      </c>
      <c r="D1090" s="637" t="s">
        <v>998</v>
      </c>
      <c r="E1090" s="637" t="s">
        <v>999</v>
      </c>
      <c r="F1090" s="636">
        <v>50158</v>
      </c>
      <c r="G1090" s="637" t="s">
        <v>57</v>
      </c>
      <c r="H1090" s="637" t="s">
        <v>1162</v>
      </c>
      <c r="I1090" s="637" t="s">
        <v>58</v>
      </c>
      <c r="J1090" s="636">
        <v>22</v>
      </c>
      <c r="K1090" s="636">
        <v>2</v>
      </c>
      <c r="L1090" s="637" t="s">
        <v>52</v>
      </c>
      <c r="M1090" s="637" t="s">
        <v>51</v>
      </c>
      <c r="N1090" s="637" t="s">
        <v>63</v>
      </c>
      <c r="O1090" s="637" t="s">
        <v>64</v>
      </c>
      <c r="P1090" s="637" t="s">
        <v>1020</v>
      </c>
      <c r="Q1090" s="638">
        <v>687618</v>
      </c>
      <c r="R1090" s="638">
        <v>687618</v>
      </c>
      <c r="S1090" s="638">
        <v>374066</v>
      </c>
      <c r="T1090" s="638">
        <v>374066</v>
      </c>
      <c r="U1090" s="638">
        <v>33222</v>
      </c>
      <c r="V1090" s="636">
        <v>2022</v>
      </c>
      <c r="W1090" s="640"/>
      <c r="X1090" s="641">
        <f t="shared" si="48"/>
        <v>11.259587020648967</v>
      </c>
      <c r="Y1090" s="642" t="str">
        <f t="shared" si="49"/>
        <v/>
      </c>
      <c r="Z1090" s="642" t="str">
        <f t="shared" si="50"/>
        <v/>
      </c>
    </row>
    <row r="1091" spans="1:26" s="127" customFormat="1" ht="25">
      <c r="A1091" s="636">
        <v>56324</v>
      </c>
      <c r="B1091" s="637" t="s">
        <v>33</v>
      </c>
      <c r="C1091" s="636" t="s">
        <v>2725</v>
      </c>
      <c r="D1091" s="637" t="s">
        <v>1000</v>
      </c>
      <c r="E1091" s="637" t="s">
        <v>999</v>
      </c>
      <c r="F1091" s="636">
        <v>50158</v>
      </c>
      <c r="G1091" s="637" t="s">
        <v>57</v>
      </c>
      <c r="H1091" s="637" t="s">
        <v>1162</v>
      </c>
      <c r="I1091" s="637" t="s">
        <v>58</v>
      </c>
      <c r="J1091" s="636">
        <v>22</v>
      </c>
      <c r="K1091" s="636">
        <v>2</v>
      </c>
      <c r="L1091" s="637" t="s">
        <v>52</v>
      </c>
      <c r="M1091" s="637" t="s">
        <v>51</v>
      </c>
      <c r="N1091" s="637" t="s">
        <v>63</v>
      </c>
      <c r="O1091" s="637" t="s">
        <v>64</v>
      </c>
      <c r="P1091" s="637" t="s">
        <v>1020</v>
      </c>
      <c r="Q1091" s="638">
        <v>1002399</v>
      </c>
      <c r="R1091" s="638">
        <v>1002399</v>
      </c>
      <c r="S1091" s="638">
        <v>524254</v>
      </c>
      <c r="T1091" s="638">
        <v>524254</v>
      </c>
      <c r="U1091" s="638">
        <v>37010</v>
      </c>
      <c r="V1091" s="636">
        <v>2022</v>
      </c>
      <c r="W1091" s="640"/>
      <c r="X1091" s="641">
        <f t="shared" si="48"/>
        <v>14.165198594974331</v>
      </c>
      <c r="Y1091" s="642" t="str">
        <f t="shared" si="49"/>
        <v/>
      </c>
      <c r="Z1091" s="642" t="str">
        <f t="shared" si="50"/>
        <v/>
      </c>
    </row>
    <row r="1092" spans="1:26" s="127" customFormat="1" ht="25">
      <c r="A1092" s="636">
        <v>56399</v>
      </c>
      <c r="B1092" s="637" t="s">
        <v>33</v>
      </c>
      <c r="C1092" s="636" t="s">
        <v>2725</v>
      </c>
      <c r="D1092" s="637" t="s">
        <v>1001</v>
      </c>
      <c r="E1092" s="637" t="s">
        <v>1875</v>
      </c>
      <c r="F1092" s="636">
        <v>15399</v>
      </c>
      <c r="G1092" s="637" t="s">
        <v>96</v>
      </c>
      <c r="H1092" s="637" t="s">
        <v>1163</v>
      </c>
      <c r="I1092" s="637" t="s">
        <v>58</v>
      </c>
      <c r="J1092" s="636">
        <v>22</v>
      </c>
      <c r="K1092" s="636">
        <v>2</v>
      </c>
      <c r="L1092" s="637" t="s">
        <v>52</v>
      </c>
      <c r="M1092" s="637" t="s">
        <v>71</v>
      </c>
      <c r="N1092" s="637" t="s">
        <v>72</v>
      </c>
      <c r="O1092" s="637" t="s">
        <v>72</v>
      </c>
      <c r="P1092" s="637" t="s">
        <v>1156</v>
      </c>
      <c r="Q1092" s="638">
        <v>0</v>
      </c>
      <c r="R1092" s="638">
        <v>0</v>
      </c>
      <c r="S1092" s="638">
        <v>214103</v>
      </c>
      <c r="T1092" s="638">
        <v>214103</v>
      </c>
      <c r="U1092" s="638">
        <v>62750</v>
      </c>
      <c r="V1092" s="636">
        <v>2022</v>
      </c>
      <c r="W1092" s="640"/>
      <c r="X1092" s="641">
        <f t="shared" si="48"/>
        <v>3.4119999999999999</v>
      </c>
      <c r="Y1092" s="642" t="str">
        <f t="shared" si="49"/>
        <v/>
      </c>
      <c r="Z1092" s="642" t="str">
        <f t="shared" si="50"/>
        <v/>
      </c>
    </row>
    <row r="1093" spans="1:26" s="127" customFormat="1" ht="25">
      <c r="A1093" s="636">
        <v>56426</v>
      </c>
      <c r="B1093" s="637" t="s">
        <v>33</v>
      </c>
      <c r="C1093" s="636" t="s">
        <v>2725</v>
      </c>
      <c r="D1093" s="637" t="s">
        <v>1660</v>
      </c>
      <c r="E1093" s="637" t="s">
        <v>1002</v>
      </c>
      <c r="F1093" s="636">
        <v>54812</v>
      </c>
      <c r="G1093" s="637" t="s">
        <v>81</v>
      </c>
      <c r="H1093" s="637" t="s">
        <v>1163</v>
      </c>
      <c r="I1093" s="637" t="s">
        <v>58</v>
      </c>
      <c r="J1093" s="636">
        <v>22</v>
      </c>
      <c r="K1093" s="636">
        <v>2</v>
      </c>
      <c r="L1093" s="637" t="s">
        <v>52</v>
      </c>
      <c r="M1093" s="637" t="s">
        <v>51</v>
      </c>
      <c r="N1093" s="637" t="s">
        <v>63</v>
      </c>
      <c r="O1093" s="637" t="s">
        <v>64</v>
      </c>
      <c r="P1093" s="637" t="s">
        <v>1020</v>
      </c>
      <c r="Q1093" s="638">
        <v>444450</v>
      </c>
      <c r="R1093" s="638">
        <v>444450</v>
      </c>
      <c r="S1093" s="638">
        <v>220001</v>
      </c>
      <c r="T1093" s="638">
        <v>220001</v>
      </c>
      <c r="U1093" s="638">
        <v>18937</v>
      </c>
      <c r="V1093" s="636">
        <v>2022</v>
      </c>
      <c r="W1093" s="640"/>
      <c r="X1093" s="641">
        <f t="shared" si="48"/>
        <v>11.617521254686592</v>
      </c>
      <c r="Y1093" s="642" t="str">
        <f t="shared" si="49"/>
        <v/>
      </c>
      <c r="Z1093" s="642" t="str">
        <f t="shared" si="50"/>
        <v/>
      </c>
    </row>
    <row r="1094" spans="1:26" s="127" customFormat="1" ht="25">
      <c r="A1094" s="636">
        <v>56448</v>
      </c>
      <c r="B1094" s="637" t="s">
        <v>33</v>
      </c>
      <c r="C1094" s="636" t="s">
        <v>2725</v>
      </c>
      <c r="D1094" s="637" t="s">
        <v>137</v>
      </c>
      <c r="E1094" s="637" t="s">
        <v>3035</v>
      </c>
      <c r="F1094" s="636">
        <v>59155</v>
      </c>
      <c r="G1094" s="637" t="s">
        <v>90</v>
      </c>
      <c r="H1094" s="637" t="s">
        <v>1163</v>
      </c>
      <c r="I1094" s="637" t="s">
        <v>58</v>
      </c>
      <c r="J1094" s="636">
        <v>22</v>
      </c>
      <c r="K1094" s="636">
        <v>2</v>
      </c>
      <c r="L1094" s="637" t="s">
        <v>52</v>
      </c>
      <c r="M1094" s="637" t="s">
        <v>71</v>
      </c>
      <c r="N1094" s="637" t="s">
        <v>72</v>
      </c>
      <c r="O1094" s="637" t="s">
        <v>72</v>
      </c>
      <c r="P1094" s="637" t="s">
        <v>1156</v>
      </c>
      <c r="Q1094" s="638">
        <v>0</v>
      </c>
      <c r="R1094" s="638">
        <v>0</v>
      </c>
      <c r="S1094" s="638">
        <v>445737</v>
      </c>
      <c r="T1094" s="638">
        <v>445737</v>
      </c>
      <c r="U1094" s="638">
        <v>130638</v>
      </c>
      <c r="V1094" s="636">
        <v>2022</v>
      </c>
      <c r="W1094" s="640"/>
      <c r="X1094" s="641">
        <f t="shared" si="48"/>
        <v>3.4120011022826437</v>
      </c>
      <c r="Y1094" s="642" t="str">
        <f t="shared" si="49"/>
        <v/>
      </c>
      <c r="Z1094" s="642" t="str">
        <f t="shared" si="50"/>
        <v/>
      </c>
    </row>
    <row r="1095" spans="1:26" s="127" customFormat="1" ht="25">
      <c r="A1095" s="636">
        <v>56526</v>
      </c>
      <c r="B1095" s="637" t="s">
        <v>33</v>
      </c>
      <c r="C1095" s="636" t="s">
        <v>2725</v>
      </c>
      <c r="D1095" s="637" t="s">
        <v>1003</v>
      </c>
      <c r="E1095" s="637" t="s">
        <v>892</v>
      </c>
      <c r="F1095" s="636">
        <v>54842</v>
      </c>
      <c r="G1095" s="637" t="s">
        <v>57</v>
      </c>
      <c r="H1095" s="637" t="s">
        <v>1162</v>
      </c>
      <c r="I1095" s="637" t="s">
        <v>58</v>
      </c>
      <c r="J1095" s="636">
        <v>22</v>
      </c>
      <c r="K1095" s="636">
        <v>2</v>
      </c>
      <c r="L1095" s="637" t="s">
        <v>52</v>
      </c>
      <c r="M1095" s="637" t="s">
        <v>51</v>
      </c>
      <c r="N1095" s="637" t="s">
        <v>63</v>
      </c>
      <c r="O1095" s="637" t="s">
        <v>64</v>
      </c>
      <c r="P1095" s="637" t="s">
        <v>1020</v>
      </c>
      <c r="Q1095" s="638">
        <v>1088740</v>
      </c>
      <c r="R1095" s="638">
        <v>1088740</v>
      </c>
      <c r="S1095" s="638">
        <v>535660</v>
      </c>
      <c r="T1095" s="638">
        <v>535660</v>
      </c>
      <c r="U1095" s="638">
        <v>44807</v>
      </c>
      <c r="V1095" s="636">
        <v>2022</v>
      </c>
      <c r="W1095" s="640"/>
      <c r="X1095" s="641">
        <f t="shared" si="48"/>
        <v>11.954828486620395</v>
      </c>
      <c r="Y1095" s="642" t="str">
        <f t="shared" si="49"/>
        <v/>
      </c>
      <c r="Z1095" s="642" t="str">
        <f t="shared" si="50"/>
        <v/>
      </c>
    </row>
    <row r="1096" spans="1:26" s="127" customFormat="1" ht="25">
      <c r="A1096" s="636">
        <v>56527</v>
      </c>
      <c r="B1096" s="637" t="s">
        <v>33</v>
      </c>
      <c r="C1096" s="636" t="s">
        <v>2725</v>
      </c>
      <c r="D1096" s="637" t="s">
        <v>1004</v>
      </c>
      <c r="E1096" s="637" t="s">
        <v>892</v>
      </c>
      <c r="F1096" s="636">
        <v>54842</v>
      </c>
      <c r="G1096" s="637" t="s">
        <v>81</v>
      </c>
      <c r="H1096" s="637" t="s">
        <v>1163</v>
      </c>
      <c r="I1096" s="637" t="s">
        <v>58</v>
      </c>
      <c r="J1096" s="636">
        <v>22</v>
      </c>
      <c r="K1096" s="636">
        <v>2</v>
      </c>
      <c r="L1096" s="637" t="s">
        <v>52</v>
      </c>
      <c r="M1096" s="637" t="s">
        <v>51</v>
      </c>
      <c r="N1096" s="637" t="s">
        <v>63</v>
      </c>
      <c r="O1096" s="637" t="s">
        <v>64</v>
      </c>
      <c r="P1096" s="637" t="s">
        <v>1020</v>
      </c>
      <c r="Q1096" s="638">
        <v>785731</v>
      </c>
      <c r="R1096" s="638">
        <v>785731</v>
      </c>
      <c r="S1096" s="638">
        <v>386580</v>
      </c>
      <c r="T1096" s="638">
        <v>386580</v>
      </c>
      <c r="U1096" s="638">
        <v>34769</v>
      </c>
      <c r="V1096" s="636">
        <v>2022</v>
      </c>
      <c r="W1096" s="640"/>
      <c r="X1096" s="641">
        <f t="shared" ref="X1096:X1159" si="51">IF(OR(K1096&gt;3,T1096=0,NOT(U1096&gt;0)),"",T1096/U1096)</f>
        <v>11.118525122954356</v>
      </c>
      <c r="Y1096" s="642" t="str">
        <f t="shared" ref="Y1096:Y1159" si="52">IF(AND($M1096=$Y$2,$N1096=$Y$3,NOT($Q1096=$R1096),NOT($U1096=0)),IF($K1096=5,$S1096/($U1096+(8/5)*$U1096),IF($K1096=7,$S1096/($U1096+(29/25)*$U1096),"")),"")</f>
        <v/>
      </c>
      <c r="Z1096" s="642" t="str">
        <f t="shared" si="50"/>
        <v/>
      </c>
    </row>
    <row r="1097" spans="1:26" s="127" customFormat="1" ht="25">
      <c r="A1097" s="636">
        <v>56575</v>
      </c>
      <c r="B1097" s="637" t="s">
        <v>33</v>
      </c>
      <c r="C1097" s="636" t="s">
        <v>2725</v>
      </c>
      <c r="D1097" s="637" t="s">
        <v>1005</v>
      </c>
      <c r="E1097" s="637" t="s">
        <v>3035</v>
      </c>
      <c r="F1097" s="636">
        <v>59155</v>
      </c>
      <c r="G1097" s="637" t="s">
        <v>57</v>
      </c>
      <c r="H1097" s="637" t="s">
        <v>1162</v>
      </c>
      <c r="I1097" s="637" t="s">
        <v>58</v>
      </c>
      <c r="J1097" s="636">
        <v>22</v>
      </c>
      <c r="K1097" s="636">
        <v>2</v>
      </c>
      <c r="L1097" s="637" t="s">
        <v>52</v>
      </c>
      <c r="M1097" s="637" t="s">
        <v>71</v>
      </c>
      <c r="N1097" s="637" t="s">
        <v>72</v>
      </c>
      <c r="O1097" s="637" t="s">
        <v>72</v>
      </c>
      <c r="P1097" s="637" t="s">
        <v>1156</v>
      </c>
      <c r="Q1097" s="638">
        <v>0</v>
      </c>
      <c r="R1097" s="638">
        <v>0</v>
      </c>
      <c r="S1097" s="638">
        <v>151744</v>
      </c>
      <c r="T1097" s="638">
        <v>151744</v>
      </c>
      <c r="U1097" s="638">
        <v>44473</v>
      </c>
      <c r="V1097" s="636">
        <v>2022</v>
      </c>
      <c r="W1097" s="640"/>
      <c r="X1097" s="641">
        <f t="shared" si="51"/>
        <v>3.4120477593146403</v>
      </c>
      <c r="Y1097" s="642" t="str">
        <f t="shared" si="52"/>
        <v/>
      </c>
      <c r="Z1097" s="642" t="str">
        <f t="shared" si="50"/>
        <v/>
      </c>
    </row>
    <row r="1098" spans="1:26" s="127" customFormat="1" ht="25">
      <c r="A1098" s="636">
        <v>56594</v>
      </c>
      <c r="B1098" s="637" t="s">
        <v>33</v>
      </c>
      <c r="C1098" s="636" t="s">
        <v>2725</v>
      </c>
      <c r="D1098" s="637" t="s">
        <v>138</v>
      </c>
      <c r="E1098" s="637" t="s">
        <v>3617</v>
      </c>
      <c r="F1098" s="636">
        <v>56215</v>
      </c>
      <c r="G1098" s="637" t="s">
        <v>57</v>
      </c>
      <c r="H1098" s="637" t="s">
        <v>1162</v>
      </c>
      <c r="I1098" s="637" t="s">
        <v>58</v>
      </c>
      <c r="J1098" s="636">
        <v>22</v>
      </c>
      <c r="K1098" s="636">
        <v>2</v>
      </c>
      <c r="L1098" s="637" t="s">
        <v>52</v>
      </c>
      <c r="M1098" s="637" t="s">
        <v>71</v>
      </c>
      <c r="N1098" s="637" t="s">
        <v>72</v>
      </c>
      <c r="O1098" s="637" t="s">
        <v>72</v>
      </c>
      <c r="P1098" s="637" t="s">
        <v>1156</v>
      </c>
      <c r="Q1098" s="638">
        <v>0</v>
      </c>
      <c r="R1098" s="638">
        <v>0</v>
      </c>
      <c r="S1098" s="638">
        <v>310918</v>
      </c>
      <c r="T1098" s="638">
        <v>310918</v>
      </c>
      <c r="U1098" s="638">
        <v>91125</v>
      </c>
      <c r="V1098" s="636">
        <v>2022</v>
      </c>
      <c r="W1098" s="640"/>
      <c r="X1098" s="641">
        <f t="shared" si="51"/>
        <v>3.4119945130315501</v>
      </c>
      <c r="Y1098" s="642" t="str">
        <f t="shared" si="52"/>
        <v/>
      </c>
      <c r="Z1098" s="642" t="str">
        <f t="shared" si="50"/>
        <v/>
      </c>
    </row>
    <row r="1099" spans="1:26" s="127" customFormat="1" ht="25">
      <c r="A1099" s="636">
        <v>56618</v>
      </c>
      <c r="B1099" s="637" t="s">
        <v>33</v>
      </c>
      <c r="C1099" s="636" t="s">
        <v>2725</v>
      </c>
      <c r="D1099" s="637" t="s">
        <v>3036</v>
      </c>
      <c r="E1099" s="637" t="s">
        <v>3037</v>
      </c>
      <c r="F1099" s="636">
        <v>63858</v>
      </c>
      <c r="G1099" s="637" t="s">
        <v>57</v>
      </c>
      <c r="H1099" s="637" t="s">
        <v>1162</v>
      </c>
      <c r="I1099" s="637" t="s">
        <v>58</v>
      </c>
      <c r="J1099" s="636">
        <v>22</v>
      </c>
      <c r="K1099" s="636">
        <v>2</v>
      </c>
      <c r="L1099" s="637" t="s">
        <v>52</v>
      </c>
      <c r="M1099" s="637" t="s">
        <v>71</v>
      </c>
      <c r="N1099" s="637" t="s">
        <v>72</v>
      </c>
      <c r="O1099" s="637" t="s">
        <v>72</v>
      </c>
      <c r="P1099" s="637" t="s">
        <v>1156</v>
      </c>
      <c r="Q1099" s="638">
        <v>0</v>
      </c>
      <c r="R1099" s="638">
        <v>0</v>
      </c>
      <c r="S1099" s="638">
        <v>368063</v>
      </c>
      <c r="T1099" s="638">
        <v>368063</v>
      </c>
      <c r="U1099" s="638">
        <v>107873</v>
      </c>
      <c r="V1099" s="636">
        <v>2022</v>
      </c>
      <c r="W1099" s="640"/>
      <c r="X1099" s="641">
        <f t="shared" si="51"/>
        <v>3.4120030035319311</v>
      </c>
      <c r="Y1099" s="642" t="str">
        <f t="shared" si="52"/>
        <v/>
      </c>
      <c r="Z1099" s="642" t="str">
        <f t="shared" si="50"/>
        <v/>
      </c>
    </row>
    <row r="1100" spans="1:26" s="127" customFormat="1" ht="25">
      <c r="A1100" s="636">
        <v>56619</v>
      </c>
      <c r="B1100" s="637" t="s">
        <v>33</v>
      </c>
      <c r="C1100" s="636" t="s">
        <v>2725</v>
      </c>
      <c r="D1100" s="637" t="s">
        <v>3038</v>
      </c>
      <c r="E1100" s="637" t="s">
        <v>3037</v>
      </c>
      <c r="F1100" s="636">
        <v>63858</v>
      </c>
      <c r="G1100" s="637" t="s">
        <v>57</v>
      </c>
      <c r="H1100" s="637" t="s">
        <v>1162</v>
      </c>
      <c r="I1100" s="637" t="s">
        <v>58</v>
      </c>
      <c r="J1100" s="636">
        <v>22</v>
      </c>
      <c r="K1100" s="636">
        <v>2</v>
      </c>
      <c r="L1100" s="637" t="s">
        <v>52</v>
      </c>
      <c r="M1100" s="637" t="s">
        <v>71</v>
      </c>
      <c r="N1100" s="637" t="s">
        <v>72</v>
      </c>
      <c r="O1100" s="637" t="s">
        <v>72</v>
      </c>
      <c r="P1100" s="637" t="s">
        <v>1156</v>
      </c>
      <c r="Q1100" s="638">
        <v>0</v>
      </c>
      <c r="R1100" s="638">
        <v>0</v>
      </c>
      <c r="S1100" s="638">
        <v>413152</v>
      </c>
      <c r="T1100" s="638">
        <v>413152</v>
      </c>
      <c r="U1100" s="638">
        <v>121088</v>
      </c>
      <c r="V1100" s="636">
        <v>2022</v>
      </c>
      <c r="W1100" s="640"/>
      <c r="X1100" s="641">
        <f t="shared" si="51"/>
        <v>3.411997885835095</v>
      </c>
      <c r="Y1100" s="642" t="str">
        <f t="shared" si="52"/>
        <v/>
      </c>
      <c r="Z1100" s="642" t="str">
        <f t="shared" si="50"/>
        <v/>
      </c>
    </row>
    <row r="1101" spans="1:26" s="127" customFormat="1" ht="25">
      <c r="A1101" s="636">
        <v>56620</v>
      </c>
      <c r="B1101" s="637" t="s">
        <v>33</v>
      </c>
      <c r="C1101" s="636" t="s">
        <v>2725</v>
      </c>
      <c r="D1101" s="637" t="s">
        <v>3039</v>
      </c>
      <c r="E1101" s="637" t="s">
        <v>3037</v>
      </c>
      <c r="F1101" s="636">
        <v>63858</v>
      </c>
      <c r="G1101" s="637" t="s">
        <v>57</v>
      </c>
      <c r="H1101" s="637" t="s">
        <v>1162</v>
      </c>
      <c r="I1101" s="637" t="s">
        <v>58</v>
      </c>
      <c r="J1101" s="636">
        <v>22</v>
      </c>
      <c r="K1101" s="636">
        <v>2</v>
      </c>
      <c r="L1101" s="637" t="s">
        <v>52</v>
      </c>
      <c r="M1101" s="637" t="s">
        <v>71</v>
      </c>
      <c r="N1101" s="637" t="s">
        <v>72</v>
      </c>
      <c r="O1101" s="637" t="s">
        <v>72</v>
      </c>
      <c r="P1101" s="637" t="s">
        <v>1156</v>
      </c>
      <c r="Q1101" s="638">
        <v>0</v>
      </c>
      <c r="R1101" s="638">
        <v>0</v>
      </c>
      <c r="S1101" s="638">
        <v>443672</v>
      </c>
      <c r="T1101" s="638">
        <v>443672</v>
      </c>
      <c r="U1101" s="638">
        <v>130032</v>
      </c>
      <c r="V1101" s="636">
        <v>2022</v>
      </c>
      <c r="W1101" s="640"/>
      <c r="X1101" s="641">
        <f t="shared" si="51"/>
        <v>3.4120216562077026</v>
      </c>
      <c r="Y1101" s="642" t="str">
        <f t="shared" si="52"/>
        <v/>
      </c>
      <c r="Z1101" s="642" t="str">
        <f t="shared" si="50"/>
        <v/>
      </c>
    </row>
    <row r="1102" spans="1:26" s="127" customFormat="1" ht="25">
      <c r="A1102" s="636">
        <v>56629</v>
      </c>
      <c r="B1102" s="637" t="s">
        <v>33</v>
      </c>
      <c r="C1102" s="636" t="s">
        <v>2725</v>
      </c>
      <c r="D1102" s="637" t="s">
        <v>454</v>
      </c>
      <c r="E1102" s="637" t="s">
        <v>2088</v>
      </c>
      <c r="F1102" s="636">
        <v>56201</v>
      </c>
      <c r="G1102" s="637" t="s">
        <v>41</v>
      </c>
      <c r="H1102" s="637" t="s">
        <v>1163</v>
      </c>
      <c r="I1102" s="637" t="s">
        <v>58</v>
      </c>
      <c r="J1102" s="636">
        <v>22</v>
      </c>
      <c r="K1102" s="636">
        <v>2</v>
      </c>
      <c r="L1102" s="637" t="s">
        <v>52</v>
      </c>
      <c r="M1102" s="637" t="s">
        <v>50</v>
      </c>
      <c r="N1102" s="637" t="s">
        <v>46</v>
      </c>
      <c r="O1102" s="637" t="s">
        <v>46</v>
      </c>
      <c r="P1102" s="637" t="s">
        <v>47</v>
      </c>
      <c r="Q1102" s="638">
        <v>0</v>
      </c>
      <c r="R1102" s="638">
        <v>0</v>
      </c>
      <c r="S1102" s="638">
        <v>0</v>
      </c>
      <c r="T1102" s="638">
        <v>0</v>
      </c>
      <c r="U1102" s="638">
        <v>0</v>
      </c>
      <c r="V1102" s="636">
        <v>2022</v>
      </c>
      <c r="W1102" s="640" t="s">
        <v>3934</v>
      </c>
      <c r="X1102" s="641" t="str">
        <f t="shared" si="51"/>
        <v/>
      </c>
      <c r="Y1102" s="642" t="str">
        <f t="shared" si="52"/>
        <v/>
      </c>
      <c r="Z1102" s="642" t="str">
        <f t="shared" si="50"/>
        <v/>
      </c>
    </row>
    <row r="1103" spans="1:26" s="127" customFormat="1" ht="25">
      <c r="A1103" s="636">
        <v>56629</v>
      </c>
      <c r="B1103" s="637" t="s">
        <v>33</v>
      </c>
      <c r="C1103" s="636" t="s">
        <v>2725</v>
      </c>
      <c r="D1103" s="637" t="s">
        <v>454</v>
      </c>
      <c r="E1103" s="637" t="s">
        <v>2088</v>
      </c>
      <c r="F1103" s="636">
        <v>56201</v>
      </c>
      <c r="G1103" s="637" t="s">
        <v>41</v>
      </c>
      <c r="H1103" s="637" t="s">
        <v>1163</v>
      </c>
      <c r="I1103" s="637" t="s">
        <v>58</v>
      </c>
      <c r="J1103" s="636">
        <v>22</v>
      </c>
      <c r="K1103" s="636">
        <v>2</v>
      </c>
      <c r="L1103" s="637" t="s">
        <v>52</v>
      </c>
      <c r="M1103" s="637" t="s">
        <v>50</v>
      </c>
      <c r="N1103" s="637" t="s">
        <v>76</v>
      </c>
      <c r="O1103" s="637" t="s">
        <v>67</v>
      </c>
      <c r="P1103" s="637" t="s">
        <v>47</v>
      </c>
      <c r="Q1103" s="638">
        <v>217</v>
      </c>
      <c r="R1103" s="638">
        <v>217</v>
      </c>
      <c r="S1103" s="638">
        <v>1237</v>
      </c>
      <c r="T1103" s="638">
        <v>1237</v>
      </c>
      <c r="U1103" s="638">
        <v>122.117</v>
      </c>
      <c r="V1103" s="636">
        <v>2022</v>
      </c>
      <c r="W1103" s="640" t="s">
        <v>3934</v>
      </c>
      <c r="X1103" s="641">
        <f t="shared" si="51"/>
        <v>10.129629781275334</v>
      </c>
      <c r="Y1103" s="642" t="str">
        <f t="shared" si="52"/>
        <v/>
      </c>
      <c r="Z1103" s="642" t="str">
        <f t="shared" si="50"/>
        <v/>
      </c>
    </row>
    <row r="1104" spans="1:26" s="127" customFormat="1" ht="25">
      <c r="A1104" s="636">
        <v>56629</v>
      </c>
      <c r="B1104" s="637" t="s">
        <v>33</v>
      </c>
      <c r="C1104" s="636" t="s">
        <v>2725</v>
      </c>
      <c r="D1104" s="637" t="s">
        <v>454</v>
      </c>
      <c r="E1104" s="637" t="s">
        <v>2088</v>
      </c>
      <c r="F1104" s="636">
        <v>56201</v>
      </c>
      <c r="G1104" s="637" t="s">
        <v>41</v>
      </c>
      <c r="H1104" s="637" t="s">
        <v>1163</v>
      </c>
      <c r="I1104" s="637" t="s">
        <v>58</v>
      </c>
      <c r="J1104" s="636">
        <v>22</v>
      </c>
      <c r="K1104" s="636">
        <v>2</v>
      </c>
      <c r="L1104" s="637" t="s">
        <v>52</v>
      </c>
      <c r="M1104" s="637" t="s">
        <v>50</v>
      </c>
      <c r="N1104" s="637" t="s">
        <v>39</v>
      </c>
      <c r="O1104" s="637" t="s">
        <v>39</v>
      </c>
      <c r="P1104" s="637" t="s">
        <v>1020</v>
      </c>
      <c r="Q1104" s="638">
        <v>422290</v>
      </c>
      <c r="R1104" s="638">
        <v>422290</v>
      </c>
      <c r="S1104" s="638">
        <v>434958</v>
      </c>
      <c r="T1104" s="638">
        <v>434958</v>
      </c>
      <c r="U1104" s="638">
        <v>42942.883000000002</v>
      </c>
      <c r="V1104" s="636">
        <v>2022</v>
      </c>
      <c r="W1104" s="640" t="s">
        <v>3934</v>
      </c>
      <c r="X1104" s="641">
        <f t="shared" si="51"/>
        <v>10.128756376231189</v>
      </c>
      <c r="Y1104" s="642" t="str">
        <f t="shared" si="52"/>
        <v/>
      </c>
      <c r="Z1104" s="642" t="str">
        <f t="shared" ref="Z1104:Z1167" si="53">IF(AND($M1104=$Y$2,$N1104=$Y$4,NOT($Q1104=$R1104),NOT($U1104=0)),IF($K1104=5,$S1104/($U1104+(8/5)*$U1104),IF($K1104=7,$S1104/($U1104+(29/25)*$U1104),"")),"")</f>
        <v/>
      </c>
    </row>
    <row r="1105" spans="1:26" s="127" customFormat="1" ht="25">
      <c r="A1105" s="636">
        <v>56633</v>
      </c>
      <c r="B1105" s="637" t="s">
        <v>33</v>
      </c>
      <c r="C1105" s="636" t="s">
        <v>2725</v>
      </c>
      <c r="D1105" s="637" t="s">
        <v>1048</v>
      </c>
      <c r="E1105" s="637" t="s">
        <v>3035</v>
      </c>
      <c r="F1105" s="636">
        <v>59155</v>
      </c>
      <c r="G1105" s="637" t="s">
        <v>57</v>
      </c>
      <c r="H1105" s="637" t="s">
        <v>1162</v>
      </c>
      <c r="I1105" s="637" t="s">
        <v>58</v>
      </c>
      <c r="J1105" s="636">
        <v>22</v>
      </c>
      <c r="K1105" s="636">
        <v>2</v>
      </c>
      <c r="L1105" s="637" t="s">
        <v>52</v>
      </c>
      <c r="M1105" s="637" t="s">
        <v>71</v>
      </c>
      <c r="N1105" s="637" t="s">
        <v>72</v>
      </c>
      <c r="O1105" s="637" t="s">
        <v>72</v>
      </c>
      <c r="P1105" s="637" t="s">
        <v>1156</v>
      </c>
      <c r="Q1105" s="638">
        <v>0</v>
      </c>
      <c r="R1105" s="638">
        <v>0</v>
      </c>
      <c r="S1105" s="638">
        <v>313231</v>
      </c>
      <c r="T1105" s="638">
        <v>313231</v>
      </c>
      <c r="U1105" s="638">
        <v>91803</v>
      </c>
      <c r="V1105" s="636">
        <v>2022</v>
      </c>
      <c r="W1105" s="640"/>
      <c r="X1105" s="641">
        <f t="shared" si="51"/>
        <v>3.4119908935437842</v>
      </c>
      <c r="Y1105" s="642" t="str">
        <f t="shared" si="52"/>
        <v/>
      </c>
      <c r="Z1105" s="642" t="str">
        <f t="shared" si="53"/>
        <v/>
      </c>
    </row>
    <row r="1106" spans="1:26" s="127" customFormat="1" ht="25">
      <c r="A1106" s="636">
        <v>56634</v>
      </c>
      <c r="B1106" s="637" t="s">
        <v>33</v>
      </c>
      <c r="C1106" s="636" t="s">
        <v>2725</v>
      </c>
      <c r="D1106" s="637" t="s">
        <v>1049</v>
      </c>
      <c r="E1106" s="637" t="s">
        <v>3035</v>
      </c>
      <c r="F1106" s="636">
        <v>59155</v>
      </c>
      <c r="G1106" s="637" t="s">
        <v>57</v>
      </c>
      <c r="H1106" s="637" t="s">
        <v>1162</v>
      </c>
      <c r="I1106" s="637" t="s">
        <v>58</v>
      </c>
      <c r="J1106" s="636">
        <v>22</v>
      </c>
      <c r="K1106" s="636">
        <v>2</v>
      </c>
      <c r="L1106" s="637" t="s">
        <v>52</v>
      </c>
      <c r="M1106" s="637" t="s">
        <v>71</v>
      </c>
      <c r="N1106" s="637" t="s">
        <v>72</v>
      </c>
      <c r="O1106" s="637" t="s">
        <v>72</v>
      </c>
      <c r="P1106" s="637" t="s">
        <v>1156</v>
      </c>
      <c r="Q1106" s="638">
        <v>0</v>
      </c>
      <c r="R1106" s="638">
        <v>0</v>
      </c>
      <c r="S1106" s="638">
        <v>730876</v>
      </c>
      <c r="T1106" s="638">
        <v>730876</v>
      </c>
      <c r="U1106" s="638">
        <v>214207</v>
      </c>
      <c r="V1106" s="636">
        <v>2022</v>
      </c>
      <c r="W1106" s="640"/>
      <c r="X1106" s="641">
        <f t="shared" si="51"/>
        <v>3.4120080109426865</v>
      </c>
      <c r="Y1106" s="642" t="str">
        <f t="shared" si="52"/>
        <v/>
      </c>
      <c r="Z1106" s="642" t="str">
        <f t="shared" si="53"/>
        <v/>
      </c>
    </row>
    <row r="1107" spans="1:26" s="127" customFormat="1" ht="25">
      <c r="A1107" s="636">
        <v>56703</v>
      </c>
      <c r="B1107" s="637" t="s">
        <v>33</v>
      </c>
      <c r="C1107" s="636" t="s">
        <v>2725</v>
      </c>
      <c r="D1107" s="637" t="s">
        <v>1050</v>
      </c>
      <c r="E1107" s="637" t="s">
        <v>1006</v>
      </c>
      <c r="F1107" s="636">
        <v>55941</v>
      </c>
      <c r="G1107" s="637" t="s">
        <v>57</v>
      </c>
      <c r="H1107" s="637" t="s">
        <v>1162</v>
      </c>
      <c r="I1107" s="637" t="s">
        <v>58</v>
      </c>
      <c r="J1107" s="636">
        <v>22</v>
      </c>
      <c r="K1107" s="636">
        <v>2</v>
      </c>
      <c r="L1107" s="637" t="s">
        <v>52</v>
      </c>
      <c r="M1107" s="637" t="s">
        <v>35</v>
      </c>
      <c r="N1107" s="637" t="s">
        <v>36</v>
      </c>
      <c r="O1107" s="637" t="s">
        <v>37</v>
      </c>
      <c r="P1107" s="637" t="s">
        <v>1156</v>
      </c>
      <c r="Q1107" s="638">
        <v>0</v>
      </c>
      <c r="R1107" s="638">
        <v>0</v>
      </c>
      <c r="S1107" s="638">
        <v>74932</v>
      </c>
      <c r="T1107" s="638">
        <v>74932</v>
      </c>
      <c r="U1107" s="638">
        <v>21961</v>
      </c>
      <c r="V1107" s="636">
        <v>2022</v>
      </c>
      <c r="W1107" s="640"/>
      <c r="X1107" s="641">
        <f t="shared" si="51"/>
        <v>3.4120486316652245</v>
      </c>
      <c r="Y1107" s="642" t="str">
        <f t="shared" si="52"/>
        <v/>
      </c>
      <c r="Z1107" s="642" t="str">
        <f t="shared" si="53"/>
        <v/>
      </c>
    </row>
    <row r="1108" spans="1:26" s="127" customFormat="1" ht="25">
      <c r="A1108" s="636">
        <v>56704</v>
      </c>
      <c r="B1108" s="637" t="s">
        <v>33</v>
      </c>
      <c r="C1108" s="636" t="s">
        <v>2725</v>
      </c>
      <c r="D1108" s="637" t="s">
        <v>1007</v>
      </c>
      <c r="E1108" s="637" t="s">
        <v>1006</v>
      </c>
      <c r="F1108" s="636">
        <v>55941</v>
      </c>
      <c r="G1108" s="637" t="s">
        <v>57</v>
      </c>
      <c r="H1108" s="637" t="s">
        <v>1162</v>
      </c>
      <c r="I1108" s="637" t="s">
        <v>58</v>
      </c>
      <c r="J1108" s="636">
        <v>22</v>
      </c>
      <c r="K1108" s="636">
        <v>2</v>
      </c>
      <c r="L1108" s="637" t="s">
        <v>52</v>
      </c>
      <c r="M1108" s="637" t="s">
        <v>35</v>
      </c>
      <c r="N1108" s="637" t="s">
        <v>36</v>
      </c>
      <c r="O1108" s="637" t="s">
        <v>37</v>
      </c>
      <c r="P1108" s="637" t="s">
        <v>1156</v>
      </c>
      <c r="Q1108" s="638">
        <v>0</v>
      </c>
      <c r="R1108" s="638">
        <v>0</v>
      </c>
      <c r="S1108" s="638">
        <v>15364</v>
      </c>
      <c r="T1108" s="638">
        <v>15364</v>
      </c>
      <c r="U1108" s="638">
        <v>4503</v>
      </c>
      <c r="V1108" s="636">
        <v>2022</v>
      </c>
      <c r="W1108" s="640"/>
      <c r="X1108" s="641">
        <f t="shared" si="51"/>
        <v>3.4119475904952252</v>
      </c>
      <c r="Y1108" s="642" t="str">
        <f t="shared" si="52"/>
        <v/>
      </c>
      <c r="Z1108" s="642" t="str">
        <f t="shared" si="53"/>
        <v/>
      </c>
    </row>
    <row r="1109" spans="1:26" s="127" customFormat="1" ht="25">
      <c r="A1109" s="636">
        <v>56705</v>
      </c>
      <c r="B1109" s="637" t="s">
        <v>33</v>
      </c>
      <c r="C1109" s="636" t="s">
        <v>2725</v>
      </c>
      <c r="D1109" s="637" t="s">
        <v>1008</v>
      </c>
      <c r="E1109" s="637" t="s">
        <v>1006</v>
      </c>
      <c r="F1109" s="636">
        <v>55941</v>
      </c>
      <c r="G1109" s="637" t="s">
        <v>57</v>
      </c>
      <c r="H1109" s="637" t="s">
        <v>1162</v>
      </c>
      <c r="I1109" s="637" t="s">
        <v>58</v>
      </c>
      <c r="J1109" s="636">
        <v>22</v>
      </c>
      <c r="K1109" s="636">
        <v>2</v>
      </c>
      <c r="L1109" s="637" t="s">
        <v>52</v>
      </c>
      <c r="M1109" s="637" t="s">
        <v>35</v>
      </c>
      <c r="N1109" s="637" t="s">
        <v>36</v>
      </c>
      <c r="O1109" s="637" t="s">
        <v>37</v>
      </c>
      <c r="P1109" s="637" t="s">
        <v>1156</v>
      </c>
      <c r="Q1109" s="638">
        <v>0</v>
      </c>
      <c r="R1109" s="638">
        <v>0</v>
      </c>
      <c r="S1109" s="638">
        <v>2611</v>
      </c>
      <c r="T1109" s="638">
        <v>2611</v>
      </c>
      <c r="U1109" s="638">
        <v>765</v>
      </c>
      <c r="V1109" s="636">
        <v>2022</v>
      </c>
      <c r="W1109" s="640"/>
      <c r="X1109" s="641">
        <f t="shared" si="51"/>
        <v>3.4130718954248365</v>
      </c>
      <c r="Y1109" s="642" t="str">
        <f t="shared" si="52"/>
        <v/>
      </c>
      <c r="Z1109" s="642" t="str">
        <f t="shared" si="53"/>
        <v/>
      </c>
    </row>
    <row r="1110" spans="1:26" s="127" customFormat="1" ht="25">
      <c r="A1110" s="636">
        <v>56798</v>
      </c>
      <c r="B1110" s="637" t="s">
        <v>33</v>
      </c>
      <c r="C1110" s="636" t="s">
        <v>2725</v>
      </c>
      <c r="D1110" s="637" t="s">
        <v>1074</v>
      </c>
      <c r="E1110" s="637" t="s">
        <v>1102</v>
      </c>
      <c r="F1110" s="636">
        <v>55993</v>
      </c>
      <c r="G1110" s="637" t="s">
        <v>41</v>
      </c>
      <c r="H1110" s="637" t="s">
        <v>1163</v>
      </c>
      <c r="I1110" s="637" t="s">
        <v>58</v>
      </c>
      <c r="J1110" s="636">
        <v>22</v>
      </c>
      <c r="K1110" s="636">
        <v>2</v>
      </c>
      <c r="L1110" s="637" t="s">
        <v>52</v>
      </c>
      <c r="M1110" s="637" t="s">
        <v>38</v>
      </c>
      <c r="N1110" s="637" t="s">
        <v>46</v>
      </c>
      <c r="O1110" s="637" t="s">
        <v>46</v>
      </c>
      <c r="P1110" s="637" t="s">
        <v>47</v>
      </c>
      <c r="Q1110" s="638">
        <v>0</v>
      </c>
      <c r="R1110" s="638">
        <v>0</v>
      </c>
      <c r="S1110" s="638">
        <v>0</v>
      </c>
      <c r="T1110" s="638">
        <v>0</v>
      </c>
      <c r="U1110" s="638">
        <v>6207.3680000000004</v>
      </c>
      <c r="V1110" s="636">
        <v>2022</v>
      </c>
      <c r="W1110" s="640" t="s">
        <v>3934</v>
      </c>
      <c r="X1110" s="641" t="str">
        <f t="shared" si="51"/>
        <v/>
      </c>
      <c r="Y1110" s="642" t="str">
        <f t="shared" si="52"/>
        <v/>
      </c>
      <c r="Z1110" s="642" t="str">
        <f t="shared" si="53"/>
        <v/>
      </c>
    </row>
    <row r="1111" spans="1:26" s="127" customFormat="1" ht="25">
      <c r="A1111" s="636">
        <v>56798</v>
      </c>
      <c r="B1111" s="637" t="s">
        <v>33</v>
      </c>
      <c r="C1111" s="636" t="s">
        <v>2725</v>
      </c>
      <c r="D1111" s="637" t="s">
        <v>1074</v>
      </c>
      <c r="E1111" s="637" t="s">
        <v>1102</v>
      </c>
      <c r="F1111" s="636">
        <v>55993</v>
      </c>
      <c r="G1111" s="637" t="s">
        <v>41</v>
      </c>
      <c r="H1111" s="637" t="s">
        <v>1163</v>
      </c>
      <c r="I1111" s="637" t="s">
        <v>58</v>
      </c>
      <c r="J1111" s="636">
        <v>22</v>
      </c>
      <c r="K1111" s="636">
        <v>2</v>
      </c>
      <c r="L1111" s="637" t="s">
        <v>52</v>
      </c>
      <c r="M1111" s="637" t="s">
        <v>38</v>
      </c>
      <c r="N1111" s="637" t="s">
        <v>39</v>
      </c>
      <c r="O1111" s="637" t="s">
        <v>39</v>
      </c>
      <c r="P1111" s="637" t="s">
        <v>1020</v>
      </c>
      <c r="Q1111" s="638">
        <v>593258</v>
      </c>
      <c r="R1111" s="638">
        <v>593258</v>
      </c>
      <c r="S1111" s="638">
        <v>609004</v>
      </c>
      <c r="T1111" s="638">
        <v>609004</v>
      </c>
      <c r="U1111" s="638">
        <v>924943.63</v>
      </c>
      <c r="V1111" s="636">
        <v>2022</v>
      </c>
      <c r="W1111" s="640" t="s">
        <v>3934</v>
      </c>
      <c r="X1111" s="641">
        <f t="shared" si="51"/>
        <v>0.65842282734570534</v>
      </c>
      <c r="Y1111" s="642" t="str">
        <f t="shared" si="52"/>
        <v/>
      </c>
      <c r="Z1111" s="642" t="str">
        <f t="shared" si="53"/>
        <v/>
      </c>
    </row>
    <row r="1112" spans="1:26" s="127" customFormat="1" ht="25">
      <c r="A1112" s="636">
        <v>56798</v>
      </c>
      <c r="B1112" s="637" t="s">
        <v>33</v>
      </c>
      <c r="C1112" s="636" t="s">
        <v>2725</v>
      </c>
      <c r="D1112" s="637" t="s">
        <v>1074</v>
      </c>
      <c r="E1112" s="637" t="s">
        <v>1102</v>
      </c>
      <c r="F1112" s="636">
        <v>55993</v>
      </c>
      <c r="G1112" s="637" t="s">
        <v>41</v>
      </c>
      <c r="H1112" s="637" t="s">
        <v>1163</v>
      </c>
      <c r="I1112" s="637" t="s">
        <v>58</v>
      </c>
      <c r="J1112" s="636">
        <v>22</v>
      </c>
      <c r="K1112" s="636">
        <v>2</v>
      </c>
      <c r="L1112" s="637" t="s">
        <v>52</v>
      </c>
      <c r="M1112" s="637" t="s">
        <v>41</v>
      </c>
      <c r="N1112" s="637" t="s">
        <v>46</v>
      </c>
      <c r="O1112" s="637" t="s">
        <v>46</v>
      </c>
      <c r="P1112" s="637" t="s">
        <v>47</v>
      </c>
      <c r="Q1112" s="638">
        <v>21997</v>
      </c>
      <c r="R1112" s="638">
        <v>21997</v>
      </c>
      <c r="S1112" s="638">
        <v>128418</v>
      </c>
      <c r="T1112" s="638">
        <v>128418</v>
      </c>
      <c r="U1112" s="638">
        <v>11439.194</v>
      </c>
      <c r="V1112" s="636">
        <v>2022</v>
      </c>
      <c r="W1112" s="640" t="s">
        <v>3934</v>
      </c>
      <c r="X1112" s="641">
        <f t="shared" si="51"/>
        <v>11.226140582981634</v>
      </c>
      <c r="Y1112" s="642" t="str">
        <f t="shared" si="52"/>
        <v/>
      </c>
      <c r="Z1112" s="642" t="str">
        <f t="shared" si="53"/>
        <v/>
      </c>
    </row>
    <row r="1113" spans="1:26" s="127" customFormat="1" ht="25">
      <c r="A1113" s="636">
        <v>56798</v>
      </c>
      <c r="B1113" s="637" t="s">
        <v>33</v>
      </c>
      <c r="C1113" s="636" t="s">
        <v>2725</v>
      </c>
      <c r="D1113" s="637" t="s">
        <v>1074</v>
      </c>
      <c r="E1113" s="637" t="s">
        <v>1102</v>
      </c>
      <c r="F1113" s="636">
        <v>55993</v>
      </c>
      <c r="G1113" s="637" t="s">
        <v>41</v>
      </c>
      <c r="H1113" s="637" t="s">
        <v>1163</v>
      </c>
      <c r="I1113" s="637" t="s">
        <v>58</v>
      </c>
      <c r="J1113" s="636">
        <v>22</v>
      </c>
      <c r="K1113" s="636">
        <v>2</v>
      </c>
      <c r="L1113" s="637" t="s">
        <v>52</v>
      </c>
      <c r="M1113" s="637" t="s">
        <v>41</v>
      </c>
      <c r="N1113" s="637" t="s">
        <v>39</v>
      </c>
      <c r="O1113" s="637" t="s">
        <v>39</v>
      </c>
      <c r="P1113" s="637" t="s">
        <v>1020</v>
      </c>
      <c r="Q1113" s="638">
        <v>16091176</v>
      </c>
      <c r="R1113" s="638">
        <v>16091176</v>
      </c>
      <c r="S1113" s="638">
        <v>16521167</v>
      </c>
      <c r="T1113" s="638">
        <v>16521167</v>
      </c>
      <c r="U1113" s="638">
        <v>1473637.8</v>
      </c>
      <c r="V1113" s="636">
        <v>2022</v>
      </c>
      <c r="W1113" s="640" t="s">
        <v>3934</v>
      </c>
      <c r="X1113" s="641">
        <f t="shared" si="51"/>
        <v>11.211144963843896</v>
      </c>
      <c r="Y1113" s="642" t="str">
        <f t="shared" si="52"/>
        <v/>
      </c>
      <c r="Z1113" s="642" t="str">
        <f t="shared" si="53"/>
        <v/>
      </c>
    </row>
    <row r="1114" spans="1:26" s="127" customFormat="1" ht="25">
      <c r="A1114" s="636">
        <v>56800</v>
      </c>
      <c r="B1114" s="637" t="s">
        <v>33</v>
      </c>
      <c r="C1114" s="636" t="s">
        <v>2725</v>
      </c>
      <c r="D1114" s="637" t="s">
        <v>1009</v>
      </c>
      <c r="E1114" s="637" t="s">
        <v>1010</v>
      </c>
      <c r="F1114" s="636">
        <v>8797</v>
      </c>
      <c r="G1114" s="637" t="s">
        <v>81</v>
      </c>
      <c r="H1114" s="637" t="s">
        <v>1163</v>
      </c>
      <c r="I1114" s="637" t="s">
        <v>58</v>
      </c>
      <c r="J1114" s="636">
        <v>22</v>
      </c>
      <c r="K1114" s="636">
        <v>1</v>
      </c>
      <c r="L1114" s="637" t="s">
        <v>34</v>
      </c>
      <c r="M1114" s="637" t="s">
        <v>71</v>
      </c>
      <c r="N1114" s="637" t="s">
        <v>72</v>
      </c>
      <c r="O1114" s="637" t="s">
        <v>72</v>
      </c>
      <c r="P1114" s="637" t="s">
        <v>1156</v>
      </c>
      <c r="Q1114" s="638">
        <v>0</v>
      </c>
      <c r="R1114" s="638">
        <v>0</v>
      </c>
      <c r="S1114" s="638">
        <v>7790</v>
      </c>
      <c r="T1114" s="638">
        <v>7790</v>
      </c>
      <c r="U1114" s="638">
        <v>2283</v>
      </c>
      <c r="V1114" s="636">
        <v>2022</v>
      </c>
      <c r="W1114" s="640"/>
      <c r="X1114" s="641">
        <f t="shared" si="51"/>
        <v>3.4121769601401666</v>
      </c>
      <c r="Y1114" s="642" t="str">
        <f t="shared" si="52"/>
        <v/>
      </c>
      <c r="Z1114" s="642" t="str">
        <f t="shared" si="53"/>
        <v/>
      </c>
    </row>
    <row r="1115" spans="1:26" s="127" customFormat="1" ht="25">
      <c r="A1115" s="636">
        <v>56829</v>
      </c>
      <c r="B1115" s="637" t="s">
        <v>33</v>
      </c>
      <c r="C1115" s="636" t="s">
        <v>2725</v>
      </c>
      <c r="D1115" s="637" t="s">
        <v>2089</v>
      </c>
      <c r="E1115" s="637" t="s">
        <v>2090</v>
      </c>
      <c r="F1115" s="636">
        <v>61191</v>
      </c>
      <c r="G1115" s="637" t="s">
        <v>90</v>
      </c>
      <c r="H1115" s="637" t="s">
        <v>1163</v>
      </c>
      <c r="I1115" s="637" t="s">
        <v>58</v>
      </c>
      <c r="J1115" s="636">
        <v>22</v>
      </c>
      <c r="K1115" s="636">
        <v>2</v>
      </c>
      <c r="L1115" s="637" t="s">
        <v>52</v>
      </c>
      <c r="M1115" s="637" t="s">
        <v>71</v>
      </c>
      <c r="N1115" s="637" t="s">
        <v>72</v>
      </c>
      <c r="O1115" s="637" t="s">
        <v>72</v>
      </c>
      <c r="P1115" s="637" t="s">
        <v>1156</v>
      </c>
      <c r="Q1115" s="638">
        <v>0</v>
      </c>
      <c r="R1115" s="638">
        <v>0</v>
      </c>
      <c r="S1115" s="638">
        <v>1087079</v>
      </c>
      <c r="T1115" s="638">
        <v>1087079</v>
      </c>
      <c r="U1115" s="638">
        <v>318605</v>
      </c>
      <c r="V1115" s="636">
        <v>2022</v>
      </c>
      <c r="W1115" s="640"/>
      <c r="X1115" s="641">
        <f t="shared" si="51"/>
        <v>3.4119960452598046</v>
      </c>
      <c r="Y1115" s="642" t="str">
        <f t="shared" si="52"/>
        <v/>
      </c>
      <c r="Z1115" s="642" t="str">
        <f t="shared" si="53"/>
        <v/>
      </c>
    </row>
    <row r="1116" spans="1:26" s="127" customFormat="1" ht="25">
      <c r="A1116" s="636">
        <v>56847</v>
      </c>
      <c r="B1116" s="637" t="s">
        <v>33</v>
      </c>
      <c r="C1116" s="636" t="s">
        <v>2725</v>
      </c>
      <c r="D1116" s="637" t="s">
        <v>1661</v>
      </c>
      <c r="E1116" s="637" t="s">
        <v>1662</v>
      </c>
      <c r="F1116" s="636">
        <v>56067</v>
      </c>
      <c r="G1116" s="637" t="s">
        <v>41</v>
      </c>
      <c r="H1116" s="637" t="s">
        <v>1163</v>
      </c>
      <c r="I1116" s="637" t="s">
        <v>58</v>
      </c>
      <c r="J1116" s="636">
        <v>22</v>
      </c>
      <c r="K1116" s="636">
        <v>2</v>
      </c>
      <c r="L1116" s="637" t="s">
        <v>52</v>
      </c>
      <c r="M1116" s="637" t="s">
        <v>42</v>
      </c>
      <c r="N1116" s="637" t="s">
        <v>418</v>
      </c>
      <c r="O1116" s="637" t="s">
        <v>49</v>
      </c>
      <c r="P1116" s="637" t="s">
        <v>47</v>
      </c>
      <c r="Q1116" s="638">
        <v>1547</v>
      </c>
      <c r="R1116" s="638">
        <v>1547</v>
      </c>
      <c r="S1116" s="638">
        <v>8353</v>
      </c>
      <c r="T1116" s="638">
        <v>8353</v>
      </c>
      <c r="U1116" s="638">
        <v>613.947</v>
      </c>
      <c r="V1116" s="636">
        <v>2022</v>
      </c>
      <c r="W1116" s="640"/>
      <c r="X1116" s="641">
        <f t="shared" si="51"/>
        <v>13.605408935950498</v>
      </c>
      <c r="Y1116" s="642" t="str">
        <f t="shared" si="52"/>
        <v/>
      </c>
      <c r="Z1116" s="642" t="str">
        <f t="shared" si="53"/>
        <v/>
      </c>
    </row>
    <row r="1117" spans="1:26" s="127" customFormat="1" ht="25">
      <c r="A1117" s="636">
        <v>56847</v>
      </c>
      <c r="B1117" s="637" t="s">
        <v>33</v>
      </c>
      <c r="C1117" s="636" t="s">
        <v>2725</v>
      </c>
      <c r="D1117" s="637" t="s">
        <v>1661</v>
      </c>
      <c r="E1117" s="637" t="s">
        <v>1662</v>
      </c>
      <c r="F1117" s="636">
        <v>56067</v>
      </c>
      <c r="G1117" s="637" t="s">
        <v>41</v>
      </c>
      <c r="H1117" s="637" t="s">
        <v>1163</v>
      </c>
      <c r="I1117" s="637" t="s">
        <v>58</v>
      </c>
      <c r="J1117" s="636">
        <v>22</v>
      </c>
      <c r="K1117" s="636">
        <v>2</v>
      </c>
      <c r="L1117" s="637" t="s">
        <v>52</v>
      </c>
      <c r="M1117" s="637" t="s">
        <v>42</v>
      </c>
      <c r="N1117" s="637" t="s">
        <v>69</v>
      </c>
      <c r="O1117" s="637" t="s">
        <v>70</v>
      </c>
      <c r="P1117" s="637" t="s">
        <v>45</v>
      </c>
      <c r="Q1117" s="638">
        <v>146218</v>
      </c>
      <c r="R1117" s="638">
        <v>146218</v>
      </c>
      <c r="S1117" s="638">
        <v>1345206</v>
      </c>
      <c r="T1117" s="638">
        <v>1345206</v>
      </c>
      <c r="U1117" s="638">
        <v>105270.05</v>
      </c>
      <c r="V1117" s="636">
        <v>2022</v>
      </c>
      <c r="W1117" s="640"/>
      <c r="X1117" s="641">
        <f t="shared" si="51"/>
        <v>12.778620319834559</v>
      </c>
      <c r="Y1117" s="642" t="str">
        <f t="shared" si="52"/>
        <v/>
      </c>
      <c r="Z1117" s="642" t="str">
        <f t="shared" si="53"/>
        <v/>
      </c>
    </row>
    <row r="1118" spans="1:26" s="127" customFormat="1" ht="25">
      <c r="A1118" s="636">
        <v>56857</v>
      </c>
      <c r="B1118" s="637" t="s">
        <v>33</v>
      </c>
      <c r="C1118" s="636" t="s">
        <v>2725</v>
      </c>
      <c r="D1118" s="637" t="s">
        <v>1180</v>
      </c>
      <c r="E1118" s="637" t="s">
        <v>1181</v>
      </c>
      <c r="F1118" s="636">
        <v>56072</v>
      </c>
      <c r="G1118" s="637" t="s">
        <v>57</v>
      </c>
      <c r="H1118" s="637" t="s">
        <v>1162</v>
      </c>
      <c r="I1118" s="637" t="s">
        <v>58</v>
      </c>
      <c r="J1118" s="636">
        <v>22</v>
      </c>
      <c r="K1118" s="636">
        <v>2</v>
      </c>
      <c r="L1118" s="637" t="s">
        <v>52</v>
      </c>
      <c r="M1118" s="637" t="s">
        <v>71</v>
      </c>
      <c r="N1118" s="637" t="s">
        <v>72</v>
      </c>
      <c r="O1118" s="637" t="s">
        <v>72</v>
      </c>
      <c r="P1118" s="637" t="s">
        <v>1156</v>
      </c>
      <c r="Q1118" s="638">
        <v>0</v>
      </c>
      <c r="R1118" s="638">
        <v>0</v>
      </c>
      <c r="S1118" s="638">
        <v>1506020</v>
      </c>
      <c r="T1118" s="638">
        <v>1506020</v>
      </c>
      <c r="U1118" s="638">
        <v>441389</v>
      </c>
      <c r="V1118" s="636">
        <v>2022</v>
      </c>
      <c r="W1118" s="640"/>
      <c r="X1118" s="641">
        <f t="shared" si="51"/>
        <v>3.4120016584010928</v>
      </c>
      <c r="Y1118" s="642" t="str">
        <f t="shared" si="52"/>
        <v/>
      </c>
      <c r="Z1118" s="642" t="str">
        <f t="shared" si="53"/>
        <v/>
      </c>
    </row>
    <row r="1119" spans="1:26" s="127" customFormat="1" ht="25">
      <c r="A1119" s="636">
        <v>56891</v>
      </c>
      <c r="B1119" s="637" t="s">
        <v>33</v>
      </c>
      <c r="C1119" s="636" t="s">
        <v>2725</v>
      </c>
      <c r="D1119" s="637" t="s">
        <v>1011</v>
      </c>
      <c r="E1119" s="637" t="s">
        <v>1804</v>
      </c>
      <c r="F1119" s="636">
        <v>57249</v>
      </c>
      <c r="G1119" s="637" t="s">
        <v>89</v>
      </c>
      <c r="H1119" s="637" t="s">
        <v>1163</v>
      </c>
      <c r="I1119" s="637" t="s">
        <v>58</v>
      </c>
      <c r="J1119" s="636">
        <v>22</v>
      </c>
      <c r="K1119" s="636">
        <v>2</v>
      </c>
      <c r="L1119" s="637" t="s">
        <v>52</v>
      </c>
      <c r="M1119" s="637" t="s">
        <v>51</v>
      </c>
      <c r="N1119" s="637" t="s">
        <v>63</v>
      </c>
      <c r="O1119" s="637" t="s">
        <v>64</v>
      </c>
      <c r="P1119" s="637" t="s">
        <v>1020</v>
      </c>
      <c r="Q1119" s="638">
        <v>217442</v>
      </c>
      <c r="R1119" s="638">
        <v>217442</v>
      </c>
      <c r="S1119" s="638">
        <v>78280</v>
      </c>
      <c r="T1119" s="638">
        <v>78280</v>
      </c>
      <c r="U1119" s="638">
        <v>6185</v>
      </c>
      <c r="V1119" s="636">
        <v>2022</v>
      </c>
      <c r="W1119" s="640"/>
      <c r="X1119" s="641">
        <f t="shared" si="51"/>
        <v>12.656426839126921</v>
      </c>
      <c r="Y1119" s="642" t="str">
        <f t="shared" si="52"/>
        <v/>
      </c>
      <c r="Z1119" s="642" t="str">
        <f t="shared" si="53"/>
        <v/>
      </c>
    </row>
    <row r="1120" spans="1:26" s="127" customFormat="1" ht="25">
      <c r="A1120" s="636">
        <v>56901</v>
      </c>
      <c r="B1120" s="637" t="s">
        <v>33</v>
      </c>
      <c r="C1120" s="636" t="s">
        <v>2725</v>
      </c>
      <c r="D1120" s="637" t="s">
        <v>3040</v>
      </c>
      <c r="E1120" s="637" t="s">
        <v>3037</v>
      </c>
      <c r="F1120" s="636">
        <v>63858</v>
      </c>
      <c r="G1120" s="637" t="s">
        <v>57</v>
      </c>
      <c r="H1120" s="637" t="s">
        <v>1162</v>
      </c>
      <c r="I1120" s="637" t="s">
        <v>58</v>
      </c>
      <c r="J1120" s="636">
        <v>22</v>
      </c>
      <c r="K1120" s="636">
        <v>2</v>
      </c>
      <c r="L1120" s="637" t="s">
        <v>52</v>
      </c>
      <c r="M1120" s="637" t="s">
        <v>71</v>
      </c>
      <c r="N1120" s="637" t="s">
        <v>72</v>
      </c>
      <c r="O1120" s="637" t="s">
        <v>72</v>
      </c>
      <c r="P1120" s="637" t="s">
        <v>1156</v>
      </c>
      <c r="Q1120" s="638">
        <v>0</v>
      </c>
      <c r="R1120" s="638">
        <v>0</v>
      </c>
      <c r="S1120" s="638">
        <v>471630</v>
      </c>
      <c r="T1120" s="638">
        <v>471630</v>
      </c>
      <c r="U1120" s="638">
        <v>138227</v>
      </c>
      <c r="V1120" s="636">
        <v>2022</v>
      </c>
      <c r="W1120" s="640"/>
      <c r="X1120" s="641">
        <f t="shared" si="51"/>
        <v>3.4119962091342502</v>
      </c>
      <c r="Y1120" s="642" t="str">
        <f t="shared" si="52"/>
        <v/>
      </c>
      <c r="Z1120" s="642" t="str">
        <f t="shared" si="53"/>
        <v/>
      </c>
    </row>
    <row r="1121" spans="1:26" s="127" customFormat="1" ht="25">
      <c r="A1121" s="636">
        <v>56902</v>
      </c>
      <c r="B1121" s="637" t="s">
        <v>33</v>
      </c>
      <c r="C1121" s="636" t="s">
        <v>2725</v>
      </c>
      <c r="D1121" s="637" t="s">
        <v>3041</v>
      </c>
      <c r="E1121" s="637" t="s">
        <v>3037</v>
      </c>
      <c r="F1121" s="636">
        <v>63858</v>
      </c>
      <c r="G1121" s="637" t="s">
        <v>57</v>
      </c>
      <c r="H1121" s="637" t="s">
        <v>1162</v>
      </c>
      <c r="I1121" s="637" t="s">
        <v>58</v>
      </c>
      <c r="J1121" s="636">
        <v>22</v>
      </c>
      <c r="K1121" s="636">
        <v>2</v>
      </c>
      <c r="L1121" s="637" t="s">
        <v>52</v>
      </c>
      <c r="M1121" s="637" t="s">
        <v>71</v>
      </c>
      <c r="N1121" s="637" t="s">
        <v>72</v>
      </c>
      <c r="O1121" s="637" t="s">
        <v>72</v>
      </c>
      <c r="P1121" s="637" t="s">
        <v>1156</v>
      </c>
      <c r="Q1121" s="638">
        <v>0</v>
      </c>
      <c r="R1121" s="638">
        <v>0</v>
      </c>
      <c r="S1121" s="638">
        <v>661613</v>
      </c>
      <c r="T1121" s="638">
        <v>661613</v>
      </c>
      <c r="U1121" s="638">
        <v>193907</v>
      </c>
      <c r="V1121" s="636">
        <v>2022</v>
      </c>
      <c r="W1121" s="640"/>
      <c r="X1121" s="641">
        <f t="shared" si="51"/>
        <v>3.4120119438699996</v>
      </c>
      <c r="Y1121" s="642" t="str">
        <f t="shared" si="52"/>
        <v/>
      </c>
      <c r="Z1121" s="642" t="str">
        <f t="shared" si="53"/>
        <v/>
      </c>
    </row>
    <row r="1122" spans="1:26" s="127" customFormat="1" ht="25">
      <c r="A1122" s="636">
        <v>56904</v>
      </c>
      <c r="B1122" s="637" t="s">
        <v>33</v>
      </c>
      <c r="C1122" s="636" t="s">
        <v>2725</v>
      </c>
      <c r="D1122" s="637" t="s">
        <v>3042</v>
      </c>
      <c r="E1122" s="637" t="s">
        <v>3037</v>
      </c>
      <c r="F1122" s="636">
        <v>63858</v>
      </c>
      <c r="G1122" s="637" t="s">
        <v>57</v>
      </c>
      <c r="H1122" s="637" t="s">
        <v>1162</v>
      </c>
      <c r="I1122" s="637" t="s">
        <v>58</v>
      </c>
      <c r="J1122" s="636">
        <v>22</v>
      </c>
      <c r="K1122" s="636">
        <v>2</v>
      </c>
      <c r="L1122" s="637" t="s">
        <v>52</v>
      </c>
      <c r="M1122" s="637" t="s">
        <v>71</v>
      </c>
      <c r="N1122" s="637" t="s">
        <v>72</v>
      </c>
      <c r="O1122" s="637" t="s">
        <v>72</v>
      </c>
      <c r="P1122" s="637" t="s">
        <v>1156</v>
      </c>
      <c r="Q1122" s="638">
        <v>0</v>
      </c>
      <c r="R1122" s="638">
        <v>0</v>
      </c>
      <c r="S1122" s="638">
        <v>502795</v>
      </c>
      <c r="T1122" s="638">
        <v>502795</v>
      </c>
      <c r="U1122" s="638">
        <v>147361</v>
      </c>
      <c r="V1122" s="636">
        <v>2022</v>
      </c>
      <c r="W1122" s="640"/>
      <c r="X1122" s="641">
        <f t="shared" si="51"/>
        <v>3.411995032606999</v>
      </c>
      <c r="Y1122" s="642" t="str">
        <f t="shared" si="52"/>
        <v/>
      </c>
      <c r="Z1122" s="642" t="str">
        <f t="shared" si="53"/>
        <v/>
      </c>
    </row>
    <row r="1123" spans="1:26" s="127" customFormat="1" ht="37.5" hidden="1">
      <c r="A1123" s="636">
        <v>56928</v>
      </c>
      <c r="B1123" s="637" t="s">
        <v>54</v>
      </c>
      <c r="C1123" s="636" t="s">
        <v>2725</v>
      </c>
      <c r="D1123" s="637" t="s">
        <v>1051</v>
      </c>
      <c r="E1123" s="637" t="s">
        <v>1012</v>
      </c>
      <c r="F1123" s="636">
        <v>56143</v>
      </c>
      <c r="G1123" s="637" t="s">
        <v>41</v>
      </c>
      <c r="H1123" s="637" t="s">
        <v>1163</v>
      </c>
      <c r="I1123" s="637" t="s">
        <v>58</v>
      </c>
      <c r="J1123" s="636">
        <v>611</v>
      </c>
      <c r="K1123" s="636">
        <v>5</v>
      </c>
      <c r="L1123" s="637" t="s">
        <v>407</v>
      </c>
      <c r="M1123" s="637" t="s">
        <v>50</v>
      </c>
      <c r="N1123" s="637" t="s">
        <v>39</v>
      </c>
      <c r="O1123" s="637" t="s">
        <v>39</v>
      </c>
      <c r="P1123" s="637" t="s">
        <v>1020</v>
      </c>
      <c r="Q1123" s="638">
        <v>231668</v>
      </c>
      <c r="R1123" s="638">
        <v>160157</v>
      </c>
      <c r="S1123" s="638">
        <v>238388</v>
      </c>
      <c r="T1123" s="638">
        <v>164800</v>
      </c>
      <c r="U1123" s="638">
        <v>24361</v>
      </c>
      <c r="V1123" s="636">
        <v>2022</v>
      </c>
      <c r="W1123" s="640"/>
      <c r="X1123" s="641" t="str">
        <f t="shared" si="51"/>
        <v/>
      </c>
      <c r="Y1123" s="642">
        <f t="shared" si="52"/>
        <v>3.7637080705920245</v>
      </c>
      <c r="Z1123" s="642" t="str">
        <f t="shared" si="53"/>
        <v/>
      </c>
    </row>
    <row r="1124" spans="1:26" s="127" customFormat="1" ht="37.5" hidden="1">
      <c r="A1124" s="636">
        <v>56936</v>
      </c>
      <c r="B1124" s="637" t="s">
        <v>33</v>
      </c>
      <c r="C1124" s="636" t="s">
        <v>2725</v>
      </c>
      <c r="D1124" s="637" t="s">
        <v>1013</v>
      </c>
      <c r="E1124" s="637" t="s">
        <v>118</v>
      </c>
      <c r="F1124" s="636">
        <v>5914</v>
      </c>
      <c r="G1124" s="637" t="s">
        <v>57</v>
      </c>
      <c r="H1124" s="637" t="s">
        <v>1162</v>
      </c>
      <c r="I1124" s="637" t="s">
        <v>58</v>
      </c>
      <c r="J1124" s="636">
        <v>322122</v>
      </c>
      <c r="K1124" s="636">
        <v>6</v>
      </c>
      <c r="L1124" s="637" t="s">
        <v>404</v>
      </c>
      <c r="M1124" s="637" t="s">
        <v>35</v>
      </c>
      <c r="N1124" s="637" t="s">
        <v>36</v>
      </c>
      <c r="O1124" s="637" t="s">
        <v>37</v>
      </c>
      <c r="P1124" s="637" t="s">
        <v>1156</v>
      </c>
      <c r="Q1124" s="638">
        <v>0</v>
      </c>
      <c r="R1124" s="638">
        <v>0</v>
      </c>
      <c r="S1124" s="638">
        <v>114493</v>
      </c>
      <c r="T1124" s="638">
        <v>114493</v>
      </c>
      <c r="U1124" s="638">
        <v>33556</v>
      </c>
      <c r="V1124" s="636">
        <v>2022</v>
      </c>
      <c r="W1124" s="640"/>
      <c r="X1124" s="641" t="str">
        <f t="shared" si="51"/>
        <v/>
      </c>
      <c r="Y1124" s="642" t="str">
        <f t="shared" si="52"/>
        <v/>
      </c>
      <c r="Z1124" s="642" t="str">
        <f t="shared" si="53"/>
        <v/>
      </c>
    </row>
    <row r="1125" spans="1:26" s="127" customFormat="1" ht="25">
      <c r="A1125" s="636">
        <v>56940</v>
      </c>
      <c r="B1125" s="637" t="s">
        <v>33</v>
      </c>
      <c r="C1125" s="636" t="s">
        <v>2725</v>
      </c>
      <c r="D1125" s="637" t="s">
        <v>2274</v>
      </c>
      <c r="E1125" s="637" t="s">
        <v>2275</v>
      </c>
      <c r="F1125" s="636">
        <v>56204</v>
      </c>
      <c r="G1125" s="637" t="s">
        <v>57</v>
      </c>
      <c r="H1125" s="637" t="s">
        <v>1162</v>
      </c>
      <c r="I1125" s="637" t="s">
        <v>58</v>
      </c>
      <c r="J1125" s="636">
        <v>22</v>
      </c>
      <c r="K1125" s="636">
        <v>2</v>
      </c>
      <c r="L1125" s="637" t="s">
        <v>52</v>
      </c>
      <c r="M1125" s="637" t="s">
        <v>38</v>
      </c>
      <c r="N1125" s="637" t="s">
        <v>46</v>
      </c>
      <c r="O1125" s="637" t="s">
        <v>46</v>
      </c>
      <c r="P1125" s="637" t="s">
        <v>47</v>
      </c>
      <c r="Q1125" s="638">
        <v>0</v>
      </c>
      <c r="R1125" s="638">
        <v>0</v>
      </c>
      <c r="S1125" s="638">
        <v>0</v>
      </c>
      <c r="T1125" s="638">
        <v>0</v>
      </c>
      <c r="U1125" s="638">
        <v>0</v>
      </c>
      <c r="V1125" s="636">
        <v>2022</v>
      </c>
      <c r="W1125" s="640" t="s">
        <v>3934</v>
      </c>
      <c r="X1125" s="641" t="str">
        <f t="shared" si="51"/>
        <v/>
      </c>
      <c r="Y1125" s="642" t="str">
        <f t="shared" si="52"/>
        <v/>
      </c>
      <c r="Z1125" s="642" t="str">
        <f t="shared" si="53"/>
        <v/>
      </c>
    </row>
    <row r="1126" spans="1:26" s="127" customFormat="1" ht="25">
      <c r="A1126" s="636">
        <v>56940</v>
      </c>
      <c r="B1126" s="637" t="s">
        <v>33</v>
      </c>
      <c r="C1126" s="636" t="s">
        <v>2725</v>
      </c>
      <c r="D1126" s="637" t="s">
        <v>2274</v>
      </c>
      <c r="E1126" s="637" t="s">
        <v>2275</v>
      </c>
      <c r="F1126" s="636">
        <v>56204</v>
      </c>
      <c r="G1126" s="637" t="s">
        <v>57</v>
      </c>
      <c r="H1126" s="637" t="s">
        <v>1162</v>
      </c>
      <c r="I1126" s="637" t="s">
        <v>58</v>
      </c>
      <c r="J1126" s="636">
        <v>22</v>
      </c>
      <c r="K1126" s="636">
        <v>2</v>
      </c>
      <c r="L1126" s="637" t="s">
        <v>52</v>
      </c>
      <c r="M1126" s="637" t="s">
        <v>38</v>
      </c>
      <c r="N1126" s="637" t="s">
        <v>39</v>
      </c>
      <c r="O1126" s="637" t="s">
        <v>39</v>
      </c>
      <c r="P1126" s="637" t="s">
        <v>1020</v>
      </c>
      <c r="Q1126" s="638">
        <v>2036481</v>
      </c>
      <c r="R1126" s="638">
        <v>2036481</v>
      </c>
      <c r="S1126" s="638">
        <v>2090219</v>
      </c>
      <c r="T1126" s="638">
        <v>2090219</v>
      </c>
      <c r="U1126" s="638">
        <v>1874286</v>
      </c>
      <c r="V1126" s="636">
        <v>2022</v>
      </c>
      <c r="W1126" s="640" t="s">
        <v>3934</v>
      </c>
      <c r="X1126" s="641">
        <f t="shared" si="51"/>
        <v>1.1152081379255887</v>
      </c>
      <c r="Y1126" s="642" t="str">
        <f t="shared" si="52"/>
        <v/>
      </c>
      <c r="Z1126" s="642" t="str">
        <f t="shared" si="53"/>
        <v/>
      </c>
    </row>
    <row r="1127" spans="1:26" s="127" customFormat="1" ht="25">
      <c r="A1127" s="636">
        <v>56940</v>
      </c>
      <c r="B1127" s="637" t="s">
        <v>33</v>
      </c>
      <c r="C1127" s="636" t="s">
        <v>2725</v>
      </c>
      <c r="D1127" s="637" t="s">
        <v>2274</v>
      </c>
      <c r="E1127" s="637" t="s">
        <v>2275</v>
      </c>
      <c r="F1127" s="636">
        <v>56204</v>
      </c>
      <c r="G1127" s="637" t="s">
        <v>57</v>
      </c>
      <c r="H1127" s="637" t="s">
        <v>1162</v>
      </c>
      <c r="I1127" s="637" t="s">
        <v>58</v>
      </c>
      <c r="J1127" s="636">
        <v>22</v>
      </c>
      <c r="K1127" s="636">
        <v>2</v>
      </c>
      <c r="L1127" s="637" t="s">
        <v>52</v>
      </c>
      <c r="M1127" s="637" t="s">
        <v>41</v>
      </c>
      <c r="N1127" s="637" t="s">
        <v>46</v>
      </c>
      <c r="O1127" s="637" t="s">
        <v>46</v>
      </c>
      <c r="P1127" s="637" t="s">
        <v>47</v>
      </c>
      <c r="Q1127" s="638">
        <v>0</v>
      </c>
      <c r="R1127" s="638">
        <v>0</v>
      </c>
      <c r="S1127" s="638">
        <v>0</v>
      </c>
      <c r="T1127" s="638">
        <v>0</v>
      </c>
      <c r="U1127" s="638">
        <v>0</v>
      </c>
      <c r="V1127" s="636">
        <v>2022</v>
      </c>
      <c r="W1127" s="640" t="s">
        <v>3934</v>
      </c>
      <c r="X1127" s="641" t="str">
        <f t="shared" si="51"/>
        <v/>
      </c>
      <c r="Y1127" s="642" t="str">
        <f t="shared" si="52"/>
        <v/>
      </c>
      <c r="Z1127" s="642" t="str">
        <f t="shared" si="53"/>
        <v/>
      </c>
    </row>
    <row r="1128" spans="1:26" s="127" customFormat="1" ht="25">
      <c r="A1128" s="636">
        <v>56940</v>
      </c>
      <c r="B1128" s="637" t="s">
        <v>33</v>
      </c>
      <c r="C1128" s="636" t="s">
        <v>2725</v>
      </c>
      <c r="D1128" s="637" t="s">
        <v>2274</v>
      </c>
      <c r="E1128" s="637" t="s">
        <v>2275</v>
      </c>
      <c r="F1128" s="636">
        <v>56204</v>
      </c>
      <c r="G1128" s="637" t="s">
        <v>57</v>
      </c>
      <c r="H1128" s="637" t="s">
        <v>1162</v>
      </c>
      <c r="I1128" s="637" t="s">
        <v>58</v>
      </c>
      <c r="J1128" s="636">
        <v>22</v>
      </c>
      <c r="K1128" s="636">
        <v>2</v>
      </c>
      <c r="L1128" s="637" t="s">
        <v>52</v>
      </c>
      <c r="M1128" s="637" t="s">
        <v>41</v>
      </c>
      <c r="N1128" s="637" t="s">
        <v>39</v>
      </c>
      <c r="O1128" s="637" t="s">
        <v>39</v>
      </c>
      <c r="P1128" s="637" t="s">
        <v>1020</v>
      </c>
      <c r="Q1128" s="638">
        <v>31017197</v>
      </c>
      <c r="R1128" s="638">
        <v>31017197</v>
      </c>
      <c r="S1128" s="638">
        <v>31834723</v>
      </c>
      <c r="T1128" s="638">
        <v>31834723</v>
      </c>
      <c r="U1128" s="638">
        <v>2956525</v>
      </c>
      <c r="V1128" s="636">
        <v>2022</v>
      </c>
      <c r="W1128" s="640" t="s">
        <v>3934</v>
      </c>
      <c r="X1128" s="641">
        <f t="shared" si="51"/>
        <v>10.767615021012844</v>
      </c>
      <c r="Y1128" s="642" t="str">
        <f t="shared" si="52"/>
        <v/>
      </c>
      <c r="Z1128" s="642" t="str">
        <f t="shared" si="53"/>
        <v/>
      </c>
    </row>
    <row r="1129" spans="1:26" s="127" customFormat="1" ht="25">
      <c r="A1129" s="636">
        <v>56953</v>
      </c>
      <c r="B1129" s="637" t="s">
        <v>33</v>
      </c>
      <c r="C1129" s="636" t="s">
        <v>2725</v>
      </c>
      <c r="D1129" s="637" t="s">
        <v>439</v>
      </c>
      <c r="E1129" s="637" t="s">
        <v>440</v>
      </c>
      <c r="F1129" s="636">
        <v>49893</v>
      </c>
      <c r="G1129" s="637" t="s">
        <v>57</v>
      </c>
      <c r="H1129" s="637" t="s">
        <v>1162</v>
      </c>
      <c r="I1129" s="637" t="s">
        <v>58</v>
      </c>
      <c r="J1129" s="636">
        <v>22</v>
      </c>
      <c r="K1129" s="636">
        <v>2</v>
      </c>
      <c r="L1129" s="637" t="s">
        <v>52</v>
      </c>
      <c r="M1129" s="637" t="s">
        <v>71</v>
      </c>
      <c r="N1129" s="637" t="s">
        <v>72</v>
      </c>
      <c r="O1129" s="637" t="s">
        <v>72</v>
      </c>
      <c r="P1129" s="637" t="s">
        <v>1156</v>
      </c>
      <c r="Q1129" s="638">
        <v>0</v>
      </c>
      <c r="R1129" s="638">
        <v>0</v>
      </c>
      <c r="S1129" s="638">
        <v>785087</v>
      </c>
      <c r="T1129" s="638">
        <v>785087</v>
      </c>
      <c r="U1129" s="638">
        <v>230096</v>
      </c>
      <c r="V1129" s="636">
        <v>2022</v>
      </c>
      <c r="W1129" s="640"/>
      <c r="X1129" s="641">
        <f t="shared" si="51"/>
        <v>3.4119976010013211</v>
      </c>
      <c r="Y1129" s="642" t="str">
        <f t="shared" si="52"/>
        <v/>
      </c>
      <c r="Z1129" s="642" t="str">
        <f t="shared" si="53"/>
        <v/>
      </c>
    </row>
    <row r="1130" spans="1:26" s="127" customFormat="1" ht="25">
      <c r="A1130" s="636">
        <v>56958</v>
      </c>
      <c r="B1130" s="637" t="s">
        <v>33</v>
      </c>
      <c r="C1130" s="636" t="s">
        <v>2725</v>
      </c>
      <c r="D1130" s="637" t="s">
        <v>1014</v>
      </c>
      <c r="E1130" s="637" t="s">
        <v>999</v>
      </c>
      <c r="F1130" s="636">
        <v>50158</v>
      </c>
      <c r="G1130" s="637" t="s">
        <v>57</v>
      </c>
      <c r="H1130" s="637" t="s">
        <v>1162</v>
      </c>
      <c r="I1130" s="637" t="s">
        <v>58</v>
      </c>
      <c r="J1130" s="636">
        <v>22</v>
      </c>
      <c r="K1130" s="636">
        <v>2</v>
      </c>
      <c r="L1130" s="637" t="s">
        <v>52</v>
      </c>
      <c r="M1130" s="637" t="s">
        <v>51</v>
      </c>
      <c r="N1130" s="637" t="s">
        <v>63</v>
      </c>
      <c r="O1130" s="637" t="s">
        <v>64</v>
      </c>
      <c r="P1130" s="637" t="s">
        <v>1020</v>
      </c>
      <c r="Q1130" s="638">
        <v>517742</v>
      </c>
      <c r="R1130" s="638">
        <v>517742</v>
      </c>
      <c r="S1130" s="638">
        <v>273368</v>
      </c>
      <c r="T1130" s="638">
        <v>273368</v>
      </c>
      <c r="U1130" s="638">
        <v>26068</v>
      </c>
      <c r="V1130" s="636">
        <v>2022</v>
      </c>
      <c r="W1130" s="640"/>
      <c r="X1130" s="641">
        <f t="shared" si="51"/>
        <v>10.486727021635723</v>
      </c>
      <c r="Y1130" s="642" t="str">
        <f t="shared" si="52"/>
        <v/>
      </c>
      <c r="Z1130" s="642" t="str">
        <f t="shared" si="53"/>
        <v/>
      </c>
    </row>
    <row r="1131" spans="1:26" s="127" customFormat="1" ht="25">
      <c r="A1131" s="636">
        <v>56986</v>
      </c>
      <c r="B1131" s="637" t="s">
        <v>33</v>
      </c>
      <c r="C1131" s="636" t="s">
        <v>2725</v>
      </c>
      <c r="D1131" s="637" t="s">
        <v>1015</v>
      </c>
      <c r="E1131" s="637" t="s">
        <v>999</v>
      </c>
      <c r="F1131" s="636">
        <v>50158</v>
      </c>
      <c r="G1131" s="637" t="s">
        <v>57</v>
      </c>
      <c r="H1131" s="637" t="s">
        <v>1162</v>
      </c>
      <c r="I1131" s="637" t="s">
        <v>58</v>
      </c>
      <c r="J1131" s="636">
        <v>22</v>
      </c>
      <c r="K1131" s="636">
        <v>2</v>
      </c>
      <c r="L1131" s="637" t="s">
        <v>52</v>
      </c>
      <c r="M1131" s="637" t="s">
        <v>51</v>
      </c>
      <c r="N1131" s="637" t="s">
        <v>63</v>
      </c>
      <c r="O1131" s="637" t="s">
        <v>64</v>
      </c>
      <c r="P1131" s="637" t="s">
        <v>1020</v>
      </c>
      <c r="Q1131" s="638">
        <v>1043814</v>
      </c>
      <c r="R1131" s="638">
        <v>1043814</v>
      </c>
      <c r="S1131" s="638">
        <v>499988</v>
      </c>
      <c r="T1131" s="638">
        <v>499988</v>
      </c>
      <c r="U1131" s="638">
        <v>43141</v>
      </c>
      <c r="V1131" s="636">
        <v>2022</v>
      </c>
      <c r="W1131" s="640"/>
      <c r="X1131" s="641">
        <f t="shared" si="51"/>
        <v>11.589624718944854</v>
      </c>
      <c r="Y1131" s="642" t="str">
        <f t="shared" si="52"/>
        <v/>
      </c>
      <c r="Z1131" s="642" t="str">
        <f t="shared" si="53"/>
        <v/>
      </c>
    </row>
    <row r="1132" spans="1:26" s="127" customFormat="1" ht="25">
      <c r="A1132" s="636">
        <v>56987</v>
      </c>
      <c r="B1132" s="637" t="s">
        <v>33</v>
      </c>
      <c r="C1132" s="636" t="s">
        <v>2725</v>
      </c>
      <c r="D1132" s="637" t="s">
        <v>1016</v>
      </c>
      <c r="E1132" s="637" t="s">
        <v>999</v>
      </c>
      <c r="F1132" s="636">
        <v>50158</v>
      </c>
      <c r="G1132" s="637" t="s">
        <v>57</v>
      </c>
      <c r="H1132" s="637" t="s">
        <v>1162</v>
      </c>
      <c r="I1132" s="637" t="s">
        <v>58</v>
      </c>
      <c r="J1132" s="636">
        <v>22</v>
      </c>
      <c r="K1132" s="636">
        <v>2</v>
      </c>
      <c r="L1132" s="637" t="s">
        <v>52</v>
      </c>
      <c r="M1132" s="637" t="s">
        <v>51</v>
      </c>
      <c r="N1132" s="637" t="s">
        <v>63</v>
      </c>
      <c r="O1132" s="637" t="s">
        <v>64</v>
      </c>
      <c r="P1132" s="637" t="s">
        <v>1020</v>
      </c>
      <c r="Q1132" s="638">
        <v>980457</v>
      </c>
      <c r="R1132" s="638">
        <v>980457</v>
      </c>
      <c r="S1132" s="638">
        <v>441206</v>
      </c>
      <c r="T1132" s="638">
        <v>441206</v>
      </c>
      <c r="U1132" s="638">
        <v>36592</v>
      </c>
      <c r="V1132" s="636">
        <v>2022</v>
      </c>
      <c r="W1132" s="640"/>
      <c r="X1132" s="641">
        <f t="shared" si="51"/>
        <v>12.057444250109313</v>
      </c>
      <c r="Y1132" s="642" t="str">
        <f t="shared" si="52"/>
        <v/>
      </c>
      <c r="Z1132" s="642" t="str">
        <f t="shared" si="53"/>
        <v/>
      </c>
    </row>
    <row r="1133" spans="1:26" s="127" customFormat="1" ht="25">
      <c r="A1133" s="636">
        <v>56989</v>
      </c>
      <c r="B1133" s="637" t="s">
        <v>33</v>
      </c>
      <c r="C1133" s="636" t="s">
        <v>2725</v>
      </c>
      <c r="D1133" s="637" t="s">
        <v>1052</v>
      </c>
      <c r="E1133" s="637" t="s">
        <v>3035</v>
      </c>
      <c r="F1133" s="636">
        <v>59155</v>
      </c>
      <c r="G1133" s="637" t="s">
        <v>90</v>
      </c>
      <c r="H1133" s="637" t="s">
        <v>1163</v>
      </c>
      <c r="I1133" s="637" t="s">
        <v>58</v>
      </c>
      <c r="J1133" s="636">
        <v>22</v>
      </c>
      <c r="K1133" s="636">
        <v>2</v>
      </c>
      <c r="L1133" s="637" t="s">
        <v>52</v>
      </c>
      <c r="M1133" s="637" t="s">
        <v>71</v>
      </c>
      <c r="N1133" s="637" t="s">
        <v>72</v>
      </c>
      <c r="O1133" s="637" t="s">
        <v>72</v>
      </c>
      <c r="P1133" s="637" t="s">
        <v>1156</v>
      </c>
      <c r="Q1133" s="638">
        <v>0</v>
      </c>
      <c r="R1133" s="638">
        <v>0</v>
      </c>
      <c r="S1133" s="638">
        <v>480023</v>
      </c>
      <c r="T1133" s="638">
        <v>480023</v>
      </c>
      <c r="U1133" s="638">
        <v>140687</v>
      </c>
      <c r="V1133" s="636">
        <v>2022</v>
      </c>
      <c r="W1133" s="640"/>
      <c r="X1133" s="641">
        <f t="shared" si="51"/>
        <v>3.4119925792717165</v>
      </c>
      <c r="Y1133" s="642" t="str">
        <f t="shared" si="52"/>
        <v/>
      </c>
      <c r="Z1133" s="642" t="str">
        <f t="shared" si="53"/>
        <v/>
      </c>
    </row>
    <row r="1134" spans="1:26" s="127" customFormat="1" ht="25">
      <c r="A1134" s="636">
        <v>56990</v>
      </c>
      <c r="B1134" s="637" t="s">
        <v>33</v>
      </c>
      <c r="C1134" s="636" t="s">
        <v>2725</v>
      </c>
      <c r="D1134" s="637" t="s">
        <v>1103</v>
      </c>
      <c r="E1134" s="637" t="s">
        <v>3035</v>
      </c>
      <c r="F1134" s="636">
        <v>59155</v>
      </c>
      <c r="G1134" s="637" t="s">
        <v>90</v>
      </c>
      <c r="H1134" s="637" t="s">
        <v>1163</v>
      </c>
      <c r="I1134" s="637" t="s">
        <v>58</v>
      </c>
      <c r="J1134" s="636">
        <v>22</v>
      </c>
      <c r="K1134" s="636">
        <v>2</v>
      </c>
      <c r="L1134" s="637" t="s">
        <v>52</v>
      </c>
      <c r="M1134" s="637" t="s">
        <v>71</v>
      </c>
      <c r="N1134" s="637" t="s">
        <v>72</v>
      </c>
      <c r="O1134" s="637" t="s">
        <v>72</v>
      </c>
      <c r="P1134" s="637" t="s">
        <v>1156</v>
      </c>
      <c r="Q1134" s="638">
        <v>0</v>
      </c>
      <c r="R1134" s="638">
        <v>0</v>
      </c>
      <c r="S1134" s="638">
        <v>524651</v>
      </c>
      <c r="T1134" s="638">
        <v>524651</v>
      </c>
      <c r="U1134" s="638">
        <v>153767</v>
      </c>
      <c r="V1134" s="636">
        <v>2022</v>
      </c>
      <c r="W1134" s="640"/>
      <c r="X1134" s="641">
        <f t="shared" si="51"/>
        <v>3.411986967294673</v>
      </c>
      <c r="Y1134" s="642" t="str">
        <f t="shared" si="52"/>
        <v/>
      </c>
      <c r="Z1134" s="642" t="str">
        <f t="shared" si="53"/>
        <v/>
      </c>
    </row>
    <row r="1135" spans="1:26" s="127" customFormat="1" ht="25">
      <c r="A1135" s="636">
        <v>56991</v>
      </c>
      <c r="B1135" s="637" t="s">
        <v>33</v>
      </c>
      <c r="C1135" s="636" t="s">
        <v>2725</v>
      </c>
      <c r="D1135" s="637" t="s">
        <v>1053</v>
      </c>
      <c r="E1135" s="637" t="s">
        <v>3035</v>
      </c>
      <c r="F1135" s="636">
        <v>59155</v>
      </c>
      <c r="G1135" s="637" t="s">
        <v>90</v>
      </c>
      <c r="H1135" s="637" t="s">
        <v>1163</v>
      </c>
      <c r="I1135" s="637" t="s">
        <v>58</v>
      </c>
      <c r="J1135" s="636">
        <v>22</v>
      </c>
      <c r="K1135" s="636">
        <v>2</v>
      </c>
      <c r="L1135" s="637" t="s">
        <v>52</v>
      </c>
      <c r="M1135" s="637" t="s">
        <v>71</v>
      </c>
      <c r="N1135" s="637" t="s">
        <v>72</v>
      </c>
      <c r="O1135" s="637" t="s">
        <v>72</v>
      </c>
      <c r="P1135" s="637" t="s">
        <v>1156</v>
      </c>
      <c r="Q1135" s="638">
        <v>0</v>
      </c>
      <c r="R1135" s="638">
        <v>0</v>
      </c>
      <c r="S1135" s="638">
        <v>201769</v>
      </c>
      <c r="T1135" s="638">
        <v>201769</v>
      </c>
      <c r="U1135" s="638">
        <v>59135</v>
      </c>
      <c r="V1135" s="636">
        <v>2022</v>
      </c>
      <c r="W1135" s="640"/>
      <c r="X1135" s="641">
        <f t="shared" si="51"/>
        <v>3.4120064259744654</v>
      </c>
      <c r="Y1135" s="642" t="str">
        <f t="shared" si="52"/>
        <v/>
      </c>
      <c r="Z1135" s="642" t="str">
        <f t="shared" si="53"/>
        <v/>
      </c>
    </row>
    <row r="1136" spans="1:26" s="127" customFormat="1" ht="25">
      <c r="A1136" s="636">
        <v>57002</v>
      </c>
      <c r="B1136" s="637" t="s">
        <v>33</v>
      </c>
      <c r="C1136" s="636" t="s">
        <v>2725</v>
      </c>
      <c r="D1136" s="637" t="s">
        <v>1805</v>
      </c>
      <c r="E1136" s="637" t="s">
        <v>3043</v>
      </c>
      <c r="F1136" s="636">
        <v>60453</v>
      </c>
      <c r="G1136" s="637" t="s">
        <v>90</v>
      </c>
      <c r="H1136" s="637" t="s">
        <v>1163</v>
      </c>
      <c r="I1136" s="637" t="s">
        <v>58</v>
      </c>
      <c r="J1136" s="636">
        <v>22</v>
      </c>
      <c r="K1136" s="636">
        <v>2</v>
      </c>
      <c r="L1136" s="637" t="s">
        <v>52</v>
      </c>
      <c r="M1136" s="637" t="s">
        <v>71</v>
      </c>
      <c r="N1136" s="637" t="s">
        <v>72</v>
      </c>
      <c r="O1136" s="637" t="s">
        <v>72</v>
      </c>
      <c r="P1136" s="637" t="s">
        <v>1156</v>
      </c>
      <c r="Q1136" s="638">
        <v>0</v>
      </c>
      <c r="R1136" s="638">
        <v>0</v>
      </c>
      <c r="S1136" s="638">
        <v>1264695</v>
      </c>
      <c r="T1136" s="638">
        <v>1264695</v>
      </c>
      <c r="U1136" s="638">
        <v>370661</v>
      </c>
      <c r="V1136" s="636">
        <v>2022</v>
      </c>
      <c r="W1136" s="640"/>
      <c r="X1136" s="641">
        <f t="shared" si="51"/>
        <v>3.4119991043028537</v>
      </c>
      <c r="Y1136" s="642" t="str">
        <f t="shared" si="52"/>
        <v/>
      </c>
      <c r="Z1136" s="642" t="str">
        <f t="shared" si="53"/>
        <v/>
      </c>
    </row>
    <row r="1137" spans="1:26" s="127" customFormat="1" ht="25">
      <c r="A1137" s="636">
        <v>57003</v>
      </c>
      <c r="B1137" s="637" t="s">
        <v>33</v>
      </c>
      <c r="C1137" s="636" t="s">
        <v>2725</v>
      </c>
      <c r="D1137" s="637" t="s">
        <v>1054</v>
      </c>
      <c r="E1137" s="637" t="s">
        <v>999</v>
      </c>
      <c r="F1137" s="636">
        <v>50158</v>
      </c>
      <c r="G1137" s="637" t="s">
        <v>57</v>
      </c>
      <c r="H1137" s="637" t="s">
        <v>1162</v>
      </c>
      <c r="I1137" s="637" t="s">
        <v>58</v>
      </c>
      <c r="J1137" s="636">
        <v>22</v>
      </c>
      <c r="K1137" s="636">
        <v>2</v>
      </c>
      <c r="L1137" s="637" t="s">
        <v>52</v>
      </c>
      <c r="M1137" s="637" t="s">
        <v>51</v>
      </c>
      <c r="N1137" s="637" t="s">
        <v>63</v>
      </c>
      <c r="O1137" s="637" t="s">
        <v>64</v>
      </c>
      <c r="P1137" s="637" t="s">
        <v>1020</v>
      </c>
      <c r="Q1137" s="638">
        <v>345869</v>
      </c>
      <c r="R1137" s="638">
        <v>345869</v>
      </c>
      <c r="S1137" s="638">
        <v>184002</v>
      </c>
      <c r="T1137" s="638">
        <v>184002</v>
      </c>
      <c r="U1137" s="638">
        <v>15737</v>
      </c>
      <c r="V1137" s="636">
        <v>2022</v>
      </c>
      <c r="W1137" s="640"/>
      <c r="X1137" s="641">
        <f t="shared" si="51"/>
        <v>11.692317468386605</v>
      </c>
      <c r="Y1137" s="642" t="str">
        <f t="shared" si="52"/>
        <v/>
      </c>
      <c r="Z1137" s="642" t="str">
        <f t="shared" si="53"/>
        <v/>
      </c>
    </row>
    <row r="1138" spans="1:26" s="127" customFormat="1" ht="25">
      <c r="A1138" s="636">
        <v>57016</v>
      </c>
      <c r="B1138" s="637" t="s">
        <v>33</v>
      </c>
      <c r="C1138" s="636" t="s">
        <v>2725</v>
      </c>
      <c r="D1138" s="637" t="s">
        <v>1055</v>
      </c>
      <c r="E1138" s="637" t="s">
        <v>892</v>
      </c>
      <c r="F1138" s="636">
        <v>54842</v>
      </c>
      <c r="G1138" s="637" t="s">
        <v>90</v>
      </c>
      <c r="H1138" s="637" t="s">
        <v>1163</v>
      </c>
      <c r="I1138" s="637" t="s">
        <v>58</v>
      </c>
      <c r="J1138" s="636">
        <v>22</v>
      </c>
      <c r="K1138" s="636">
        <v>2</v>
      </c>
      <c r="L1138" s="637" t="s">
        <v>52</v>
      </c>
      <c r="M1138" s="637" t="s">
        <v>51</v>
      </c>
      <c r="N1138" s="637" t="s">
        <v>63</v>
      </c>
      <c r="O1138" s="637" t="s">
        <v>64</v>
      </c>
      <c r="P1138" s="637" t="s">
        <v>1020</v>
      </c>
      <c r="Q1138" s="638">
        <v>485390</v>
      </c>
      <c r="R1138" s="638">
        <v>485390</v>
      </c>
      <c r="S1138" s="638">
        <v>251433</v>
      </c>
      <c r="T1138" s="638">
        <v>251433</v>
      </c>
      <c r="U1138" s="638">
        <v>23035</v>
      </c>
      <c r="V1138" s="636">
        <v>2022</v>
      </c>
      <c r="W1138" s="640"/>
      <c r="X1138" s="641">
        <f t="shared" si="51"/>
        <v>10.915259387887996</v>
      </c>
      <c r="Y1138" s="642" t="str">
        <f t="shared" si="52"/>
        <v/>
      </c>
      <c r="Z1138" s="642" t="str">
        <f t="shared" si="53"/>
        <v/>
      </c>
    </row>
    <row r="1139" spans="1:26" s="127" customFormat="1" ht="25">
      <c r="A1139" s="636">
        <v>57021</v>
      </c>
      <c r="B1139" s="637" t="s">
        <v>33</v>
      </c>
      <c r="C1139" s="636" t="s">
        <v>2725</v>
      </c>
      <c r="D1139" s="637" t="s">
        <v>1056</v>
      </c>
      <c r="E1139" s="637" t="s">
        <v>892</v>
      </c>
      <c r="F1139" s="636">
        <v>54842</v>
      </c>
      <c r="G1139" s="637" t="s">
        <v>57</v>
      </c>
      <c r="H1139" s="637" t="s">
        <v>1162</v>
      </c>
      <c r="I1139" s="637" t="s">
        <v>58</v>
      </c>
      <c r="J1139" s="636">
        <v>22</v>
      </c>
      <c r="K1139" s="636">
        <v>2</v>
      </c>
      <c r="L1139" s="637" t="s">
        <v>52</v>
      </c>
      <c r="M1139" s="637" t="s">
        <v>51</v>
      </c>
      <c r="N1139" s="637" t="s">
        <v>63</v>
      </c>
      <c r="O1139" s="637" t="s">
        <v>64</v>
      </c>
      <c r="P1139" s="637" t="s">
        <v>1020</v>
      </c>
      <c r="Q1139" s="638">
        <v>0</v>
      </c>
      <c r="R1139" s="638">
        <v>0</v>
      </c>
      <c r="S1139" s="638">
        <v>0</v>
      </c>
      <c r="T1139" s="638">
        <v>0</v>
      </c>
      <c r="U1139" s="638">
        <v>0</v>
      </c>
      <c r="V1139" s="636">
        <v>2022</v>
      </c>
      <c r="W1139" s="640"/>
      <c r="X1139" s="641" t="str">
        <f t="shared" si="51"/>
        <v/>
      </c>
      <c r="Y1139" s="642" t="str">
        <f t="shared" si="52"/>
        <v/>
      </c>
      <c r="Z1139" s="642" t="str">
        <f t="shared" si="53"/>
        <v/>
      </c>
    </row>
    <row r="1140" spans="1:26" s="127" customFormat="1" ht="25">
      <c r="A1140" s="636">
        <v>57068</v>
      </c>
      <c r="B1140" s="637" t="s">
        <v>33</v>
      </c>
      <c r="C1140" s="636" t="s">
        <v>2725</v>
      </c>
      <c r="D1140" s="637" t="s">
        <v>1104</v>
      </c>
      <c r="E1140" s="637" t="s">
        <v>1104</v>
      </c>
      <c r="F1140" s="636">
        <v>56354</v>
      </c>
      <c r="G1140" s="637" t="s">
        <v>41</v>
      </c>
      <c r="H1140" s="637" t="s">
        <v>1163</v>
      </c>
      <c r="I1140" s="637" t="s">
        <v>58</v>
      </c>
      <c r="J1140" s="636">
        <v>22</v>
      </c>
      <c r="K1140" s="636">
        <v>2</v>
      </c>
      <c r="L1140" s="637" t="s">
        <v>52</v>
      </c>
      <c r="M1140" s="637" t="s">
        <v>50</v>
      </c>
      <c r="N1140" s="637" t="s">
        <v>46</v>
      </c>
      <c r="O1140" s="637" t="s">
        <v>46</v>
      </c>
      <c r="P1140" s="637" t="s">
        <v>47</v>
      </c>
      <c r="Q1140" s="638">
        <v>0</v>
      </c>
      <c r="R1140" s="638">
        <v>0</v>
      </c>
      <c r="S1140" s="638">
        <v>0</v>
      </c>
      <c r="T1140" s="638">
        <v>0</v>
      </c>
      <c r="U1140" s="638">
        <v>0</v>
      </c>
      <c r="V1140" s="636">
        <v>2022</v>
      </c>
      <c r="W1140" s="640"/>
      <c r="X1140" s="641" t="str">
        <f t="shared" si="51"/>
        <v/>
      </c>
      <c r="Y1140" s="642" t="str">
        <f t="shared" si="52"/>
        <v/>
      </c>
      <c r="Z1140" s="642" t="str">
        <f t="shared" si="53"/>
        <v/>
      </c>
    </row>
    <row r="1141" spans="1:26" s="127" customFormat="1" ht="25">
      <c r="A1141" s="636">
        <v>57068</v>
      </c>
      <c r="B1141" s="637" t="s">
        <v>33</v>
      </c>
      <c r="C1141" s="636" t="s">
        <v>2725</v>
      </c>
      <c r="D1141" s="637" t="s">
        <v>1104</v>
      </c>
      <c r="E1141" s="637" t="s">
        <v>1104</v>
      </c>
      <c r="F1141" s="636">
        <v>56354</v>
      </c>
      <c r="G1141" s="637" t="s">
        <v>41</v>
      </c>
      <c r="H1141" s="637" t="s">
        <v>1163</v>
      </c>
      <c r="I1141" s="637" t="s">
        <v>58</v>
      </c>
      <c r="J1141" s="636">
        <v>22</v>
      </c>
      <c r="K1141" s="636">
        <v>2</v>
      </c>
      <c r="L1141" s="637" t="s">
        <v>52</v>
      </c>
      <c r="M1141" s="637" t="s">
        <v>50</v>
      </c>
      <c r="N1141" s="637" t="s">
        <v>76</v>
      </c>
      <c r="O1141" s="637" t="s">
        <v>67</v>
      </c>
      <c r="P1141" s="637" t="s">
        <v>47</v>
      </c>
      <c r="Q1141" s="638">
        <v>11044</v>
      </c>
      <c r="R1141" s="638">
        <v>11044</v>
      </c>
      <c r="S1141" s="638">
        <v>61845</v>
      </c>
      <c r="T1141" s="638">
        <v>61845</v>
      </c>
      <c r="U1141" s="638">
        <v>3321.855</v>
      </c>
      <c r="V1141" s="636">
        <v>2022</v>
      </c>
      <c r="W1141" s="640"/>
      <c r="X1141" s="641">
        <f t="shared" si="51"/>
        <v>18.617609739136718</v>
      </c>
      <c r="Y1141" s="642" t="str">
        <f t="shared" si="52"/>
        <v/>
      </c>
      <c r="Z1141" s="642" t="str">
        <f t="shared" si="53"/>
        <v/>
      </c>
    </row>
    <row r="1142" spans="1:26" s="127" customFormat="1" ht="25">
      <c r="A1142" s="636">
        <v>57068</v>
      </c>
      <c r="B1142" s="637" t="s">
        <v>33</v>
      </c>
      <c r="C1142" s="636" t="s">
        <v>2725</v>
      </c>
      <c r="D1142" s="637" t="s">
        <v>1104</v>
      </c>
      <c r="E1142" s="637" t="s">
        <v>1104</v>
      </c>
      <c r="F1142" s="636">
        <v>56354</v>
      </c>
      <c r="G1142" s="637" t="s">
        <v>41</v>
      </c>
      <c r="H1142" s="637" t="s">
        <v>1163</v>
      </c>
      <c r="I1142" s="637" t="s">
        <v>58</v>
      </c>
      <c r="J1142" s="636">
        <v>22</v>
      </c>
      <c r="K1142" s="636">
        <v>2</v>
      </c>
      <c r="L1142" s="637" t="s">
        <v>52</v>
      </c>
      <c r="M1142" s="637" t="s">
        <v>50</v>
      </c>
      <c r="N1142" s="637" t="s">
        <v>39</v>
      </c>
      <c r="O1142" s="637" t="s">
        <v>39</v>
      </c>
      <c r="P1142" s="637" t="s">
        <v>1020</v>
      </c>
      <c r="Q1142" s="638">
        <v>22760</v>
      </c>
      <c r="R1142" s="638">
        <v>22760</v>
      </c>
      <c r="S1142" s="638">
        <v>23443</v>
      </c>
      <c r="T1142" s="638">
        <v>23443</v>
      </c>
      <c r="U1142" s="638">
        <v>1259.145</v>
      </c>
      <c r="V1142" s="636">
        <v>2022</v>
      </c>
      <c r="W1142" s="640"/>
      <c r="X1142" s="641">
        <f t="shared" si="51"/>
        <v>18.618189326884512</v>
      </c>
      <c r="Y1142" s="642" t="str">
        <f t="shared" si="52"/>
        <v/>
      </c>
      <c r="Z1142" s="642" t="str">
        <f t="shared" si="53"/>
        <v/>
      </c>
    </row>
    <row r="1143" spans="1:26" s="127" customFormat="1" ht="25">
      <c r="A1143" s="636">
        <v>57070</v>
      </c>
      <c r="B1143" s="637" t="s">
        <v>33</v>
      </c>
      <c r="C1143" s="636" t="s">
        <v>2725</v>
      </c>
      <c r="D1143" s="637" t="s">
        <v>1057</v>
      </c>
      <c r="E1143" s="637" t="s">
        <v>1057</v>
      </c>
      <c r="F1143" s="636">
        <v>56352</v>
      </c>
      <c r="G1143" s="637" t="s">
        <v>41</v>
      </c>
      <c r="H1143" s="637" t="s">
        <v>1163</v>
      </c>
      <c r="I1143" s="637" t="s">
        <v>58</v>
      </c>
      <c r="J1143" s="636">
        <v>22</v>
      </c>
      <c r="K1143" s="636">
        <v>2</v>
      </c>
      <c r="L1143" s="637" t="s">
        <v>52</v>
      </c>
      <c r="M1143" s="637" t="s">
        <v>50</v>
      </c>
      <c r="N1143" s="637" t="s">
        <v>43</v>
      </c>
      <c r="O1143" s="637" t="s">
        <v>44</v>
      </c>
      <c r="P1143" s="637" t="s">
        <v>45</v>
      </c>
      <c r="Q1143" s="638">
        <v>0</v>
      </c>
      <c r="R1143" s="638">
        <v>0</v>
      </c>
      <c r="S1143" s="638">
        <v>0</v>
      </c>
      <c r="T1143" s="638">
        <v>0</v>
      </c>
      <c r="U1143" s="638">
        <v>0</v>
      </c>
      <c r="V1143" s="636">
        <v>2022</v>
      </c>
      <c r="W1143" s="640"/>
      <c r="X1143" s="641" t="str">
        <f t="shared" si="51"/>
        <v/>
      </c>
      <c r="Y1143" s="642" t="str">
        <f t="shared" si="52"/>
        <v/>
      </c>
      <c r="Z1143" s="642" t="str">
        <f t="shared" si="53"/>
        <v/>
      </c>
    </row>
    <row r="1144" spans="1:26" s="127" customFormat="1" ht="25">
      <c r="A1144" s="636">
        <v>57070</v>
      </c>
      <c r="B1144" s="637" t="s">
        <v>33</v>
      </c>
      <c r="C1144" s="636" t="s">
        <v>2725</v>
      </c>
      <c r="D1144" s="637" t="s">
        <v>1057</v>
      </c>
      <c r="E1144" s="637" t="s">
        <v>1057</v>
      </c>
      <c r="F1144" s="636">
        <v>56352</v>
      </c>
      <c r="G1144" s="637" t="s">
        <v>41</v>
      </c>
      <c r="H1144" s="637" t="s">
        <v>1163</v>
      </c>
      <c r="I1144" s="637" t="s">
        <v>58</v>
      </c>
      <c r="J1144" s="636">
        <v>22</v>
      </c>
      <c r="K1144" s="636">
        <v>2</v>
      </c>
      <c r="L1144" s="637" t="s">
        <v>52</v>
      </c>
      <c r="M1144" s="637" t="s">
        <v>50</v>
      </c>
      <c r="N1144" s="637" t="s">
        <v>46</v>
      </c>
      <c r="O1144" s="637" t="s">
        <v>46</v>
      </c>
      <c r="P1144" s="637" t="s">
        <v>47</v>
      </c>
      <c r="Q1144" s="638">
        <v>0</v>
      </c>
      <c r="R1144" s="638">
        <v>0</v>
      </c>
      <c r="S1144" s="638">
        <v>0</v>
      </c>
      <c r="T1144" s="638">
        <v>0</v>
      </c>
      <c r="U1144" s="638">
        <v>0</v>
      </c>
      <c r="V1144" s="636">
        <v>2022</v>
      </c>
      <c r="W1144" s="640"/>
      <c r="X1144" s="641" t="str">
        <f t="shared" si="51"/>
        <v/>
      </c>
      <c r="Y1144" s="642" t="str">
        <f t="shared" si="52"/>
        <v/>
      </c>
      <c r="Z1144" s="642" t="str">
        <f t="shared" si="53"/>
        <v/>
      </c>
    </row>
    <row r="1145" spans="1:26" s="127" customFormat="1" ht="25">
      <c r="A1145" s="636">
        <v>57070</v>
      </c>
      <c r="B1145" s="637" t="s">
        <v>33</v>
      </c>
      <c r="C1145" s="636" t="s">
        <v>2725</v>
      </c>
      <c r="D1145" s="637" t="s">
        <v>1057</v>
      </c>
      <c r="E1145" s="637" t="s">
        <v>1057</v>
      </c>
      <c r="F1145" s="636">
        <v>56352</v>
      </c>
      <c r="G1145" s="637" t="s">
        <v>41</v>
      </c>
      <c r="H1145" s="637" t="s">
        <v>1163</v>
      </c>
      <c r="I1145" s="637" t="s">
        <v>58</v>
      </c>
      <c r="J1145" s="636">
        <v>22</v>
      </c>
      <c r="K1145" s="636">
        <v>2</v>
      </c>
      <c r="L1145" s="637" t="s">
        <v>52</v>
      </c>
      <c r="M1145" s="637" t="s">
        <v>50</v>
      </c>
      <c r="N1145" s="637" t="s">
        <v>76</v>
      </c>
      <c r="O1145" s="637" t="s">
        <v>67</v>
      </c>
      <c r="P1145" s="637" t="s">
        <v>47</v>
      </c>
      <c r="Q1145" s="638">
        <v>9384</v>
      </c>
      <c r="R1145" s="638">
        <v>9384</v>
      </c>
      <c r="S1145" s="638">
        <v>53112</v>
      </c>
      <c r="T1145" s="638">
        <v>53112</v>
      </c>
      <c r="U1145" s="638">
        <v>-267.51100000000002</v>
      </c>
      <c r="V1145" s="636">
        <v>2022</v>
      </c>
      <c r="W1145" s="640"/>
      <c r="X1145" s="641" t="str">
        <f t="shared" si="51"/>
        <v/>
      </c>
      <c r="Y1145" s="642" t="str">
        <f t="shared" si="52"/>
        <v/>
      </c>
      <c r="Z1145" s="642" t="str">
        <f t="shared" si="53"/>
        <v/>
      </c>
    </row>
    <row r="1146" spans="1:26" s="127" customFormat="1" ht="25">
      <c r="A1146" s="636">
        <v>57070</v>
      </c>
      <c r="B1146" s="637" t="s">
        <v>33</v>
      </c>
      <c r="C1146" s="636" t="s">
        <v>2725</v>
      </c>
      <c r="D1146" s="637" t="s">
        <v>1057</v>
      </c>
      <c r="E1146" s="637" t="s">
        <v>1057</v>
      </c>
      <c r="F1146" s="636">
        <v>56352</v>
      </c>
      <c r="G1146" s="637" t="s">
        <v>41</v>
      </c>
      <c r="H1146" s="637" t="s">
        <v>1163</v>
      </c>
      <c r="I1146" s="637" t="s">
        <v>58</v>
      </c>
      <c r="J1146" s="636">
        <v>22</v>
      </c>
      <c r="K1146" s="636">
        <v>2</v>
      </c>
      <c r="L1146" s="637" t="s">
        <v>52</v>
      </c>
      <c r="M1146" s="637" t="s">
        <v>50</v>
      </c>
      <c r="N1146" s="637" t="s">
        <v>39</v>
      </c>
      <c r="O1146" s="637" t="s">
        <v>39</v>
      </c>
      <c r="P1146" s="637" t="s">
        <v>1020</v>
      </c>
      <c r="Q1146" s="638">
        <v>1058</v>
      </c>
      <c r="R1146" s="638">
        <v>1058</v>
      </c>
      <c r="S1146" s="638">
        <v>1089</v>
      </c>
      <c r="T1146" s="638">
        <v>1089</v>
      </c>
      <c r="U1146" s="638">
        <v>-5.4889999999999999</v>
      </c>
      <c r="V1146" s="636">
        <v>2022</v>
      </c>
      <c r="W1146" s="640"/>
      <c r="X1146" s="641" t="str">
        <f t="shared" si="51"/>
        <v/>
      </c>
      <c r="Y1146" s="642" t="str">
        <f t="shared" si="52"/>
        <v/>
      </c>
      <c r="Z1146" s="642" t="str">
        <f t="shared" si="53"/>
        <v/>
      </c>
    </row>
    <row r="1147" spans="1:26" s="127" customFormat="1" ht="25">
      <c r="A1147" s="636">
        <v>57078</v>
      </c>
      <c r="B1147" s="637" t="s">
        <v>33</v>
      </c>
      <c r="C1147" s="636" t="s">
        <v>2725</v>
      </c>
      <c r="D1147" s="637" t="s">
        <v>1182</v>
      </c>
      <c r="E1147" s="637" t="s">
        <v>3035</v>
      </c>
      <c r="F1147" s="636">
        <v>59155</v>
      </c>
      <c r="G1147" s="637" t="s">
        <v>57</v>
      </c>
      <c r="H1147" s="637" t="s">
        <v>1162</v>
      </c>
      <c r="I1147" s="637" t="s">
        <v>58</v>
      </c>
      <c r="J1147" s="636">
        <v>22</v>
      </c>
      <c r="K1147" s="636">
        <v>2</v>
      </c>
      <c r="L1147" s="637" t="s">
        <v>52</v>
      </c>
      <c r="M1147" s="637" t="s">
        <v>71</v>
      </c>
      <c r="N1147" s="637" t="s">
        <v>72</v>
      </c>
      <c r="O1147" s="637" t="s">
        <v>72</v>
      </c>
      <c r="P1147" s="637" t="s">
        <v>1156</v>
      </c>
      <c r="Q1147" s="638">
        <v>0</v>
      </c>
      <c r="R1147" s="638">
        <v>0</v>
      </c>
      <c r="S1147" s="638">
        <v>228300</v>
      </c>
      <c r="T1147" s="638">
        <v>228300</v>
      </c>
      <c r="U1147" s="638">
        <v>66911</v>
      </c>
      <c r="V1147" s="636">
        <v>2022</v>
      </c>
      <c r="W1147" s="640"/>
      <c r="X1147" s="641">
        <f t="shared" si="51"/>
        <v>3.4119950381850517</v>
      </c>
      <c r="Y1147" s="642" t="str">
        <f t="shared" si="52"/>
        <v/>
      </c>
      <c r="Z1147" s="642" t="str">
        <f t="shared" si="53"/>
        <v/>
      </c>
    </row>
    <row r="1148" spans="1:26" s="127" customFormat="1" ht="25">
      <c r="A1148" s="636">
        <v>57080</v>
      </c>
      <c r="B1148" s="637" t="s">
        <v>33</v>
      </c>
      <c r="C1148" s="636" t="s">
        <v>2725</v>
      </c>
      <c r="D1148" s="637" t="s">
        <v>1105</v>
      </c>
      <c r="E1148" s="637" t="s">
        <v>3035</v>
      </c>
      <c r="F1148" s="636">
        <v>59155</v>
      </c>
      <c r="G1148" s="637" t="s">
        <v>89</v>
      </c>
      <c r="H1148" s="637" t="s">
        <v>1163</v>
      </c>
      <c r="I1148" s="637" t="s">
        <v>58</v>
      </c>
      <c r="J1148" s="636">
        <v>22</v>
      </c>
      <c r="K1148" s="636">
        <v>2</v>
      </c>
      <c r="L1148" s="637" t="s">
        <v>52</v>
      </c>
      <c r="M1148" s="637" t="s">
        <v>71</v>
      </c>
      <c r="N1148" s="637" t="s">
        <v>72</v>
      </c>
      <c r="O1148" s="637" t="s">
        <v>72</v>
      </c>
      <c r="P1148" s="637" t="s">
        <v>1156</v>
      </c>
      <c r="Q1148" s="638">
        <v>0</v>
      </c>
      <c r="R1148" s="638">
        <v>0</v>
      </c>
      <c r="S1148" s="638">
        <v>261385</v>
      </c>
      <c r="T1148" s="638">
        <v>261385</v>
      </c>
      <c r="U1148" s="638">
        <v>76608</v>
      </c>
      <c r="V1148" s="636">
        <v>2022</v>
      </c>
      <c r="W1148" s="640"/>
      <c r="X1148" s="641">
        <f t="shared" si="51"/>
        <v>3.4119804720133668</v>
      </c>
      <c r="Y1148" s="642" t="str">
        <f t="shared" si="52"/>
        <v/>
      </c>
      <c r="Z1148" s="642" t="str">
        <f t="shared" si="53"/>
        <v/>
      </c>
    </row>
    <row r="1149" spans="1:26" s="127" customFormat="1" ht="25">
      <c r="A1149" s="636">
        <v>57083</v>
      </c>
      <c r="B1149" s="637" t="s">
        <v>33</v>
      </c>
      <c r="C1149" s="636" t="s">
        <v>2725</v>
      </c>
      <c r="D1149" s="637" t="s">
        <v>1183</v>
      </c>
      <c r="E1149" s="637" t="s">
        <v>3035</v>
      </c>
      <c r="F1149" s="636">
        <v>59155</v>
      </c>
      <c r="G1149" s="637" t="s">
        <v>90</v>
      </c>
      <c r="H1149" s="637" t="s">
        <v>1163</v>
      </c>
      <c r="I1149" s="637" t="s">
        <v>58</v>
      </c>
      <c r="J1149" s="636">
        <v>22</v>
      </c>
      <c r="K1149" s="636">
        <v>2</v>
      </c>
      <c r="L1149" s="637" t="s">
        <v>52</v>
      </c>
      <c r="M1149" s="637" t="s">
        <v>71</v>
      </c>
      <c r="N1149" s="637" t="s">
        <v>72</v>
      </c>
      <c r="O1149" s="637" t="s">
        <v>72</v>
      </c>
      <c r="P1149" s="637" t="s">
        <v>1156</v>
      </c>
      <c r="Q1149" s="638">
        <v>0</v>
      </c>
      <c r="R1149" s="638">
        <v>0</v>
      </c>
      <c r="S1149" s="638">
        <v>327515</v>
      </c>
      <c r="T1149" s="638">
        <v>327515</v>
      </c>
      <c r="U1149" s="638">
        <v>95989</v>
      </c>
      <c r="V1149" s="636">
        <v>2022</v>
      </c>
      <c r="W1149" s="640"/>
      <c r="X1149" s="641">
        <f t="shared" si="51"/>
        <v>3.4120055423017219</v>
      </c>
      <c r="Y1149" s="642" t="str">
        <f t="shared" si="52"/>
        <v/>
      </c>
      <c r="Z1149" s="642" t="str">
        <f t="shared" si="53"/>
        <v/>
      </c>
    </row>
    <row r="1150" spans="1:26" s="127" customFormat="1" ht="25">
      <c r="A1150" s="636">
        <v>57130</v>
      </c>
      <c r="B1150" s="637" t="s">
        <v>33</v>
      </c>
      <c r="C1150" s="636" t="s">
        <v>2725</v>
      </c>
      <c r="D1150" s="637" t="s">
        <v>1017</v>
      </c>
      <c r="E1150" s="637" t="s">
        <v>1018</v>
      </c>
      <c r="F1150" s="636">
        <v>56439</v>
      </c>
      <c r="G1150" s="637" t="s">
        <v>90</v>
      </c>
      <c r="H1150" s="637" t="s">
        <v>1163</v>
      </c>
      <c r="I1150" s="637" t="s">
        <v>58</v>
      </c>
      <c r="J1150" s="636">
        <v>22</v>
      </c>
      <c r="K1150" s="636">
        <v>2</v>
      </c>
      <c r="L1150" s="637" t="s">
        <v>52</v>
      </c>
      <c r="M1150" s="637" t="s">
        <v>71</v>
      </c>
      <c r="N1150" s="637" t="s">
        <v>72</v>
      </c>
      <c r="O1150" s="637" t="s">
        <v>72</v>
      </c>
      <c r="P1150" s="637" t="s">
        <v>1156</v>
      </c>
      <c r="Q1150" s="638">
        <v>0</v>
      </c>
      <c r="R1150" s="638">
        <v>0</v>
      </c>
      <c r="S1150" s="638">
        <v>41493</v>
      </c>
      <c r="T1150" s="638">
        <v>41493</v>
      </c>
      <c r="U1150" s="638">
        <v>12161</v>
      </c>
      <c r="V1150" s="636">
        <v>2022</v>
      </c>
      <c r="W1150" s="640"/>
      <c r="X1150" s="641">
        <f t="shared" si="51"/>
        <v>3.4119726996135187</v>
      </c>
      <c r="Y1150" s="642" t="str">
        <f t="shared" si="52"/>
        <v/>
      </c>
      <c r="Z1150" s="642" t="str">
        <f t="shared" si="53"/>
        <v/>
      </c>
    </row>
    <row r="1151" spans="1:26" s="127" customFormat="1" ht="37.5" hidden="1">
      <c r="A1151" s="636">
        <v>57179</v>
      </c>
      <c r="B1151" s="637" t="s">
        <v>54</v>
      </c>
      <c r="C1151" s="636" t="s">
        <v>2725</v>
      </c>
      <c r="D1151" s="637" t="s">
        <v>1066</v>
      </c>
      <c r="E1151" s="637" t="s">
        <v>3608</v>
      </c>
      <c r="F1151" s="636">
        <v>65384</v>
      </c>
      <c r="G1151" s="637" t="s">
        <v>41</v>
      </c>
      <c r="H1151" s="637" t="s">
        <v>1163</v>
      </c>
      <c r="I1151" s="637" t="s">
        <v>58</v>
      </c>
      <c r="J1151" s="636">
        <v>622</v>
      </c>
      <c r="K1151" s="636">
        <v>5</v>
      </c>
      <c r="L1151" s="637" t="s">
        <v>407</v>
      </c>
      <c r="M1151" s="637" t="s">
        <v>50</v>
      </c>
      <c r="N1151" s="637" t="s">
        <v>39</v>
      </c>
      <c r="O1151" s="637" t="s">
        <v>39</v>
      </c>
      <c r="P1151" s="637" t="s">
        <v>1020</v>
      </c>
      <c r="Q1151" s="638">
        <v>356152</v>
      </c>
      <c r="R1151" s="638">
        <v>119192</v>
      </c>
      <c r="S1151" s="638">
        <v>365767</v>
      </c>
      <c r="T1151" s="638">
        <v>122411</v>
      </c>
      <c r="U1151" s="638">
        <v>26472</v>
      </c>
      <c r="V1151" s="636">
        <v>2022</v>
      </c>
      <c r="W1151" s="640"/>
      <c r="X1151" s="641" t="str">
        <f t="shared" si="51"/>
        <v/>
      </c>
      <c r="Y1151" s="642">
        <f t="shared" si="52"/>
        <v>5.3142798196062015</v>
      </c>
      <c r="Z1151" s="642" t="str">
        <f t="shared" si="53"/>
        <v/>
      </c>
    </row>
    <row r="1152" spans="1:26" s="127" customFormat="1" ht="25">
      <c r="A1152" s="636">
        <v>57184</v>
      </c>
      <c r="B1152" s="637" t="s">
        <v>33</v>
      </c>
      <c r="C1152" s="636" t="s">
        <v>2725</v>
      </c>
      <c r="D1152" s="637" t="s">
        <v>1019</v>
      </c>
      <c r="E1152" s="637" t="s">
        <v>1541</v>
      </c>
      <c r="F1152" s="636">
        <v>59178</v>
      </c>
      <c r="G1152" s="637" t="s">
        <v>90</v>
      </c>
      <c r="H1152" s="637" t="s">
        <v>1163</v>
      </c>
      <c r="I1152" s="637" t="s">
        <v>58</v>
      </c>
      <c r="J1152" s="636">
        <v>22</v>
      </c>
      <c r="K1152" s="636">
        <v>2</v>
      </c>
      <c r="L1152" s="637" t="s">
        <v>52</v>
      </c>
      <c r="M1152" s="637" t="s">
        <v>35</v>
      </c>
      <c r="N1152" s="637" t="s">
        <v>36</v>
      </c>
      <c r="O1152" s="637" t="s">
        <v>37</v>
      </c>
      <c r="P1152" s="637" t="s">
        <v>1156</v>
      </c>
      <c r="Q1152" s="638">
        <v>0</v>
      </c>
      <c r="R1152" s="638">
        <v>0</v>
      </c>
      <c r="S1152" s="638">
        <v>33810</v>
      </c>
      <c r="T1152" s="638">
        <v>33810</v>
      </c>
      <c r="U1152" s="638">
        <v>9909</v>
      </c>
      <c r="V1152" s="636">
        <v>2022</v>
      </c>
      <c r="W1152" s="640"/>
      <c r="X1152" s="641">
        <f t="shared" si="51"/>
        <v>3.4120496518316683</v>
      </c>
      <c r="Y1152" s="642" t="str">
        <f t="shared" si="52"/>
        <v/>
      </c>
      <c r="Z1152" s="642" t="str">
        <f t="shared" si="53"/>
        <v/>
      </c>
    </row>
    <row r="1153" spans="1:26" s="127" customFormat="1" ht="25">
      <c r="A1153" s="636">
        <v>57185</v>
      </c>
      <c r="B1153" s="637" t="s">
        <v>33</v>
      </c>
      <c r="C1153" s="636" t="s">
        <v>2725</v>
      </c>
      <c r="D1153" s="637" t="s">
        <v>3044</v>
      </c>
      <c r="E1153" s="637" t="s">
        <v>3045</v>
      </c>
      <c r="F1153" s="636">
        <v>56534</v>
      </c>
      <c r="G1153" s="637" t="s">
        <v>57</v>
      </c>
      <c r="H1153" s="637" t="s">
        <v>1162</v>
      </c>
      <c r="I1153" s="637" t="s">
        <v>58</v>
      </c>
      <c r="J1153" s="636">
        <v>22</v>
      </c>
      <c r="K1153" s="636">
        <v>2</v>
      </c>
      <c r="L1153" s="637" t="s">
        <v>52</v>
      </c>
      <c r="M1153" s="637" t="s">
        <v>38</v>
      </c>
      <c r="N1153" s="637" t="s">
        <v>39</v>
      </c>
      <c r="O1153" s="637" t="s">
        <v>39</v>
      </c>
      <c r="P1153" s="637" t="s">
        <v>1020</v>
      </c>
      <c r="Q1153" s="638">
        <v>533157</v>
      </c>
      <c r="R1153" s="638">
        <v>533157</v>
      </c>
      <c r="S1153" s="638">
        <v>553027</v>
      </c>
      <c r="T1153" s="638">
        <v>553027</v>
      </c>
      <c r="U1153" s="638">
        <v>1968565</v>
      </c>
      <c r="V1153" s="636">
        <v>2022</v>
      </c>
      <c r="W1153" s="640" t="s">
        <v>3934</v>
      </c>
      <c r="X1153" s="641">
        <f t="shared" si="51"/>
        <v>0.28092900158237094</v>
      </c>
      <c r="Y1153" s="642" t="str">
        <f t="shared" si="52"/>
        <v/>
      </c>
      <c r="Z1153" s="642" t="str">
        <f t="shared" si="53"/>
        <v/>
      </c>
    </row>
    <row r="1154" spans="1:26" s="127" customFormat="1" ht="25">
      <c r="A1154" s="636">
        <v>57185</v>
      </c>
      <c r="B1154" s="637" t="s">
        <v>33</v>
      </c>
      <c r="C1154" s="636" t="s">
        <v>2725</v>
      </c>
      <c r="D1154" s="637" t="s">
        <v>3044</v>
      </c>
      <c r="E1154" s="637" t="s">
        <v>3045</v>
      </c>
      <c r="F1154" s="636">
        <v>56534</v>
      </c>
      <c r="G1154" s="637" t="s">
        <v>57</v>
      </c>
      <c r="H1154" s="637" t="s">
        <v>1162</v>
      </c>
      <c r="I1154" s="637" t="s">
        <v>58</v>
      </c>
      <c r="J1154" s="636">
        <v>22</v>
      </c>
      <c r="K1154" s="636">
        <v>2</v>
      </c>
      <c r="L1154" s="637" t="s">
        <v>52</v>
      </c>
      <c r="M1154" s="637" t="s">
        <v>41</v>
      </c>
      <c r="N1154" s="637" t="s">
        <v>39</v>
      </c>
      <c r="O1154" s="637" t="s">
        <v>39</v>
      </c>
      <c r="P1154" s="637" t="s">
        <v>1020</v>
      </c>
      <c r="Q1154" s="638">
        <v>36298037</v>
      </c>
      <c r="R1154" s="638">
        <v>36298037</v>
      </c>
      <c r="S1154" s="638">
        <v>37652697</v>
      </c>
      <c r="T1154" s="638">
        <v>37652697</v>
      </c>
      <c r="U1154" s="638">
        <v>3493646</v>
      </c>
      <c r="V1154" s="636">
        <v>2022</v>
      </c>
      <c r="W1154" s="640" t="s">
        <v>3934</v>
      </c>
      <c r="X1154" s="641">
        <f t="shared" si="51"/>
        <v>10.777479172188595</v>
      </c>
      <c r="Y1154" s="642" t="str">
        <f t="shared" si="52"/>
        <v/>
      </c>
      <c r="Z1154" s="642" t="str">
        <f t="shared" si="53"/>
        <v/>
      </c>
    </row>
    <row r="1155" spans="1:26" s="127" customFormat="1" ht="25">
      <c r="A1155" s="636">
        <v>57186</v>
      </c>
      <c r="B1155" s="637" t="s">
        <v>33</v>
      </c>
      <c r="C1155" s="636" t="s">
        <v>2725</v>
      </c>
      <c r="D1155" s="637" t="s">
        <v>1058</v>
      </c>
      <c r="E1155" s="637" t="s">
        <v>3046</v>
      </c>
      <c r="F1155" s="636">
        <v>64137</v>
      </c>
      <c r="G1155" s="637" t="s">
        <v>57</v>
      </c>
      <c r="H1155" s="637" t="s">
        <v>1162</v>
      </c>
      <c r="I1155" s="637" t="s">
        <v>58</v>
      </c>
      <c r="J1155" s="636">
        <v>22</v>
      </c>
      <c r="K1155" s="636">
        <v>2</v>
      </c>
      <c r="L1155" s="637" t="s">
        <v>52</v>
      </c>
      <c r="M1155" s="637" t="s">
        <v>51</v>
      </c>
      <c r="N1155" s="637" t="s">
        <v>63</v>
      </c>
      <c r="O1155" s="637" t="s">
        <v>64</v>
      </c>
      <c r="P1155" s="637" t="s">
        <v>1020</v>
      </c>
      <c r="Q1155" s="638">
        <v>414890</v>
      </c>
      <c r="R1155" s="638">
        <v>414890</v>
      </c>
      <c r="S1155" s="638">
        <v>213668</v>
      </c>
      <c r="T1155" s="638">
        <v>213668</v>
      </c>
      <c r="U1155" s="638">
        <v>15805</v>
      </c>
      <c r="V1155" s="636">
        <v>2022</v>
      </c>
      <c r="W1155" s="640"/>
      <c r="X1155" s="641">
        <f t="shared" si="51"/>
        <v>13.519012970578931</v>
      </c>
      <c r="Y1155" s="642" t="str">
        <f t="shared" si="52"/>
        <v/>
      </c>
      <c r="Z1155" s="642" t="str">
        <f t="shared" si="53"/>
        <v/>
      </c>
    </row>
    <row r="1156" spans="1:26" s="127" customFormat="1" ht="25">
      <c r="A1156" s="636">
        <v>57253</v>
      </c>
      <c r="B1156" s="637" t="s">
        <v>33</v>
      </c>
      <c r="C1156" s="636" t="s">
        <v>2725</v>
      </c>
      <c r="D1156" s="637" t="s">
        <v>1059</v>
      </c>
      <c r="E1156" s="637" t="s">
        <v>1575</v>
      </c>
      <c r="F1156" s="636">
        <v>56619</v>
      </c>
      <c r="G1156" s="637" t="s">
        <v>81</v>
      </c>
      <c r="H1156" s="637" t="s">
        <v>1163</v>
      </c>
      <c r="I1156" s="637" t="s">
        <v>58</v>
      </c>
      <c r="J1156" s="636">
        <v>22</v>
      </c>
      <c r="K1156" s="636">
        <v>2</v>
      </c>
      <c r="L1156" s="637" t="s">
        <v>52</v>
      </c>
      <c r="M1156" s="637" t="s">
        <v>71</v>
      </c>
      <c r="N1156" s="637" t="s">
        <v>72</v>
      </c>
      <c r="O1156" s="637" t="s">
        <v>72</v>
      </c>
      <c r="P1156" s="637" t="s">
        <v>1156</v>
      </c>
      <c r="Q1156" s="638">
        <v>0</v>
      </c>
      <c r="R1156" s="638">
        <v>0</v>
      </c>
      <c r="S1156" s="638">
        <v>32545</v>
      </c>
      <c r="T1156" s="638">
        <v>32545</v>
      </c>
      <c r="U1156" s="638">
        <v>9538</v>
      </c>
      <c r="V1156" s="636">
        <v>2022</v>
      </c>
      <c r="W1156" s="640"/>
      <c r="X1156" s="641">
        <f t="shared" si="51"/>
        <v>3.4121409100440343</v>
      </c>
      <c r="Y1156" s="642" t="str">
        <f t="shared" si="52"/>
        <v/>
      </c>
      <c r="Z1156" s="642" t="str">
        <f t="shared" si="53"/>
        <v/>
      </c>
    </row>
    <row r="1157" spans="1:26" s="127" customFormat="1" ht="25">
      <c r="A1157" s="636">
        <v>57265</v>
      </c>
      <c r="B1157" s="637" t="s">
        <v>33</v>
      </c>
      <c r="C1157" s="636" t="s">
        <v>2725</v>
      </c>
      <c r="D1157" s="637" t="s">
        <v>1184</v>
      </c>
      <c r="E1157" s="637" t="s">
        <v>1061</v>
      </c>
      <c r="F1157" s="636">
        <v>11804</v>
      </c>
      <c r="G1157" s="637" t="s">
        <v>81</v>
      </c>
      <c r="H1157" s="637" t="s">
        <v>1163</v>
      </c>
      <c r="I1157" s="637" t="s">
        <v>58</v>
      </c>
      <c r="J1157" s="636">
        <v>22</v>
      </c>
      <c r="K1157" s="636">
        <v>1</v>
      </c>
      <c r="L1157" s="637" t="s">
        <v>34</v>
      </c>
      <c r="M1157" s="637" t="s">
        <v>441</v>
      </c>
      <c r="N1157" s="637" t="s">
        <v>442</v>
      </c>
      <c r="O1157" s="637" t="s">
        <v>442</v>
      </c>
      <c r="P1157" s="637" t="s">
        <v>1156</v>
      </c>
      <c r="Q1157" s="638">
        <v>0</v>
      </c>
      <c r="R1157" s="638">
        <v>0</v>
      </c>
      <c r="S1157" s="638">
        <v>3785</v>
      </c>
      <c r="T1157" s="638">
        <v>3785</v>
      </c>
      <c r="U1157" s="638">
        <v>1109</v>
      </c>
      <c r="V1157" s="636">
        <v>2022</v>
      </c>
      <c r="W1157" s="640"/>
      <c r="X1157" s="641">
        <f t="shared" si="51"/>
        <v>3.4129846708746618</v>
      </c>
      <c r="Y1157" s="642" t="str">
        <f t="shared" si="52"/>
        <v/>
      </c>
      <c r="Z1157" s="642" t="str">
        <f t="shared" si="53"/>
        <v/>
      </c>
    </row>
    <row r="1158" spans="1:26" s="127" customFormat="1" ht="25">
      <c r="A1158" s="636">
        <v>57269</v>
      </c>
      <c r="B1158" s="637" t="s">
        <v>33</v>
      </c>
      <c r="C1158" s="636" t="s">
        <v>2725</v>
      </c>
      <c r="D1158" s="637" t="s">
        <v>1060</v>
      </c>
      <c r="E1158" s="637" t="s">
        <v>1061</v>
      </c>
      <c r="F1158" s="636">
        <v>11804</v>
      </c>
      <c r="G1158" s="637" t="s">
        <v>81</v>
      </c>
      <c r="H1158" s="637" t="s">
        <v>1163</v>
      </c>
      <c r="I1158" s="637" t="s">
        <v>58</v>
      </c>
      <c r="J1158" s="636">
        <v>22</v>
      </c>
      <c r="K1158" s="636">
        <v>1</v>
      </c>
      <c r="L1158" s="637" t="s">
        <v>34</v>
      </c>
      <c r="M1158" s="637" t="s">
        <v>441</v>
      </c>
      <c r="N1158" s="637" t="s">
        <v>442</v>
      </c>
      <c r="O1158" s="637" t="s">
        <v>442</v>
      </c>
      <c r="P1158" s="637" t="s">
        <v>1156</v>
      </c>
      <c r="Q1158" s="638">
        <v>0</v>
      </c>
      <c r="R1158" s="638">
        <v>0</v>
      </c>
      <c r="S1158" s="638">
        <v>3577</v>
      </c>
      <c r="T1158" s="638">
        <v>3577</v>
      </c>
      <c r="U1158" s="638">
        <v>1048</v>
      </c>
      <c r="V1158" s="636">
        <v>2022</v>
      </c>
      <c r="W1158" s="640"/>
      <c r="X1158" s="641">
        <f t="shared" si="51"/>
        <v>3.4131679389312977</v>
      </c>
      <c r="Y1158" s="642" t="str">
        <f t="shared" si="52"/>
        <v/>
      </c>
      <c r="Z1158" s="642" t="str">
        <f t="shared" si="53"/>
        <v/>
      </c>
    </row>
    <row r="1159" spans="1:26" s="127" customFormat="1" ht="25">
      <c r="A1159" s="636">
        <v>57270</v>
      </c>
      <c r="B1159" s="637" t="s">
        <v>33</v>
      </c>
      <c r="C1159" s="636" t="s">
        <v>2725</v>
      </c>
      <c r="D1159" s="637" t="s">
        <v>1062</v>
      </c>
      <c r="E1159" s="637" t="s">
        <v>1061</v>
      </c>
      <c r="F1159" s="636">
        <v>11804</v>
      </c>
      <c r="G1159" s="637" t="s">
        <v>81</v>
      </c>
      <c r="H1159" s="637" t="s">
        <v>1163</v>
      </c>
      <c r="I1159" s="637" t="s">
        <v>58</v>
      </c>
      <c r="J1159" s="636">
        <v>22</v>
      </c>
      <c r="K1159" s="636">
        <v>1</v>
      </c>
      <c r="L1159" s="637" t="s">
        <v>34</v>
      </c>
      <c r="M1159" s="637" t="s">
        <v>441</v>
      </c>
      <c r="N1159" s="637" t="s">
        <v>442</v>
      </c>
      <c r="O1159" s="637" t="s">
        <v>442</v>
      </c>
      <c r="P1159" s="637" t="s">
        <v>1156</v>
      </c>
      <c r="Q1159" s="638">
        <v>0</v>
      </c>
      <c r="R1159" s="638">
        <v>0</v>
      </c>
      <c r="S1159" s="638">
        <v>3770</v>
      </c>
      <c r="T1159" s="638">
        <v>3770</v>
      </c>
      <c r="U1159" s="638">
        <v>1105</v>
      </c>
      <c r="V1159" s="636">
        <v>2022</v>
      </c>
      <c r="W1159" s="640"/>
      <c r="X1159" s="641">
        <f t="shared" si="51"/>
        <v>3.4117647058823528</v>
      </c>
      <c r="Y1159" s="642" t="str">
        <f t="shared" si="52"/>
        <v/>
      </c>
      <c r="Z1159" s="642" t="str">
        <f t="shared" si="53"/>
        <v/>
      </c>
    </row>
    <row r="1160" spans="1:26" s="127" customFormat="1" ht="25">
      <c r="A1160" s="636">
        <v>57287</v>
      </c>
      <c r="B1160" s="637" t="s">
        <v>33</v>
      </c>
      <c r="C1160" s="636" t="s">
        <v>2725</v>
      </c>
      <c r="D1160" s="637" t="s">
        <v>1106</v>
      </c>
      <c r="E1160" s="637" t="s">
        <v>1875</v>
      </c>
      <c r="F1160" s="636">
        <v>15399</v>
      </c>
      <c r="G1160" s="637" t="s">
        <v>57</v>
      </c>
      <c r="H1160" s="637" t="s">
        <v>1162</v>
      </c>
      <c r="I1160" s="637" t="s">
        <v>58</v>
      </c>
      <c r="J1160" s="636">
        <v>22</v>
      </c>
      <c r="K1160" s="636">
        <v>2</v>
      </c>
      <c r="L1160" s="637" t="s">
        <v>52</v>
      </c>
      <c r="M1160" s="637" t="s">
        <v>71</v>
      </c>
      <c r="N1160" s="637" t="s">
        <v>72</v>
      </c>
      <c r="O1160" s="637" t="s">
        <v>72</v>
      </c>
      <c r="P1160" s="637" t="s">
        <v>1156</v>
      </c>
      <c r="Q1160" s="638">
        <v>0</v>
      </c>
      <c r="R1160" s="638">
        <v>0</v>
      </c>
      <c r="S1160" s="638">
        <v>594888</v>
      </c>
      <c r="T1160" s="638">
        <v>594888</v>
      </c>
      <c r="U1160" s="638">
        <v>174352</v>
      </c>
      <c r="V1160" s="636">
        <v>2022</v>
      </c>
      <c r="W1160" s="640"/>
      <c r="X1160" s="641">
        <f t="shared" ref="X1160:X1223" si="54">IF(OR(K1160&gt;3,T1160=0,NOT(U1160&gt;0)),"",T1160/U1160)</f>
        <v>3.4119941268238967</v>
      </c>
      <c r="Y1160" s="642" t="str">
        <f t="shared" ref="Y1160:Y1223" si="55">IF(AND($M1160=$Y$2,$N1160=$Y$3,NOT($Q1160=$R1160),NOT($U1160=0)),IF($K1160=5,$S1160/($U1160+(8/5)*$U1160),IF($K1160=7,$S1160/($U1160+(29/25)*$U1160),"")),"")</f>
        <v/>
      </c>
      <c r="Z1160" s="642" t="str">
        <f t="shared" si="53"/>
        <v/>
      </c>
    </row>
    <row r="1161" spans="1:26" s="127" customFormat="1" ht="25">
      <c r="A1161" s="636">
        <v>57354</v>
      </c>
      <c r="B1161" s="637" t="s">
        <v>33</v>
      </c>
      <c r="C1161" s="636" t="s">
        <v>2725</v>
      </c>
      <c r="D1161" s="637" t="s">
        <v>1063</v>
      </c>
      <c r="E1161" s="637" t="s">
        <v>1063</v>
      </c>
      <c r="F1161" s="636">
        <v>56693</v>
      </c>
      <c r="G1161" s="637" t="s">
        <v>90</v>
      </c>
      <c r="H1161" s="637" t="s">
        <v>1163</v>
      </c>
      <c r="I1161" s="637" t="s">
        <v>58</v>
      </c>
      <c r="J1161" s="636">
        <v>22</v>
      </c>
      <c r="K1161" s="636">
        <v>2</v>
      </c>
      <c r="L1161" s="637" t="s">
        <v>52</v>
      </c>
      <c r="M1161" s="637" t="s">
        <v>71</v>
      </c>
      <c r="N1161" s="637" t="s">
        <v>72</v>
      </c>
      <c r="O1161" s="637" t="s">
        <v>72</v>
      </c>
      <c r="P1161" s="637" t="s">
        <v>1156</v>
      </c>
      <c r="Q1161" s="638">
        <v>0</v>
      </c>
      <c r="R1161" s="638">
        <v>0</v>
      </c>
      <c r="S1161" s="638">
        <v>26500</v>
      </c>
      <c r="T1161" s="638">
        <v>26500</v>
      </c>
      <c r="U1161" s="638">
        <v>7767</v>
      </c>
      <c r="V1161" s="636">
        <v>2022</v>
      </c>
      <c r="W1161" s="640"/>
      <c r="X1161" s="641">
        <f t="shared" si="54"/>
        <v>3.4118707351615809</v>
      </c>
      <c r="Y1161" s="642" t="str">
        <f t="shared" si="55"/>
        <v/>
      </c>
      <c r="Z1161" s="642" t="str">
        <f t="shared" si="53"/>
        <v/>
      </c>
    </row>
    <row r="1162" spans="1:26" s="127" customFormat="1" ht="25">
      <c r="A1162" s="636">
        <v>57380</v>
      </c>
      <c r="B1162" s="637" t="s">
        <v>33</v>
      </c>
      <c r="C1162" s="636" t="s">
        <v>2725</v>
      </c>
      <c r="D1162" s="637" t="s">
        <v>1185</v>
      </c>
      <c r="E1162" s="637" t="s">
        <v>1875</v>
      </c>
      <c r="F1162" s="636">
        <v>15399</v>
      </c>
      <c r="G1162" s="637" t="s">
        <v>81</v>
      </c>
      <c r="H1162" s="637" t="s">
        <v>1163</v>
      </c>
      <c r="I1162" s="637" t="s">
        <v>58</v>
      </c>
      <c r="J1162" s="636">
        <v>22</v>
      </c>
      <c r="K1162" s="636">
        <v>2</v>
      </c>
      <c r="L1162" s="637" t="s">
        <v>52</v>
      </c>
      <c r="M1162" s="637" t="s">
        <v>71</v>
      </c>
      <c r="N1162" s="637" t="s">
        <v>72</v>
      </c>
      <c r="O1162" s="637" t="s">
        <v>72</v>
      </c>
      <c r="P1162" s="637" t="s">
        <v>1156</v>
      </c>
      <c r="Q1162" s="638">
        <v>0</v>
      </c>
      <c r="R1162" s="638">
        <v>0</v>
      </c>
      <c r="S1162" s="638">
        <v>282213</v>
      </c>
      <c r="T1162" s="638">
        <v>282213</v>
      </c>
      <c r="U1162" s="638">
        <v>82712</v>
      </c>
      <c r="V1162" s="636">
        <v>2022</v>
      </c>
      <c r="W1162" s="640"/>
      <c r="X1162" s="641">
        <f t="shared" si="54"/>
        <v>3.4119958409904245</v>
      </c>
      <c r="Y1162" s="642" t="str">
        <f t="shared" si="55"/>
        <v/>
      </c>
      <c r="Z1162" s="642" t="str">
        <f t="shared" si="53"/>
        <v/>
      </c>
    </row>
    <row r="1163" spans="1:26" s="127" customFormat="1" ht="25">
      <c r="A1163" s="636">
        <v>57404</v>
      </c>
      <c r="B1163" s="637" t="s">
        <v>33</v>
      </c>
      <c r="C1163" s="636" t="s">
        <v>2725</v>
      </c>
      <c r="D1163" s="637" t="s">
        <v>1186</v>
      </c>
      <c r="E1163" s="637" t="s">
        <v>892</v>
      </c>
      <c r="F1163" s="636">
        <v>54842</v>
      </c>
      <c r="G1163" s="637" t="s">
        <v>57</v>
      </c>
      <c r="H1163" s="637" t="s">
        <v>1162</v>
      </c>
      <c r="I1163" s="637" t="s">
        <v>58</v>
      </c>
      <c r="J1163" s="636">
        <v>22</v>
      </c>
      <c r="K1163" s="636">
        <v>2</v>
      </c>
      <c r="L1163" s="637" t="s">
        <v>52</v>
      </c>
      <c r="M1163" s="637" t="s">
        <v>51</v>
      </c>
      <c r="N1163" s="637" t="s">
        <v>63</v>
      </c>
      <c r="O1163" s="637" t="s">
        <v>64</v>
      </c>
      <c r="P1163" s="637" t="s">
        <v>1020</v>
      </c>
      <c r="Q1163" s="638">
        <v>588702</v>
      </c>
      <c r="R1163" s="638">
        <v>588702</v>
      </c>
      <c r="S1163" s="638">
        <v>282577</v>
      </c>
      <c r="T1163" s="638">
        <v>282577</v>
      </c>
      <c r="U1163" s="638">
        <v>26603</v>
      </c>
      <c r="V1163" s="636">
        <v>2022</v>
      </c>
      <c r="W1163" s="640"/>
      <c r="X1163" s="641">
        <f t="shared" si="54"/>
        <v>10.621997519076796</v>
      </c>
      <c r="Y1163" s="642" t="str">
        <f t="shared" si="55"/>
        <v/>
      </c>
      <c r="Z1163" s="642" t="str">
        <f t="shared" si="53"/>
        <v/>
      </c>
    </row>
    <row r="1164" spans="1:26" s="127" customFormat="1" ht="25">
      <c r="A1164" s="636">
        <v>57414</v>
      </c>
      <c r="B1164" s="637" t="s">
        <v>33</v>
      </c>
      <c r="C1164" s="636" t="s">
        <v>2725</v>
      </c>
      <c r="D1164" s="637" t="s">
        <v>1064</v>
      </c>
      <c r="E1164" s="637" t="s">
        <v>1065</v>
      </c>
      <c r="F1164" s="636">
        <v>56742</v>
      </c>
      <c r="G1164" s="637" t="s">
        <v>81</v>
      </c>
      <c r="H1164" s="637" t="s">
        <v>1163</v>
      </c>
      <c r="I1164" s="637" t="s">
        <v>58</v>
      </c>
      <c r="J1164" s="636">
        <v>22</v>
      </c>
      <c r="K1164" s="636">
        <v>2</v>
      </c>
      <c r="L1164" s="637" t="s">
        <v>52</v>
      </c>
      <c r="M1164" s="637" t="s">
        <v>71</v>
      </c>
      <c r="N1164" s="637" t="s">
        <v>72</v>
      </c>
      <c r="O1164" s="637" t="s">
        <v>72</v>
      </c>
      <c r="P1164" s="637" t="s">
        <v>1156</v>
      </c>
      <c r="Q1164" s="638">
        <v>0</v>
      </c>
      <c r="R1164" s="638">
        <v>0</v>
      </c>
      <c r="S1164" s="638">
        <v>16105</v>
      </c>
      <c r="T1164" s="638">
        <v>16105</v>
      </c>
      <c r="U1164" s="638">
        <v>4720</v>
      </c>
      <c r="V1164" s="636">
        <v>2022</v>
      </c>
      <c r="W1164" s="640"/>
      <c r="X1164" s="641">
        <f t="shared" si="54"/>
        <v>3.4120762711864407</v>
      </c>
      <c r="Y1164" s="642" t="str">
        <f t="shared" si="55"/>
        <v/>
      </c>
      <c r="Z1164" s="642" t="str">
        <f t="shared" si="53"/>
        <v/>
      </c>
    </row>
    <row r="1165" spans="1:26" s="127" customFormat="1" ht="25">
      <c r="A1165" s="636">
        <v>57473</v>
      </c>
      <c r="B1165" s="637" t="s">
        <v>33</v>
      </c>
      <c r="C1165" s="636" t="s">
        <v>2725</v>
      </c>
      <c r="D1165" s="637" t="s">
        <v>1107</v>
      </c>
      <c r="E1165" s="637" t="s">
        <v>1108</v>
      </c>
      <c r="F1165" s="636">
        <v>56769</v>
      </c>
      <c r="G1165" s="637" t="s">
        <v>81</v>
      </c>
      <c r="H1165" s="637" t="s">
        <v>1163</v>
      </c>
      <c r="I1165" s="637" t="s">
        <v>58</v>
      </c>
      <c r="J1165" s="636">
        <v>22</v>
      </c>
      <c r="K1165" s="636">
        <v>2</v>
      </c>
      <c r="L1165" s="637" t="s">
        <v>52</v>
      </c>
      <c r="M1165" s="637" t="s">
        <v>441</v>
      </c>
      <c r="N1165" s="637" t="s">
        <v>442</v>
      </c>
      <c r="O1165" s="637" t="s">
        <v>442</v>
      </c>
      <c r="P1165" s="637" t="s">
        <v>1156</v>
      </c>
      <c r="Q1165" s="638">
        <v>0</v>
      </c>
      <c r="R1165" s="638">
        <v>0</v>
      </c>
      <c r="S1165" s="638">
        <v>7400</v>
      </c>
      <c r="T1165" s="638">
        <v>7400</v>
      </c>
      <c r="U1165" s="638">
        <v>2169</v>
      </c>
      <c r="V1165" s="636">
        <v>2022</v>
      </c>
      <c r="W1165" s="640"/>
      <c r="X1165" s="641">
        <f t="shared" si="54"/>
        <v>3.4117104656523742</v>
      </c>
      <c r="Y1165" s="642" t="str">
        <f t="shared" si="55"/>
        <v/>
      </c>
      <c r="Z1165" s="642" t="str">
        <f t="shared" si="53"/>
        <v/>
      </c>
    </row>
    <row r="1166" spans="1:26" s="127" customFormat="1" ht="25">
      <c r="A1166" s="636">
        <v>57481</v>
      </c>
      <c r="B1166" s="637" t="s">
        <v>33</v>
      </c>
      <c r="C1166" s="636" t="s">
        <v>2725</v>
      </c>
      <c r="D1166" s="637" t="s">
        <v>1109</v>
      </c>
      <c r="E1166" s="637" t="s">
        <v>1110</v>
      </c>
      <c r="F1166" s="636">
        <v>56795</v>
      </c>
      <c r="G1166" s="637" t="s">
        <v>89</v>
      </c>
      <c r="H1166" s="637" t="s">
        <v>1163</v>
      </c>
      <c r="I1166" s="637" t="s">
        <v>58</v>
      </c>
      <c r="J1166" s="636">
        <v>22</v>
      </c>
      <c r="K1166" s="636">
        <v>2</v>
      </c>
      <c r="L1166" s="637" t="s">
        <v>52</v>
      </c>
      <c r="M1166" s="637" t="s">
        <v>441</v>
      </c>
      <c r="N1166" s="637" t="s">
        <v>442</v>
      </c>
      <c r="O1166" s="637" t="s">
        <v>442</v>
      </c>
      <c r="P1166" s="637" t="s">
        <v>1156</v>
      </c>
      <c r="Q1166" s="638">
        <v>0</v>
      </c>
      <c r="R1166" s="638">
        <v>0</v>
      </c>
      <c r="S1166" s="638">
        <v>10920</v>
      </c>
      <c r="T1166" s="638">
        <v>10920</v>
      </c>
      <c r="U1166" s="638">
        <v>3200</v>
      </c>
      <c r="V1166" s="636">
        <v>2022</v>
      </c>
      <c r="W1166" s="640"/>
      <c r="X1166" s="641">
        <f t="shared" si="54"/>
        <v>3.4125000000000001</v>
      </c>
      <c r="Y1166" s="642" t="str">
        <f t="shared" si="55"/>
        <v/>
      </c>
      <c r="Z1166" s="642" t="str">
        <f t="shared" si="53"/>
        <v/>
      </c>
    </row>
    <row r="1167" spans="1:26" s="127" customFormat="1" ht="25">
      <c r="A1167" s="636">
        <v>57531</v>
      </c>
      <c r="B1167" s="637" t="s">
        <v>33</v>
      </c>
      <c r="C1167" s="636" t="s">
        <v>2725</v>
      </c>
      <c r="D1167" s="637" t="s">
        <v>1876</v>
      </c>
      <c r="E1167" s="637" t="s">
        <v>3043</v>
      </c>
      <c r="F1167" s="636">
        <v>60453</v>
      </c>
      <c r="G1167" s="637" t="s">
        <v>90</v>
      </c>
      <c r="H1167" s="637" t="s">
        <v>1163</v>
      </c>
      <c r="I1167" s="637" t="s">
        <v>58</v>
      </c>
      <c r="J1167" s="636">
        <v>22</v>
      </c>
      <c r="K1167" s="636">
        <v>2</v>
      </c>
      <c r="L1167" s="637" t="s">
        <v>52</v>
      </c>
      <c r="M1167" s="637" t="s">
        <v>71</v>
      </c>
      <c r="N1167" s="637" t="s">
        <v>72</v>
      </c>
      <c r="O1167" s="637" t="s">
        <v>72</v>
      </c>
      <c r="P1167" s="637" t="s">
        <v>1156</v>
      </c>
      <c r="Q1167" s="638">
        <v>0</v>
      </c>
      <c r="R1167" s="638">
        <v>0</v>
      </c>
      <c r="S1167" s="638">
        <v>1759044</v>
      </c>
      <c r="T1167" s="638">
        <v>1759044</v>
      </c>
      <c r="U1167" s="638">
        <v>515546</v>
      </c>
      <c r="V1167" s="636">
        <v>2022</v>
      </c>
      <c r="W1167" s="640"/>
      <c r="X1167" s="641">
        <f t="shared" si="54"/>
        <v>3.4120020327962974</v>
      </c>
      <c r="Y1167" s="642" t="str">
        <f t="shared" si="55"/>
        <v/>
      </c>
      <c r="Z1167" s="642" t="str">
        <f t="shared" si="53"/>
        <v/>
      </c>
    </row>
    <row r="1168" spans="1:26" s="127" customFormat="1" ht="25">
      <c r="A1168" s="636">
        <v>57568</v>
      </c>
      <c r="B1168" s="637" t="s">
        <v>33</v>
      </c>
      <c r="C1168" s="636" t="s">
        <v>2725</v>
      </c>
      <c r="D1168" s="637" t="s">
        <v>1187</v>
      </c>
      <c r="E1168" s="637" t="s">
        <v>1188</v>
      </c>
      <c r="F1168" s="636">
        <v>56909</v>
      </c>
      <c r="G1168" s="637" t="s">
        <v>90</v>
      </c>
      <c r="H1168" s="637" t="s">
        <v>1163</v>
      </c>
      <c r="I1168" s="637" t="s">
        <v>58</v>
      </c>
      <c r="J1168" s="636">
        <v>22</v>
      </c>
      <c r="K1168" s="636">
        <v>2</v>
      </c>
      <c r="L1168" s="637" t="s">
        <v>52</v>
      </c>
      <c r="M1168" s="637" t="s">
        <v>71</v>
      </c>
      <c r="N1168" s="637" t="s">
        <v>72</v>
      </c>
      <c r="O1168" s="637" t="s">
        <v>72</v>
      </c>
      <c r="P1168" s="637" t="s">
        <v>1156</v>
      </c>
      <c r="Q1168" s="638">
        <v>0</v>
      </c>
      <c r="R1168" s="638">
        <v>0</v>
      </c>
      <c r="S1168" s="638">
        <v>426288</v>
      </c>
      <c r="T1168" s="638">
        <v>426288</v>
      </c>
      <c r="U1168" s="638">
        <v>124938</v>
      </c>
      <c r="V1168" s="636">
        <v>2022</v>
      </c>
      <c r="W1168" s="640"/>
      <c r="X1168" s="641">
        <f t="shared" si="54"/>
        <v>3.4119963501896939</v>
      </c>
      <c r="Y1168" s="642" t="str">
        <f t="shared" si="55"/>
        <v/>
      </c>
      <c r="Z1168" s="642" t="str">
        <f t="shared" ref="Z1168:Z1231" si="56">IF(AND($M1168=$Y$2,$N1168=$Y$4,NOT($Q1168=$R1168),NOT($U1168=0)),IF($K1168=5,$S1168/($U1168+(8/5)*$U1168),IF($K1168=7,$S1168/($U1168+(29/25)*$U1168),"")),"")</f>
        <v/>
      </c>
    </row>
    <row r="1169" spans="1:26" s="127" customFormat="1" ht="25">
      <c r="A1169" s="636">
        <v>57589</v>
      </c>
      <c r="B1169" s="637" t="s">
        <v>33</v>
      </c>
      <c r="C1169" s="636" t="s">
        <v>2725</v>
      </c>
      <c r="D1169" s="637" t="s">
        <v>1111</v>
      </c>
      <c r="E1169" s="637" t="s">
        <v>1111</v>
      </c>
      <c r="F1169" s="636">
        <v>56924</v>
      </c>
      <c r="G1169" s="637" t="s">
        <v>57</v>
      </c>
      <c r="H1169" s="637" t="s">
        <v>1162</v>
      </c>
      <c r="I1169" s="637" t="s">
        <v>58</v>
      </c>
      <c r="J1169" s="636">
        <v>22</v>
      </c>
      <c r="K1169" s="636">
        <v>2</v>
      </c>
      <c r="L1169" s="637" t="s">
        <v>52</v>
      </c>
      <c r="M1169" s="637" t="s">
        <v>441</v>
      </c>
      <c r="N1169" s="637" t="s">
        <v>442</v>
      </c>
      <c r="O1169" s="637" t="s">
        <v>442</v>
      </c>
      <c r="P1169" s="637" t="s">
        <v>1156</v>
      </c>
      <c r="Q1169" s="638">
        <v>0</v>
      </c>
      <c r="R1169" s="638">
        <v>0</v>
      </c>
      <c r="S1169" s="638">
        <v>171293</v>
      </c>
      <c r="T1169" s="638">
        <v>171293</v>
      </c>
      <c r="U1169" s="638">
        <v>50203</v>
      </c>
      <c r="V1169" s="636">
        <v>2022</v>
      </c>
      <c r="W1169" s="640"/>
      <c r="X1169" s="641">
        <f t="shared" si="54"/>
        <v>3.4120072505627155</v>
      </c>
      <c r="Y1169" s="642" t="str">
        <f t="shared" si="55"/>
        <v/>
      </c>
      <c r="Z1169" s="642" t="str">
        <f t="shared" si="56"/>
        <v/>
      </c>
    </row>
    <row r="1170" spans="1:26" s="127" customFormat="1" ht="25">
      <c r="A1170" s="636">
        <v>57598</v>
      </c>
      <c r="B1170" s="637" t="s">
        <v>33</v>
      </c>
      <c r="C1170" s="636" t="s">
        <v>2725</v>
      </c>
      <c r="D1170" s="637" t="s">
        <v>1112</v>
      </c>
      <c r="E1170" s="637" t="s">
        <v>371</v>
      </c>
      <c r="F1170" s="636">
        <v>4180</v>
      </c>
      <c r="G1170" s="637" t="s">
        <v>41</v>
      </c>
      <c r="H1170" s="637" t="s">
        <v>1163</v>
      </c>
      <c r="I1170" s="637" t="s">
        <v>58</v>
      </c>
      <c r="J1170" s="636">
        <v>22</v>
      </c>
      <c r="K1170" s="636">
        <v>1</v>
      </c>
      <c r="L1170" s="637" t="s">
        <v>34</v>
      </c>
      <c r="M1170" s="637" t="s">
        <v>51</v>
      </c>
      <c r="N1170" s="637" t="s">
        <v>46</v>
      </c>
      <c r="O1170" s="637" t="s">
        <v>46</v>
      </c>
      <c r="P1170" s="637" t="s">
        <v>47</v>
      </c>
      <c r="Q1170" s="638">
        <v>778</v>
      </c>
      <c r="R1170" s="638">
        <v>778</v>
      </c>
      <c r="S1170" s="638">
        <v>4527</v>
      </c>
      <c r="T1170" s="638">
        <v>4527</v>
      </c>
      <c r="U1170" s="638">
        <v>455</v>
      </c>
      <c r="V1170" s="636">
        <v>2022</v>
      </c>
      <c r="W1170" s="640"/>
      <c r="X1170" s="641">
        <f t="shared" si="54"/>
        <v>9.9494505494505496</v>
      </c>
      <c r="Y1170" s="642" t="str">
        <f t="shared" si="55"/>
        <v/>
      </c>
      <c r="Z1170" s="642" t="str">
        <f t="shared" si="56"/>
        <v/>
      </c>
    </row>
    <row r="1171" spans="1:26" s="127" customFormat="1" ht="25">
      <c r="A1171" s="636">
        <v>57598</v>
      </c>
      <c r="B1171" s="637" t="s">
        <v>33</v>
      </c>
      <c r="C1171" s="636" t="s">
        <v>2725</v>
      </c>
      <c r="D1171" s="637" t="s">
        <v>1112</v>
      </c>
      <c r="E1171" s="637" t="s">
        <v>371</v>
      </c>
      <c r="F1171" s="636">
        <v>4180</v>
      </c>
      <c r="G1171" s="637" t="s">
        <v>41</v>
      </c>
      <c r="H1171" s="637" t="s">
        <v>1163</v>
      </c>
      <c r="I1171" s="637" t="s">
        <v>58</v>
      </c>
      <c r="J1171" s="636">
        <v>22</v>
      </c>
      <c r="K1171" s="636">
        <v>1</v>
      </c>
      <c r="L1171" s="637" t="s">
        <v>34</v>
      </c>
      <c r="M1171" s="637" t="s">
        <v>51</v>
      </c>
      <c r="N1171" s="637" t="s">
        <v>61</v>
      </c>
      <c r="O1171" s="637" t="s">
        <v>61</v>
      </c>
      <c r="P1171" s="637" t="s">
        <v>47</v>
      </c>
      <c r="Q1171" s="638">
        <v>0</v>
      </c>
      <c r="R1171" s="638">
        <v>0</v>
      </c>
      <c r="S1171" s="638">
        <v>0</v>
      </c>
      <c r="T1171" s="638">
        <v>0</v>
      </c>
      <c r="U1171" s="638">
        <v>0</v>
      </c>
      <c r="V1171" s="636">
        <v>2022</v>
      </c>
      <c r="W1171" s="640"/>
      <c r="X1171" s="641" t="str">
        <f t="shared" si="54"/>
        <v/>
      </c>
      <c r="Y1171" s="642" t="str">
        <f t="shared" si="55"/>
        <v/>
      </c>
      <c r="Z1171" s="642" t="str">
        <f t="shared" si="56"/>
        <v/>
      </c>
    </row>
    <row r="1172" spans="1:26" s="127" customFormat="1" ht="25">
      <c r="A1172" s="636">
        <v>57599</v>
      </c>
      <c r="B1172" s="637" t="s">
        <v>33</v>
      </c>
      <c r="C1172" s="636" t="s">
        <v>2725</v>
      </c>
      <c r="D1172" s="637" t="s">
        <v>1113</v>
      </c>
      <c r="E1172" s="637" t="s">
        <v>371</v>
      </c>
      <c r="F1172" s="636">
        <v>4180</v>
      </c>
      <c r="G1172" s="637" t="s">
        <v>41</v>
      </c>
      <c r="H1172" s="637" t="s">
        <v>1163</v>
      </c>
      <c r="I1172" s="637" t="s">
        <v>58</v>
      </c>
      <c r="J1172" s="636">
        <v>22</v>
      </c>
      <c r="K1172" s="636">
        <v>1</v>
      </c>
      <c r="L1172" s="637" t="s">
        <v>34</v>
      </c>
      <c r="M1172" s="637" t="s">
        <v>51</v>
      </c>
      <c r="N1172" s="637" t="s">
        <v>46</v>
      </c>
      <c r="O1172" s="637" t="s">
        <v>46</v>
      </c>
      <c r="P1172" s="637" t="s">
        <v>47</v>
      </c>
      <c r="Q1172" s="638">
        <v>1187</v>
      </c>
      <c r="R1172" s="638">
        <v>1187</v>
      </c>
      <c r="S1172" s="638">
        <v>6911</v>
      </c>
      <c r="T1172" s="638">
        <v>6911</v>
      </c>
      <c r="U1172" s="638">
        <v>694</v>
      </c>
      <c r="V1172" s="636">
        <v>2022</v>
      </c>
      <c r="W1172" s="640"/>
      <c r="X1172" s="641">
        <f t="shared" si="54"/>
        <v>9.9582132564841501</v>
      </c>
      <c r="Y1172" s="642" t="str">
        <f t="shared" si="55"/>
        <v/>
      </c>
      <c r="Z1172" s="642" t="str">
        <f t="shared" si="56"/>
        <v/>
      </c>
    </row>
    <row r="1173" spans="1:26" s="127" customFormat="1" ht="25">
      <c r="A1173" s="636">
        <v>57600</v>
      </c>
      <c r="B1173" s="637" t="s">
        <v>33</v>
      </c>
      <c r="C1173" s="636" t="s">
        <v>2725</v>
      </c>
      <c r="D1173" s="637" t="s">
        <v>1114</v>
      </c>
      <c r="E1173" s="637" t="s">
        <v>371</v>
      </c>
      <c r="F1173" s="636">
        <v>4180</v>
      </c>
      <c r="G1173" s="637" t="s">
        <v>57</v>
      </c>
      <c r="H1173" s="637" t="s">
        <v>1162</v>
      </c>
      <c r="I1173" s="637" t="s">
        <v>58</v>
      </c>
      <c r="J1173" s="636">
        <v>22</v>
      </c>
      <c r="K1173" s="636">
        <v>1</v>
      </c>
      <c r="L1173" s="637" t="s">
        <v>34</v>
      </c>
      <c r="M1173" s="637" t="s">
        <v>51</v>
      </c>
      <c r="N1173" s="637" t="s">
        <v>46</v>
      </c>
      <c r="O1173" s="637" t="s">
        <v>46</v>
      </c>
      <c r="P1173" s="637" t="s">
        <v>47</v>
      </c>
      <c r="Q1173" s="638">
        <v>229</v>
      </c>
      <c r="R1173" s="638">
        <v>229</v>
      </c>
      <c r="S1173" s="638">
        <v>1334</v>
      </c>
      <c r="T1173" s="638">
        <v>1334</v>
      </c>
      <c r="U1173" s="638">
        <v>118</v>
      </c>
      <c r="V1173" s="636">
        <v>2022</v>
      </c>
      <c r="W1173" s="640"/>
      <c r="X1173" s="641">
        <f t="shared" si="54"/>
        <v>11.305084745762711</v>
      </c>
      <c r="Y1173" s="642" t="str">
        <f t="shared" si="55"/>
        <v/>
      </c>
      <c r="Z1173" s="642" t="str">
        <f t="shared" si="56"/>
        <v/>
      </c>
    </row>
    <row r="1174" spans="1:26" s="127" customFormat="1" ht="25">
      <c r="A1174" s="636">
        <v>57601</v>
      </c>
      <c r="B1174" s="637" t="s">
        <v>33</v>
      </c>
      <c r="C1174" s="636" t="s">
        <v>2725</v>
      </c>
      <c r="D1174" s="637" t="s">
        <v>1115</v>
      </c>
      <c r="E1174" s="637" t="s">
        <v>371</v>
      </c>
      <c r="F1174" s="636">
        <v>4180</v>
      </c>
      <c r="G1174" s="637" t="s">
        <v>41</v>
      </c>
      <c r="H1174" s="637" t="s">
        <v>1163</v>
      </c>
      <c r="I1174" s="637" t="s">
        <v>58</v>
      </c>
      <c r="J1174" s="636">
        <v>22</v>
      </c>
      <c r="K1174" s="636">
        <v>1</v>
      </c>
      <c r="L1174" s="637" t="s">
        <v>34</v>
      </c>
      <c r="M1174" s="637" t="s">
        <v>51</v>
      </c>
      <c r="N1174" s="637" t="s">
        <v>46</v>
      </c>
      <c r="O1174" s="637" t="s">
        <v>46</v>
      </c>
      <c r="P1174" s="637" t="s">
        <v>47</v>
      </c>
      <c r="Q1174" s="638">
        <v>791</v>
      </c>
      <c r="R1174" s="638">
        <v>791</v>
      </c>
      <c r="S1174" s="638">
        <v>4603</v>
      </c>
      <c r="T1174" s="638">
        <v>4603</v>
      </c>
      <c r="U1174" s="638">
        <v>462</v>
      </c>
      <c r="V1174" s="636">
        <v>2022</v>
      </c>
      <c r="W1174" s="640"/>
      <c r="X1174" s="641">
        <f t="shared" si="54"/>
        <v>9.9632034632034632</v>
      </c>
      <c r="Y1174" s="642" t="str">
        <f t="shared" si="55"/>
        <v/>
      </c>
      <c r="Z1174" s="642" t="str">
        <f t="shared" si="56"/>
        <v/>
      </c>
    </row>
    <row r="1175" spans="1:26" s="127" customFormat="1" ht="25">
      <c r="A1175" s="636">
        <v>57602</v>
      </c>
      <c r="B1175" s="637" t="s">
        <v>33</v>
      </c>
      <c r="C1175" s="636" t="s">
        <v>2725</v>
      </c>
      <c r="D1175" s="637" t="s">
        <v>1116</v>
      </c>
      <c r="E1175" s="637" t="s">
        <v>371</v>
      </c>
      <c r="F1175" s="636">
        <v>4180</v>
      </c>
      <c r="G1175" s="637" t="s">
        <v>41</v>
      </c>
      <c r="H1175" s="637" t="s">
        <v>1163</v>
      </c>
      <c r="I1175" s="637" t="s">
        <v>58</v>
      </c>
      <c r="J1175" s="636">
        <v>22</v>
      </c>
      <c r="K1175" s="636">
        <v>1</v>
      </c>
      <c r="L1175" s="637" t="s">
        <v>34</v>
      </c>
      <c r="M1175" s="637" t="s">
        <v>51</v>
      </c>
      <c r="N1175" s="637" t="s">
        <v>46</v>
      </c>
      <c r="O1175" s="637" t="s">
        <v>46</v>
      </c>
      <c r="P1175" s="637" t="s">
        <v>47</v>
      </c>
      <c r="Q1175" s="638">
        <v>364</v>
      </c>
      <c r="R1175" s="638">
        <v>364</v>
      </c>
      <c r="S1175" s="638">
        <v>2118</v>
      </c>
      <c r="T1175" s="638">
        <v>2118</v>
      </c>
      <c r="U1175" s="638">
        <v>215</v>
      </c>
      <c r="V1175" s="636">
        <v>2022</v>
      </c>
      <c r="W1175" s="640"/>
      <c r="X1175" s="641">
        <f t="shared" si="54"/>
        <v>9.8511627906976749</v>
      </c>
      <c r="Y1175" s="642" t="str">
        <f t="shared" si="55"/>
        <v/>
      </c>
      <c r="Z1175" s="642" t="str">
        <f t="shared" si="56"/>
        <v/>
      </c>
    </row>
    <row r="1176" spans="1:26" s="127" customFormat="1" ht="25">
      <c r="A1176" s="636">
        <v>57603</v>
      </c>
      <c r="B1176" s="637" t="s">
        <v>33</v>
      </c>
      <c r="C1176" s="636" t="s">
        <v>2725</v>
      </c>
      <c r="D1176" s="637" t="s">
        <v>1117</v>
      </c>
      <c r="E1176" s="637" t="s">
        <v>371</v>
      </c>
      <c r="F1176" s="636">
        <v>4180</v>
      </c>
      <c r="G1176" s="637" t="s">
        <v>41</v>
      </c>
      <c r="H1176" s="637" t="s">
        <v>1163</v>
      </c>
      <c r="I1176" s="637" t="s">
        <v>58</v>
      </c>
      <c r="J1176" s="636">
        <v>22</v>
      </c>
      <c r="K1176" s="636">
        <v>1</v>
      </c>
      <c r="L1176" s="637" t="s">
        <v>34</v>
      </c>
      <c r="M1176" s="637" t="s">
        <v>51</v>
      </c>
      <c r="N1176" s="637" t="s">
        <v>46</v>
      </c>
      <c r="O1176" s="637" t="s">
        <v>46</v>
      </c>
      <c r="P1176" s="637" t="s">
        <v>47</v>
      </c>
      <c r="Q1176" s="638">
        <v>797</v>
      </c>
      <c r="R1176" s="638">
        <v>797</v>
      </c>
      <c r="S1176" s="638">
        <v>4638</v>
      </c>
      <c r="T1176" s="638">
        <v>4638</v>
      </c>
      <c r="U1176" s="638">
        <v>466</v>
      </c>
      <c r="V1176" s="636">
        <v>2022</v>
      </c>
      <c r="W1176" s="640"/>
      <c r="X1176" s="641">
        <f t="shared" si="54"/>
        <v>9.9527896995708147</v>
      </c>
      <c r="Y1176" s="642" t="str">
        <f t="shared" si="55"/>
        <v/>
      </c>
      <c r="Z1176" s="642" t="str">
        <f t="shared" si="56"/>
        <v/>
      </c>
    </row>
    <row r="1177" spans="1:26" s="127" customFormat="1" ht="25">
      <c r="A1177" s="636">
        <v>57604</v>
      </c>
      <c r="B1177" s="637" t="s">
        <v>33</v>
      </c>
      <c r="C1177" s="636" t="s">
        <v>2725</v>
      </c>
      <c r="D1177" s="637" t="s">
        <v>1118</v>
      </c>
      <c r="E1177" s="637" t="s">
        <v>371</v>
      </c>
      <c r="F1177" s="636">
        <v>4180</v>
      </c>
      <c r="G1177" s="637" t="s">
        <v>41</v>
      </c>
      <c r="H1177" s="637" t="s">
        <v>1163</v>
      </c>
      <c r="I1177" s="637" t="s">
        <v>58</v>
      </c>
      <c r="J1177" s="636">
        <v>22</v>
      </c>
      <c r="K1177" s="636">
        <v>1</v>
      </c>
      <c r="L1177" s="637" t="s">
        <v>34</v>
      </c>
      <c r="M1177" s="637" t="s">
        <v>51</v>
      </c>
      <c r="N1177" s="637" t="s">
        <v>46</v>
      </c>
      <c r="O1177" s="637" t="s">
        <v>46</v>
      </c>
      <c r="P1177" s="637" t="s">
        <v>47</v>
      </c>
      <c r="Q1177" s="638">
        <v>834</v>
      </c>
      <c r="R1177" s="638">
        <v>834</v>
      </c>
      <c r="S1177" s="638">
        <v>4854</v>
      </c>
      <c r="T1177" s="638">
        <v>4854</v>
      </c>
      <c r="U1177" s="638">
        <v>460</v>
      </c>
      <c r="V1177" s="636">
        <v>2022</v>
      </c>
      <c r="W1177" s="640"/>
      <c r="X1177" s="641">
        <f t="shared" si="54"/>
        <v>10.552173913043479</v>
      </c>
      <c r="Y1177" s="642" t="str">
        <f t="shared" si="55"/>
        <v/>
      </c>
      <c r="Z1177" s="642" t="str">
        <f t="shared" si="56"/>
        <v/>
      </c>
    </row>
    <row r="1178" spans="1:26" s="127" customFormat="1" ht="25">
      <c r="A1178" s="636">
        <v>57605</v>
      </c>
      <c r="B1178" s="637" t="s">
        <v>33</v>
      </c>
      <c r="C1178" s="636" t="s">
        <v>2725</v>
      </c>
      <c r="D1178" s="637" t="s">
        <v>1119</v>
      </c>
      <c r="E1178" s="637" t="s">
        <v>371</v>
      </c>
      <c r="F1178" s="636">
        <v>4180</v>
      </c>
      <c r="G1178" s="637" t="s">
        <v>41</v>
      </c>
      <c r="H1178" s="637" t="s">
        <v>1163</v>
      </c>
      <c r="I1178" s="637" t="s">
        <v>58</v>
      </c>
      <c r="J1178" s="636">
        <v>22</v>
      </c>
      <c r="K1178" s="636">
        <v>1</v>
      </c>
      <c r="L1178" s="637" t="s">
        <v>34</v>
      </c>
      <c r="M1178" s="637" t="s">
        <v>51</v>
      </c>
      <c r="N1178" s="637" t="s">
        <v>46</v>
      </c>
      <c r="O1178" s="637" t="s">
        <v>46</v>
      </c>
      <c r="P1178" s="637" t="s">
        <v>47</v>
      </c>
      <c r="Q1178" s="638">
        <v>747</v>
      </c>
      <c r="R1178" s="638">
        <v>747</v>
      </c>
      <c r="S1178" s="638">
        <v>4347</v>
      </c>
      <c r="T1178" s="638">
        <v>4347</v>
      </c>
      <c r="U1178" s="638">
        <v>446</v>
      </c>
      <c r="V1178" s="636">
        <v>2022</v>
      </c>
      <c r="W1178" s="640"/>
      <c r="X1178" s="641">
        <f t="shared" si="54"/>
        <v>9.746636771300448</v>
      </c>
      <c r="Y1178" s="642" t="str">
        <f t="shared" si="55"/>
        <v/>
      </c>
      <c r="Z1178" s="642" t="str">
        <f t="shared" si="56"/>
        <v/>
      </c>
    </row>
    <row r="1179" spans="1:26" s="127" customFormat="1" ht="37.5" hidden="1">
      <c r="A1179" s="636">
        <v>57624</v>
      </c>
      <c r="B1179" s="637" t="s">
        <v>33</v>
      </c>
      <c r="C1179" s="636" t="s">
        <v>2725</v>
      </c>
      <c r="D1179" s="637" t="s">
        <v>1120</v>
      </c>
      <c r="E1179" s="637" t="s">
        <v>1022</v>
      </c>
      <c r="F1179" s="636">
        <v>13831</v>
      </c>
      <c r="G1179" s="637" t="s">
        <v>41</v>
      </c>
      <c r="H1179" s="637" t="s">
        <v>1163</v>
      </c>
      <c r="I1179" s="637" t="s">
        <v>58</v>
      </c>
      <c r="J1179" s="636">
        <v>22132</v>
      </c>
      <c r="K1179" s="636">
        <v>4</v>
      </c>
      <c r="L1179" s="637" t="s">
        <v>406</v>
      </c>
      <c r="M1179" s="637" t="s">
        <v>51</v>
      </c>
      <c r="N1179" s="637" t="s">
        <v>46</v>
      </c>
      <c r="O1179" s="637" t="s">
        <v>46</v>
      </c>
      <c r="P1179" s="637" t="s">
        <v>47</v>
      </c>
      <c r="Q1179" s="638">
        <v>91</v>
      </c>
      <c r="R1179" s="638">
        <v>91</v>
      </c>
      <c r="S1179" s="638">
        <v>529</v>
      </c>
      <c r="T1179" s="638">
        <v>529</v>
      </c>
      <c r="U1179" s="638">
        <v>47</v>
      </c>
      <c r="V1179" s="636">
        <v>2022</v>
      </c>
      <c r="W1179" s="640"/>
      <c r="X1179" s="641" t="str">
        <f t="shared" si="54"/>
        <v/>
      </c>
      <c r="Y1179" s="642" t="str">
        <f t="shared" si="55"/>
        <v/>
      </c>
      <c r="Z1179" s="642" t="str">
        <f t="shared" si="56"/>
        <v/>
      </c>
    </row>
    <row r="1180" spans="1:26" s="127" customFormat="1" ht="37.5" hidden="1">
      <c r="A1180" s="636">
        <v>57648</v>
      </c>
      <c r="B1180" s="637" t="s">
        <v>33</v>
      </c>
      <c r="C1180" s="636" t="s">
        <v>2725</v>
      </c>
      <c r="D1180" s="637" t="s">
        <v>3280</v>
      </c>
      <c r="E1180" s="637" t="s">
        <v>3280</v>
      </c>
      <c r="F1180" s="636">
        <v>56977</v>
      </c>
      <c r="G1180" s="637" t="s">
        <v>57</v>
      </c>
      <c r="H1180" s="637" t="s">
        <v>1162</v>
      </c>
      <c r="I1180" s="637" t="s">
        <v>58</v>
      </c>
      <c r="J1180" s="636">
        <v>339</v>
      </c>
      <c r="K1180" s="636">
        <v>6</v>
      </c>
      <c r="L1180" s="637" t="s">
        <v>404</v>
      </c>
      <c r="M1180" s="637" t="s">
        <v>71</v>
      </c>
      <c r="N1180" s="637" t="s">
        <v>72</v>
      </c>
      <c r="O1180" s="637" t="s">
        <v>72</v>
      </c>
      <c r="P1180" s="637" t="s">
        <v>1156</v>
      </c>
      <c r="Q1180" s="638">
        <v>0</v>
      </c>
      <c r="R1180" s="638">
        <v>0</v>
      </c>
      <c r="S1180" s="638">
        <v>5534</v>
      </c>
      <c r="T1180" s="638">
        <v>5534</v>
      </c>
      <c r="U1180" s="638">
        <v>1622</v>
      </c>
      <c r="V1180" s="636">
        <v>2022</v>
      </c>
      <c r="W1180" s="640"/>
      <c r="X1180" s="641" t="str">
        <f t="shared" si="54"/>
        <v/>
      </c>
      <c r="Y1180" s="642" t="str">
        <f t="shared" si="55"/>
        <v/>
      </c>
      <c r="Z1180" s="642" t="str">
        <f t="shared" si="56"/>
        <v/>
      </c>
    </row>
    <row r="1181" spans="1:26" s="127" customFormat="1" ht="25">
      <c r="A1181" s="636">
        <v>57664</v>
      </c>
      <c r="B1181" s="637" t="s">
        <v>33</v>
      </c>
      <c r="C1181" s="636" t="s">
        <v>2725</v>
      </c>
      <c r="D1181" s="637" t="s">
        <v>1121</v>
      </c>
      <c r="E1181" s="637" t="s">
        <v>1122</v>
      </c>
      <c r="F1181" s="636">
        <v>56991</v>
      </c>
      <c r="G1181" s="637" t="s">
        <v>57</v>
      </c>
      <c r="H1181" s="637" t="s">
        <v>1162</v>
      </c>
      <c r="I1181" s="637" t="s">
        <v>58</v>
      </c>
      <c r="J1181" s="636">
        <v>22</v>
      </c>
      <c r="K1181" s="636">
        <v>2</v>
      </c>
      <c r="L1181" s="637" t="s">
        <v>52</v>
      </c>
      <c r="M1181" s="637" t="s">
        <v>38</v>
      </c>
      <c r="N1181" s="637" t="s">
        <v>46</v>
      </c>
      <c r="O1181" s="637" t="s">
        <v>46</v>
      </c>
      <c r="P1181" s="637" t="s">
        <v>47</v>
      </c>
      <c r="Q1181" s="638">
        <v>0</v>
      </c>
      <c r="R1181" s="638">
        <v>0</v>
      </c>
      <c r="S1181" s="638">
        <v>0</v>
      </c>
      <c r="T1181" s="638">
        <v>0</v>
      </c>
      <c r="U1181" s="638">
        <v>69988.070000000007</v>
      </c>
      <c r="V1181" s="636">
        <v>2022</v>
      </c>
      <c r="W1181" s="640"/>
      <c r="X1181" s="641" t="str">
        <f t="shared" si="54"/>
        <v/>
      </c>
      <c r="Y1181" s="642" t="str">
        <f t="shared" si="55"/>
        <v/>
      </c>
      <c r="Z1181" s="642" t="str">
        <f t="shared" si="56"/>
        <v/>
      </c>
    </row>
    <row r="1182" spans="1:26" s="127" customFormat="1" ht="25">
      <c r="A1182" s="636">
        <v>57664</v>
      </c>
      <c r="B1182" s="637" t="s">
        <v>33</v>
      </c>
      <c r="C1182" s="636" t="s">
        <v>2725</v>
      </c>
      <c r="D1182" s="637" t="s">
        <v>1121</v>
      </c>
      <c r="E1182" s="637" t="s">
        <v>1122</v>
      </c>
      <c r="F1182" s="636">
        <v>56991</v>
      </c>
      <c r="G1182" s="637" t="s">
        <v>57</v>
      </c>
      <c r="H1182" s="637" t="s">
        <v>1162</v>
      </c>
      <c r="I1182" s="637" t="s">
        <v>58</v>
      </c>
      <c r="J1182" s="636">
        <v>22</v>
      </c>
      <c r="K1182" s="636">
        <v>2</v>
      </c>
      <c r="L1182" s="637" t="s">
        <v>52</v>
      </c>
      <c r="M1182" s="637" t="s">
        <v>38</v>
      </c>
      <c r="N1182" s="637" t="s">
        <v>39</v>
      </c>
      <c r="O1182" s="637" t="s">
        <v>39</v>
      </c>
      <c r="P1182" s="637" t="s">
        <v>1020</v>
      </c>
      <c r="Q1182" s="638">
        <v>2161191</v>
      </c>
      <c r="R1182" s="638">
        <v>2161191</v>
      </c>
      <c r="S1182" s="638">
        <v>2225861</v>
      </c>
      <c r="T1182" s="638">
        <v>2225861</v>
      </c>
      <c r="U1182" s="638">
        <v>1336401.8999999999</v>
      </c>
      <c r="V1182" s="636">
        <v>2022</v>
      </c>
      <c r="W1182" s="640"/>
      <c r="X1182" s="641">
        <f t="shared" si="54"/>
        <v>1.6655625826332634</v>
      </c>
      <c r="Y1182" s="642" t="str">
        <f t="shared" si="55"/>
        <v/>
      </c>
      <c r="Z1182" s="642" t="str">
        <f t="shared" si="56"/>
        <v/>
      </c>
    </row>
    <row r="1183" spans="1:26" s="127" customFormat="1" ht="25">
      <c r="A1183" s="636">
        <v>57664</v>
      </c>
      <c r="B1183" s="637" t="s">
        <v>33</v>
      </c>
      <c r="C1183" s="636" t="s">
        <v>2725</v>
      </c>
      <c r="D1183" s="637" t="s">
        <v>1121</v>
      </c>
      <c r="E1183" s="637" t="s">
        <v>1122</v>
      </c>
      <c r="F1183" s="636">
        <v>56991</v>
      </c>
      <c r="G1183" s="637" t="s">
        <v>57</v>
      </c>
      <c r="H1183" s="637" t="s">
        <v>1162</v>
      </c>
      <c r="I1183" s="637" t="s">
        <v>58</v>
      </c>
      <c r="J1183" s="636">
        <v>22</v>
      </c>
      <c r="K1183" s="636">
        <v>2</v>
      </c>
      <c r="L1183" s="637" t="s">
        <v>52</v>
      </c>
      <c r="M1183" s="637" t="s">
        <v>41</v>
      </c>
      <c r="N1183" s="637" t="s">
        <v>46</v>
      </c>
      <c r="O1183" s="637" t="s">
        <v>46</v>
      </c>
      <c r="P1183" s="637" t="s">
        <v>47</v>
      </c>
      <c r="Q1183" s="638">
        <v>250924</v>
      </c>
      <c r="R1183" s="638">
        <v>250924</v>
      </c>
      <c r="S1183" s="638">
        <v>1454355</v>
      </c>
      <c r="T1183" s="638">
        <v>1454355</v>
      </c>
      <c r="U1183" s="638">
        <v>131906.54999999999</v>
      </c>
      <c r="V1183" s="636">
        <v>2022</v>
      </c>
      <c r="W1183" s="640"/>
      <c r="X1183" s="641">
        <f t="shared" si="54"/>
        <v>11.025646565693668</v>
      </c>
      <c r="Y1183" s="642" t="str">
        <f t="shared" si="55"/>
        <v/>
      </c>
      <c r="Z1183" s="642" t="str">
        <f t="shared" si="56"/>
        <v/>
      </c>
    </row>
    <row r="1184" spans="1:26" s="127" customFormat="1" ht="25">
      <c r="A1184" s="636">
        <v>57664</v>
      </c>
      <c r="B1184" s="637" t="s">
        <v>33</v>
      </c>
      <c r="C1184" s="636" t="s">
        <v>2725</v>
      </c>
      <c r="D1184" s="637" t="s">
        <v>1121</v>
      </c>
      <c r="E1184" s="637" t="s">
        <v>1122</v>
      </c>
      <c r="F1184" s="636">
        <v>56991</v>
      </c>
      <c r="G1184" s="637" t="s">
        <v>57</v>
      </c>
      <c r="H1184" s="637" t="s">
        <v>1162</v>
      </c>
      <c r="I1184" s="637" t="s">
        <v>58</v>
      </c>
      <c r="J1184" s="636">
        <v>22</v>
      </c>
      <c r="K1184" s="636">
        <v>2</v>
      </c>
      <c r="L1184" s="637" t="s">
        <v>52</v>
      </c>
      <c r="M1184" s="637" t="s">
        <v>41</v>
      </c>
      <c r="N1184" s="637" t="s">
        <v>39</v>
      </c>
      <c r="O1184" s="637" t="s">
        <v>39</v>
      </c>
      <c r="P1184" s="637" t="s">
        <v>1020</v>
      </c>
      <c r="Q1184" s="638">
        <v>21953656</v>
      </c>
      <c r="R1184" s="638">
        <v>21953656</v>
      </c>
      <c r="S1184" s="638">
        <v>22612470</v>
      </c>
      <c r="T1184" s="638">
        <v>22612470</v>
      </c>
      <c r="U1184" s="638">
        <v>2047782.4</v>
      </c>
      <c r="V1184" s="636">
        <v>2022</v>
      </c>
      <c r="W1184" s="640"/>
      <c r="X1184" s="641">
        <f t="shared" si="54"/>
        <v>11.042418374139753</v>
      </c>
      <c r="Y1184" s="642" t="str">
        <f t="shared" si="55"/>
        <v/>
      </c>
      <c r="Z1184" s="642" t="str">
        <f t="shared" si="56"/>
        <v/>
      </c>
    </row>
    <row r="1185" spans="1:26" s="127" customFormat="1" ht="37.5" hidden="1">
      <c r="A1185" s="636">
        <v>57666</v>
      </c>
      <c r="B1185" s="637" t="s">
        <v>54</v>
      </c>
      <c r="C1185" s="636" t="s">
        <v>2725</v>
      </c>
      <c r="D1185" s="637" t="s">
        <v>1123</v>
      </c>
      <c r="E1185" s="637" t="s">
        <v>1124</v>
      </c>
      <c r="F1185" s="636">
        <v>56992</v>
      </c>
      <c r="G1185" s="637" t="s">
        <v>41</v>
      </c>
      <c r="H1185" s="637" t="s">
        <v>1163</v>
      </c>
      <c r="I1185" s="637" t="s">
        <v>58</v>
      </c>
      <c r="J1185" s="636">
        <v>713</v>
      </c>
      <c r="K1185" s="636">
        <v>5</v>
      </c>
      <c r="L1185" s="637" t="s">
        <v>407</v>
      </c>
      <c r="M1185" s="637" t="s">
        <v>38</v>
      </c>
      <c r="N1185" s="637" t="s">
        <v>39</v>
      </c>
      <c r="O1185" s="637" t="s">
        <v>39</v>
      </c>
      <c r="P1185" s="637" t="s">
        <v>1020</v>
      </c>
      <c r="Q1185" s="638">
        <v>0</v>
      </c>
      <c r="R1185" s="638">
        <v>0</v>
      </c>
      <c r="S1185" s="638">
        <v>0</v>
      </c>
      <c r="T1185" s="638">
        <v>0</v>
      </c>
      <c r="U1185" s="638">
        <v>169.75</v>
      </c>
      <c r="V1185" s="636">
        <v>2022</v>
      </c>
      <c r="W1185" s="640"/>
      <c r="X1185" s="641" t="str">
        <f t="shared" si="54"/>
        <v/>
      </c>
      <c r="Y1185" s="642" t="str">
        <f t="shared" si="55"/>
        <v/>
      </c>
      <c r="Z1185" s="642" t="str">
        <f t="shared" si="56"/>
        <v/>
      </c>
    </row>
    <row r="1186" spans="1:26" s="127" customFormat="1" ht="37.5" hidden="1">
      <c r="A1186" s="636">
        <v>57666</v>
      </c>
      <c r="B1186" s="637" t="s">
        <v>54</v>
      </c>
      <c r="C1186" s="636" t="s">
        <v>2725</v>
      </c>
      <c r="D1186" s="637" t="s">
        <v>1123</v>
      </c>
      <c r="E1186" s="637" t="s">
        <v>1124</v>
      </c>
      <c r="F1186" s="636">
        <v>56992</v>
      </c>
      <c r="G1186" s="637" t="s">
        <v>41</v>
      </c>
      <c r="H1186" s="637" t="s">
        <v>1163</v>
      </c>
      <c r="I1186" s="637" t="s">
        <v>58</v>
      </c>
      <c r="J1186" s="636">
        <v>713</v>
      </c>
      <c r="K1186" s="636">
        <v>5</v>
      </c>
      <c r="L1186" s="637" t="s">
        <v>407</v>
      </c>
      <c r="M1186" s="637" t="s">
        <v>41</v>
      </c>
      <c r="N1186" s="637" t="s">
        <v>39</v>
      </c>
      <c r="O1186" s="637" t="s">
        <v>39</v>
      </c>
      <c r="P1186" s="637" t="s">
        <v>1020</v>
      </c>
      <c r="Q1186" s="638">
        <v>109910</v>
      </c>
      <c r="R1186" s="638">
        <v>54717</v>
      </c>
      <c r="S1186" s="638">
        <v>114304</v>
      </c>
      <c r="T1186" s="638">
        <v>56907</v>
      </c>
      <c r="U1186" s="638">
        <v>10346.02</v>
      </c>
      <c r="V1186" s="636">
        <v>2022</v>
      </c>
      <c r="W1186" s="640"/>
      <c r="X1186" s="641" t="str">
        <f t="shared" si="54"/>
        <v/>
      </c>
      <c r="Y1186" s="642" t="str">
        <f t="shared" si="55"/>
        <v/>
      </c>
      <c r="Z1186" s="642" t="str">
        <f t="shared" si="56"/>
        <v/>
      </c>
    </row>
    <row r="1187" spans="1:26" s="127" customFormat="1" ht="25">
      <c r="A1187" s="636">
        <v>57674</v>
      </c>
      <c r="B1187" s="637" t="s">
        <v>33</v>
      </c>
      <c r="C1187" s="636" t="s">
        <v>2725</v>
      </c>
      <c r="D1187" s="637" t="s">
        <v>1125</v>
      </c>
      <c r="E1187" s="637" t="s">
        <v>1126</v>
      </c>
      <c r="F1187" s="636">
        <v>56999</v>
      </c>
      <c r="G1187" s="637" t="s">
        <v>81</v>
      </c>
      <c r="H1187" s="637" t="s">
        <v>1163</v>
      </c>
      <c r="I1187" s="637" t="s">
        <v>58</v>
      </c>
      <c r="J1187" s="636">
        <v>22</v>
      </c>
      <c r="K1187" s="636">
        <v>1</v>
      </c>
      <c r="L1187" s="637" t="s">
        <v>34</v>
      </c>
      <c r="M1187" s="637" t="s">
        <v>441</v>
      </c>
      <c r="N1187" s="637" t="s">
        <v>442</v>
      </c>
      <c r="O1187" s="637" t="s">
        <v>442</v>
      </c>
      <c r="P1187" s="637" t="s">
        <v>1156</v>
      </c>
      <c r="Q1187" s="638">
        <v>0</v>
      </c>
      <c r="R1187" s="638">
        <v>0</v>
      </c>
      <c r="S1187" s="638">
        <v>9523</v>
      </c>
      <c r="T1187" s="638">
        <v>9523</v>
      </c>
      <c r="U1187" s="638">
        <v>2791</v>
      </c>
      <c r="V1187" s="636">
        <v>2022</v>
      </c>
      <c r="W1187" s="640"/>
      <c r="X1187" s="641">
        <f t="shared" si="54"/>
        <v>3.4120386958079543</v>
      </c>
      <c r="Y1187" s="642" t="str">
        <f t="shared" si="55"/>
        <v/>
      </c>
      <c r="Z1187" s="642" t="str">
        <f t="shared" si="56"/>
        <v/>
      </c>
    </row>
    <row r="1188" spans="1:26" s="127" customFormat="1" ht="25">
      <c r="A1188" s="636">
        <v>57676</v>
      </c>
      <c r="B1188" s="637" t="s">
        <v>33</v>
      </c>
      <c r="C1188" s="636" t="s">
        <v>2725</v>
      </c>
      <c r="D1188" s="637" t="s">
        <v>1127</v>
      </c>
      <c r="E1188" s="637" t="s">
        <v>1126</v>
      </c>
      <c r="F1188" s="636">
        <v>56999</v>
      </c>
      <c r="G1188" s="637" t="s">
        <v>81</v>
      </c>
      <c r="H1188" s="637" t="s">
        <v>1163</v>
      </c>
      <c r="I1188" s="637" t="s">
        <v>58</v>
      </c>
      <c r="J1188" s="636">
        <v>22</v>
      </c>
      <c r="K1188" s="636">
        <v>1</v>
      </c>
      <c r="L1188" s="637" t="s">
        <v>34</v>
      </c>
      <c r="M1188" s="637" t="s">
        <v>441</v>
      </c>
      <c r="N1188" s="637" t="s">
        <v>442</v>
      </c>
      <c r="O1188" s="637" t="s">
        <v>442</v>
      </c>
      <c r="P1188" s="637" t="s">
        <v>1156</v>
      </c>
      <c r="Q1188" s="638">
        <v>0</v>
      </c>
      <c r="R1188" s="638">
        <v>0</v>
      </c>
      <c r="S1188" s="638">
        <v>6862</v>
      </c>
      <c r="T1188" s="638">
        <v>6862</v>
      </c>
      <c r="U1188" s="638">
        <v>2011</v>
      </c>
      <c r="V1188" s="636">
        <v>2022</v>
      </c>
      <c r="W1188" s="640"/>
      <c r="X1188" s="641">
        <f t="shared" si="54"/>
        <v>3.4122327200397811</v>
      </c>
      <c r="Y1188" s="642" t="str">
        <f t="shared" si="55"/>
        <v/>
      </c>
      <c r="Z1188" s="642" t="str">
        <f t="shared" si="56"/>
        <v/>
      </c>
    </row>
    <row r="1189" spans="1:26" s="127" customFormat="1" ht="25">
      <c r="A1189" s="636">
        <v>57689</v>
      </c>
      <c r="B1189" s="637" t="s">
        <v>33</v>
      </c>
      <c r="C1189" s="636" t="s">
        <v>2725</v>
      </c>
      <c r="D1189" s="637" t="s">
        <v>1128</v>
      </c>
      <c r="E1189" s="637" t="s">
        <v>1129</v>
      </c>
      <c r="F1189" s="636">
        <v>57015</v>
      </c>
      <c r="G1189" s="637" t="s">
        <v>41</v>
      </c>
      <c r="H1189" s="637" t="s">
        <v>1163</v>
      </c>
      <c r="I1189" s="637" t="s">
        <v>58</v>
      </c>
      <c r="J1189" s="636">
        <v>22</v>
      </c>
      <c r="K1189" s="636">
        <v>1</v>
      </c>
      <c r="L1189" s="637" t="s">
        <v>34</v>
      </c>
      <c r="M1189" s="637" t="s">
        <v>51</v>
      </c>
      <c r="N1189" s="637" t="s">
        <v>46</v>
      </c>
      <c r="O1189" s="637" t="s">
        <v>46</v>
      </c>
      <c r="P1189" s="637" t="s">
        <v>47</v>
      </c>
      <c r="Q1189" s="638">
        <v>69</v>
      </c>
      <c r="R1189" s="638">
        <v>69</v>
      </c>
      <c r="S1189" s="638">
        <v>414</v>
      </c>
      <c r="T1189" s="638">
        <v>414</v>
      </c>
      <c r="U1189" s="638">
        <v>42</v>
      </c>
      <c r="V1189" s="636">
        <v>2022</v>
      </c>
      <c r="W1189" s="640"/>
      <c r="X1189" s="641">
        <f t="shared" si="54"/>
        <v>9.8571428571428577</v>
      </c>
      <c r="Y1189" s="642" t="str">
        <f t="shared" si="55"/>
        <v/>
      </c>
      <c r="Z1189" s="642" t="str">
        <f t="shared" si="56"/>
        <v/>
      </c>
    </row>
    <row r="1190" spans="1:26" s="127" customFormat="1" ht="25">
      <c r="A1190" s="636">
        <v>57710</v>
      </c>
      <c r="B1190" s="637" t="s">
        <v>33</v>
      </c>
      <c r="C1190" s="636" t="s">
        <v>2725</v>
      </c>
      <c r="D1190" s="637" t="s">
        <v>1877</v>
      </c>
      <c r="E1190" s="637" t="s">
        <v>2276</v>
      </c>
      <c r="F1190" s="636">
        <v>61978</v>
      </c>
      <c r="G1190" s="637" t="s">
        <v>57</v>
      </c>
      <c r="H1190" s="637" t="s">
        <v>1162</v>
      </c>
      <c r="I1190" s="637" t="s">
        <v>58</v>
      </c>
      <c r="J1190" s="636">
        <v>22</v>
      </c>
      <c r="K1190" s="636">
        <v>2</v>
      </c>
      <c r="L1190" s="637" t="s">
        <v>52</v>
      </c>
      <c r="M1190" s="637" t="s">
        <v>1068</v>
      </c>
      <c r="N1190" s="637" t="s">
        <v>1035</v>
      </c>
      <c r="O1190" s="637" t="s">
        <v>82</v>
      </c>
      <c r="P1190" s="637" t="s">
        <v>2726</v>
      </c>
      <c r="Q1190" s="638">
        <v>22415</v>
      </c>
      <c r="R1190" s="638">
        <v>22415</v>
      </c>
      <c r="S1190" s="638">
        <v>0</v>
      </c>
      <c r="T1190" s="638">
        <v>0</v>
      </c>
      <c r="U1190" s="638">
        <v>-8626</v>
      </c>
      <c r="V1190" s="636">
        <v>2022</v>
      </c>
      <c r="W1190" s="640"/>
      <c r="X1190" s="641" t="str">
        <f t="shared" si="54"/>
        <v/>
      </c>
      <c r="Y1190" s="642" t="str">
        <f t="shared" si="55"/>
        <v/>
      </c>
      <c r="Z1190" s="642" t="str">
        <f t="shared" si="56"/>
        <v/>
      </c>
    </row>
    <row r="1191" spans="1:26" s="127" customFormat="1" ht="25">
      <c r="A1191" s="636">
        <v>57721</v>
      </c>
      <c r="B1191" s="637" t="s">
        <v>33</v>
      </c>
      <c r="C1191" s="636" t="s">
        <v>2725</v>
      </c>
      <c r="D1191" s="637" t="s">
        <v>1130</v>
      </c>
      <c r="E1191" s="637" t="s">
        <v>366</v>
      </c>
      <c r="F1191" s="636">
        <v>11806</v>
      </c>
      <c r="G1191" s="637" t="s">
        <v>81</v>
      </c>
      <c r="H1191" s="637" t="s">
        <v>1163</v>
      </c>
      <c r="I1191" s="637" t="s">
        <v>58</v>
      </c>
      <c r="J1191" s="636">
        <v>22</v>
      </c>
      <c r="K1191" s="636">
        <v>1</v>
      </c>
      <c r="L1191" s="637" t="s">
        <v>34</v>
      </c>
      <c r="M1191" s="637" t="s">
        <v>71</v>
      </c>
      <c r="N1191" s="637" t="s">
        <v>72</v>
      </c>
      <c r="O1191" s="637" t="s">
        <v>72</v>
      </c>
      <c r="P1191" s="637" t="s">
        <v>1156</v>
      </c>
      <c r="Q1191" s="638">
        <v>0</v>
      </c>
      <c r="R1191" s="638">
        <v>0</v>
      </c>
      <c r="S1191" s="638">
        <v>144187</v>
      </c>
      <c r="T1191" s="638">
        <v>144187</v>
      </c>
      <c r="U1191" s="638">
        <v>42259</v>
      </c>
      <c r="V1191" s="636">
        <v>2022</v>
      </c>
      <c r="W1191" s="640"/>
      <c r="X1191" s="641">
        <f t="shared" si="54"/>
        <v>3.4119832461724129</v>
      </c>
      <c r="Y1191" s="642" t="str">
        <f t="shared" si="55"/>
        <v/>
      </c>
      <c r="Z1191" s="642" t="str">
        <f t="shared" si="56"/>
        <v/>
      </c>
    </row>
    <row r="1192" spans="1:26" s="127" customFormat="1" ht="37.5" hidden="1">
      <c r="A1192" s="636">
        <v>57789</v>
      </c>
      <c r="B1192" s="637" t="s">
        <v>54</v>
      </c>
      <c r="C1192" s="636" t="s">
        <v>2725</v>
      </c>
      <c r="D1192" s="637" t="s">
        <v>1131</v>
      </c>
      <c r="E1192" s="637" t="s">
        <v>1132</v>
      </c>
      <c r="F1192" s="636">
        <v>57106</v>
      </c>
      <c r="G1192" s="637" t="s">
        <v>57</v>
      </c>
      <c r="H1192" s="637" t="s">
        <v>1162</v>
      </c>
      <c r="I1192" s="637" t="s">
        <v>58</v>
      </c>
      <c r="J1192" s="636">
        <v>53</v>
      </c>
      <c r="K1192" s="636">
        <v>5</v>
      </c>
      <c r="L1192" s="637" t="s">
        <v>407</v>
      </c>
      <c r="M1192" s="637" t="s">
        <v>51</v>
      </c>
      <c r="N1192" s="637" t="s">
        <v>39</v>
      </c>
      <c r="O1192" s="637" t="s">
        <v>39</v>
      </c>
      <c r="P1192" s="637" t="s">
        <v>1020</v>
      </c>
      <c r="Q1192" s="638">
        <v>161042</v>
      </c>
      <c r="R1192" s="638">
        <v>96890</v>
      </c>
      <c r="S1192" s="638">
        <v>165712</v>
      </c>
      <c r="T1192" s="638">
        <v>99699</v>
      </c>
      <c r="U1192" s="638">
        <v>18145</v>
      </c>
      <c r="V1192" s="636">
        <v>2022</v>
      </c>
      <c r="W1192" s="640"/>
      <c r="X1192" s="641" t="str">
        <f t="shared" si="54"/>
        <v/>
      </c>
      <c r="Y1192" s="642" t="str">
        <f t="shared" si="55"/>
        <v/>
      </c>
      <c r="Z1192" s="642" t="str">
        <f t="shared" si="56"/>
        <v/>
      </c>
    </row>
    <row r="1193" spans="1:26" s="127" customFormat="1" ht="37.5" hidden="1">
      <c r="A1193" s="636">
        <v>57798</v>
      </c>
      <c r="B1193" s="637" t="s">
        <v>54</v>
      </c>
      <c r="C1193" s="636" t="s">
        <v>2725</v>
      </c>
      <c r="D1193" s="637" t="s">
        <v>1133</v>
      </c>
      <c r="E1193" s="637" t="s">
        <v>1134</v>
      </c>
      <c r="F1193" s="636">
        <v>57120</v>
      </c>
      <c r="G1193" s="637" t="s">
        <v>57</v>
      </c>
      <c r="H1193" s="637" t="s">
        <v>1162</v>
      </c>
      <c r="I1193" s="637" t="s">
        <v>1135</v>
      </c>
      <c r="J1193" s="636">
        <v>53</v>
      </c>
      <c r="K1193" s="636">
        <v>5</v>
      </c>
      <c r="L1193" s="637" t="s">
        <v>407</v>
      </c>
      <c r="M1193" s="637" t="s">
        <v>50</v>
      </c>
      <c r="N1193" s="637" t="s">
        <v>39</v>
      </c>
      <c r="O1193" s="637" t="s">
        <v>39</v>
      </c>
      <c r="P1193" s="637" t="s">
        <v>1020</v>
      </c>
      <c r="Q1193" s="638">
        <v>334072</v>
      </c>
      <c r="R1193" s="638">
        <v>157085</v>
      </c>
      <c r="S1193" s="638">
        <v>344093</v>
      </c>
      <c r="T1193" s="638">
        <v>161799</v>
      </c>
      <c r="U1193" s="638">
        <v>28272</v>
      </c>
      <c r="V1193" s="636">
        <v>2022</v>
      </c>
      <c r="W1193" s="640"/>
      <c r="X1193" s="641" t="str">
        <f t="shared" si="54"/>
        <v/>
      </c>
      <c r="Y1193" s="642">
        <f t="shared" si="55"/>
        <v>4.6810788603021196</v>
      </c>
      <c r="Z1193" s="642" t="str">
        <f t="shared" si="56"/>
        <v/>
      </c>
    </row>
    <row r="1194" spans="1:26" s="127" customFormat="1" ht="37.5" hidden="1">
      <c r="A1194" s="636">
        <v>57804</v>
      </c>
      <c r="B1194" s="637" t="s">
        <v>54</v>
      </c>
      <c r="C1194" s="636" t="s">
        <v>2725</v>
      </c>
      <c r="D1194" s="637" t="s">
        <v>1136</v>
      </c>
      <c r="E1194" s="637" t="s">
        <v>1137</v>
      </c>
      <c r="F1194" s="636">
        <v>57123</v>
      </c>
      <c r="G1194" s="637" t="s">
        <v>89</v>
      </c>
      <c r="H1194" s="637" t="s">
        <v>1163</v>
      </c>
      <c r="I1194" s="637" t="s">
        <v>58</v>
      </c>
      <c r="J1194" s="636">
        <v>611</v>
      </c>
      <c r="K1194" s="636">
        <v>5</v>
      </c>
      <c r="L1194" s="637" t="s">
        <v>407</v>
      </c>
      <c r="M1194" s="637" t="s">
        <v>42</v>
      </c>
      <c r="N1194" s="637" t="s">
        <v>46</v>
      </c>
      <c r="O1194" s="637" t="s">
        <v>46</v>
      </c>
      <c r="P1194" s="637" t="s">
        <v>47</v>
      </c>
      <c r="Q1194" s="638">
        <v>1</v>
      </c>
      <c r="R1194" s="638">
        <v>0</v>
      </c>
      <c r="S1194" s="638">
        <v>6</v>
      </c>
      <c r="T1194" s="638">
        <v>0</v>
      </c>
      <c r="U1194" s="638">
        <v>5.6000000000000001E-2</v>
      </c>
      <c r="V1194" s="636">
        <v>2022</v>
      </c>
      <c r="W1194" s="640"/>
      <c r="X1194" s="641" t="str">
        <f t="shared" si="54"/>
        <v/>
      </c>
      <c r="Y1194" s="642" t="str">
        <f t="shared" si="55"/>
        <v/>
      </c>
      <c r="Z1194" s="642" t="str">
        <f t="shared" si="56"/>
        <v/>
      </c>
    </row>
    <row r="1195" spans="1:26" s="127" customFormat="1" ht="37.5" hidden="1">
      <c r="A1195" s="636">
        <v>57804</v>
      </c>
      <c r="B1195" s="637" t="s">
        <v>54</v>
      </c>
      <c r="C1195" s="636" t="s">
        <v>2725</v>
      </c>
      <c r="D1195" s="637" t="s">
        <v>1136</v>
      </c>
      <c r="E1195" s="637" t="s">
        <v>1137</v>
      </c>
      <c r="F1195" s="636">
        <v>57123</v>
      </c>
      <c r="G1195" s="637" t="s">
        <v>89</v>
      </c>
      <c r="H1195" s="637" t="s">
        <v>1163</v>
      </c>
      <c r="I1195" s="637" t="s">
        <v>58</v>
      </c>
      <c r="J1195" s="636">
        <v>611</v>
      </c>
      <c r="K1195" s="636">
        <v>5</v>
      </c>
      <c r="L1195" s="637" t="s">
        <v>407</v>
      </c>
      <c r="M1195" s="637" t="s">
        <v>42</v>
      </c>
      <c r="N1195" s="637" t="s">
        <v>39</v>
      </c>
      <c r="O1195" s="637" t="s">
        <v>39</v>
      </c>
      <c r="P1195" s="637" t="s">
        <v>1020</v>
      </c>
      <c r="Q1195" s="638">
        <v>86465</v>
      </c>
      <c r="R1195" s="638">
        <v>4256</v>
      </c>
      <c r="S1195" s="638">
        <v>86465</v>
      </c>
      <c r="T1195" s="638">
        <v>4256</v>
      </c>
      <c r="U1195" s="638">
        <v>919.69</v>
      </c>
      <c r="V1195" s="636">
        <v>2022</v>
      </c>
      <c r="W1195" s="640"/>
      <c r="X1195" s="641" t="str">
        <f t="shared" si="54"/>
        <v/>
      </c>
      <c r="Y1195" s="642" t="str">
        <f t="shared" si="55"/>
        <v/>
      </c>
      <c r="Z1195" s="642" t="str">
        <f t="shared" si="56"/>
        <v/>
      </c>
    </row>
    <row r="1196" spans="1:26" s="127" customFormat="1" ht="37.5" hidden="1">
      <c r="A1196" s="636">
        <v>57804</v>
      </c>
      <c r="B1196" s="637" t="s">
        <v>54</v>
      </c>
      <c r="C1196" s="636" t="s">
        <v>2725</v>
      </c>
      <c r="D1196" s="637" t="s">
        <v>1136</v>
      </c>
      <c r="E1196" s="637" t="s">
        <v>1137</v>
      </c>
      <c r="F1196" s="636">
        <v>57123</v>
      </c>
      <c r="G1196" s="637" t="s">
        <v>89</v>
      </c>
      <c r="H1196" s="637" t="s">
        <v>1163</v>
      </c>
      <c r="I1196" s="637" t="s">
        <v>58</v>
      </c>
      <c r="J1196" s="636">
        <v>611</v>
      </c>
      <c r="K1196" s="636">
        <v>5</v>
      </c>
      <c r="L1196" s="637" t="s">
        <v>407</v>
      </c>
      <c r="M1196" s="637" t="s">
        <v>42</v>
      </c>
      <c r="N1196" s="637" t="s">
        <v>61</v>
      </c>
      <c r="O1196" s="637" t="s">
        <v>61</v>
      </c>
      <c r="P1196" s="637" t="s">
        <v>47</v>
      </c>
      <c r="Q1196" s="638">
        <v>0</v>
      </c>
      <c r="R1196" s="638">
        <v>0</v>
      </c>
      <c r="S1196" s="638">
        <v>0</v>
      </c>
      <c r="T1196" s="638">
        <v>0</v>
      </c>
      <c r="U1196" s="638">
        <v>0</v>
      </c>
      <c r="V1196" s="636">
        <v>2022</v>
      </c>
      <c r="W1196" s="640"/>
      <c r="X1196" s="641" t="str">
        <f t="shared" si="54"/>
        <v/>
      </c>
      <c r="Y1196" s="642" t="str">
        <f t="shared" si="55"/>
        <v/>
      </c>
      <c r="Z1196" s="642" t="str">
        <f t="shared" si="56"/>
        <v/>
      </c>
    </row>
    <row r="1197" spans="1:26" s="127" customFormat="1" ht="37.5" hidden="1">
      <c r="A1197" s="636">
        <v>57804</v>
      </c>
      <c r="B1197" s="637" t="s">
        <v>54</v>
      </c>
      <c r="C1197" s="636" t="s">
        <v>2725</v>
      </c>
      <c r="D1197" s="637" t="s">
        <v>1136</v>
      </c>
      <c r="E1197" s="637" t="s">
        <v>1137</v>
      </c>
      <c r="F1197" s="636">
        <v>57123</v>
      </c>
      <c r="G1197" s="637" t="s">
        <v>89</v>
      </c>
      <c r="H1197" s="637" t="s">
        <v>1163</v>
      </c>
      <c r="I1197" s="637" t="s">
        <v>58</v>
      </c>
      <c r="J1197" s="636">
        <v>611</v>
      </c>
      <c r="K1197" s="636">
        <v>5</v>
      </c>
      <c r="L1197" s="637" t="s">
        <v>407</v>
      </c>
      <c r="M1197" s="637" t="s">
        <v>42</v>
      </c>
      <c r="N1197" s="637" t="s">
        <v>69</v>
      </c>
      <c r="O1197" s="637" t="s">
        <v>70</v>
      </c>
      <c r="P1197" s="637" t="s">
        <v>45</v>
      </c>
      <c r="Q1197" s="638">
        <v>19379</v>
      </c>
      <c r="R1197" s="638">
        <v>879</v>
      </c>
      <c r="S1197" s="638">
        <v>166658</v>
      </c>
      <c r="T1197" s="638">
        <v>7551</v>
      </c>
      <c r="U1197" s="638">
        <v>1631.354</v>
      </c>
      <c r="V1197" s="636">
        <v>2022</v>
      </c>
      <c r="W1197" s="640"/>
      <c r="X1197" s="641" t="str">
        <f t="shared" si="54"/>
        <v/>
      </c>
      <c r="Y1197" s="642" t="str">
        <f t="shared" si="55"/>
        <v/>
      </c>
      <c r="Z1197" s="642" t="str">
        <f t="shared" si="56"/>
        <v/>
      </c>
    </row>
    <row r="1198" spans="1:26" s="127" customFormat="1" ht="25">
      <c r="A1198" s="636">
        <v>57838</v>
      </c>
      <c r="B1198" s="637" t="s">
        <v>33</v>
      </c>
      <c r="C1198" s="636" t="s">
        <v>2725</v>
      </c>
      <c r="D1198" s="637" t="s">
        <v>1189</v>
      </c>
      <c r="E1198" s="637" t="s">
        <v>1108</v>
      </c>
      <c r="F1198" s="636">
        <v>56769</v>
      </c>
      <c r="G1198" s="637" t="s">
        <v>81</v>
      </c>
      <c r="H1198" s="637" t="s">
        <v>1163</v>
      </c>
      <c r="I1198" s="637" t="s">
        <v>58</v>
      </c>
      <c r="J1198" s="636">
        <v>22</v>
      </c>
      <c r="K1198" s="636">
        <v>2</v>
      </c>
      <c r="L1198" s="637" t="s">
        <v>52</v>
      </c>
      <c r="M1198" s="637" t="s">
        <v>441</v>
      </c>
      <c r="N1198" s="637" t="s">
        <v>442</v>
      </c>
      <c r="O1198" s="637" t="s">
        <v>442</v>
      </c>
      <c r="P1198" s="637" t="s">
        <v>1156</v>
      </c>
      <c r="Q1198" s="638">
        <v>0</v>
      </c>
      <c r="R1198" s="638">
        <v>0</v>
      </c>
      <c r="S1198" s="638">
        <v>6027</v>
      </c>
      <c r="T1198" s="638">
        <v>6027</v>
      </c>
      <c r="U1198" s="638">
        <v>1766</v>
      </c>
      <c r="V1198" s="636">
        <v>2022</v>
      </c>
      <c r="W1198" s="640"/>
      <c r="X1198" s="641">
        <f t="shared" si="54"/>
        <v>3.4127972819932051</v>
      </c>
      <c r="Y1198" s="642" t="str">
        <f t="shared" si="55"/>
        <v/>
      </c>
      <c r="Z1198" s="642" t="str">
        <f t="shared" si="56"/>
        <v/>
      </c>
    </row>
    <row r="1199" spans="1:26" s="127" customFormat="1" ht="25">
      <c r="A1199" s="636">
        <v>57855</v>
      </c>
      <c r="B1199" s="637" t="s">
        <v>33</v>
      </c>
      <c r="C1199" s="636" t="s">
        <v>2725</v>
      </c>
      <c r="D1199" s="637" t="s">
        <v>1138</v>
      </c>
      <c r="E1199" s="637" t="s">
        <v>1169</v>
      </c>
      <c r="F1199" s="636">
        <v>9442</v>
      </c>
      <c r="G1199" s="637" t="s">
        <v>81</v>
      </c>
      <c r="H1199" s="637" t="s">
        <v>1163</v>
      </c>
      <c r="I1199" s="637" t="s">
        <v>58</v>
      </c>
      <c r="J1199" s="636">
        <v>22</v>
      </c>
      <c r="K1199" s="636">
        <v>1</v>
      </c>
      <c r="L1199" s="637" t="s">
        <v>34</v>
      </c>
      <c r="M1199" s="637" t="s">
        <v>71</v>
      </c>
      <c r="N1199" s="637" t="s">
        <v>72</v>
      </c>
      <c r="O1199" s="637" t="s">
        <v>72</v>
      </c>
      <c r="P1199" s="637" t="s">
        <v>1156</v>
      </c>
      <c r="Q1199" s="638">
        <v>0</v>
      </c>
      <c r="R1199" s="638">
        <v>0</v>
      </c>
      <c r="S1199" s="638">
        <v>12784</v>
      </c>
      <c r="T1199" s="638">
        <v>12784</v>
      </c>
      <c r="U1199" s="638">
        <v>3747</v>
      </c>
      <c r="V1199" s="636">
        <v>2022</v>
      </c>
      <c r="W1199" s="640"/>
      <c r="X1199" s="641">
        <f t="shared" si="54"/>
        <v>3.4117961035495061</v>
      </c>
      <c r="Y1199" s="642" t="str">
        <f t="shared" si="55"/>
        <v/>
      </c>
      <c r="Z1199" s="642" t="str">
        <f t="shared" si="56"/>
        <v/>
      </c>
    </row>
    <row r="1200" spans="1:26" s="127" customFormat="1" ht="25">
      <c r="A1200" s="636">
        <v>57867</v>
      </c>
      <c r="B1200" s="637" t="s">
        <v>33</v>
      </c>
      <c r="C1200" s="636" t="s">
        <v>2725</v>
      </c>
      <c r="D1200" s="637" t="s">
        <v>1139</v>
      </c>
      <c r="E1200" s="637" t="s">
        <v>3047</v>
      </c>
      <c r="F1200" s="636">
        <v>63800</v>
      </c>
      <c r="G1200" s="637" t="s">
        <v>57</v>
      </c>
      <c r="H1200" s="637" t="s">
        <v>1162</v>
      </c>
      <c r="I1200" s="637" t="s">
        <v>58</v>
      </c>
      <c r="J1200" s="636">
        <v>22</v>
      </c>
      <c r="K1200" s="636">
        <v>2</v>
      </c>
      <c r="L1200" s="637" t="s">
        <v>52</v>
      </c>
      <c r="M1200" s="637" t="s">
        <v>71</v>
      </c>
      <c r="N1200" s="637" t="s">
        <v>72</v>
      </c>
      <c r="O1200" s="637" t="s">
        <v>72</v>
      </c>
      <c r="P1200" s="637" t="s">
        <v>1156</v>
      </c>
      <c r="Q1200" s="638">
        <v>0</v>
      </c>
      <c r="R1200" s="638">
        <v>0</v>
      </c>
      <c r="S1200" s="638">
        <v>414834</v>
      </c>
      <c r="T1200" s="638">
        <v>414834</v>
      </c>
      <c r="U1200" s="638">
        <v>121581</v>
      </c>
      <c r="V1200" s="636">
        <v>2022</v>
      </c>
      <c r="W1200" s="640"/>
      <c r="X1200" s="641">
        <f t="shared" si="54"/>
        <v>3.4119969403113974</v>
      </c>
      <c r="Y1200" s="642" t="str">
        <f t="shared" si="55"/>
        <v/>
      </c>
      <c r="Z1200" s="642" t="str">
        <f t="shared" si="56"/>
        <v/>
      </c>
    </row>
    <row r="1201" spans="1:26" s="127" customFormat="1" ht="25">
      <c r="A1201" s="636">
        <v>57931</v>
      </c>
      <c r="B1201" s="637" t="s">
        <v>33</v>
      </c>
      <c r="C1201" s="636" t="s">
        <v>2725</v>
      </c>
      <c r="D1201" s="637" t="s">
        <v>1140</v>
      </c>
      <c r="E1201" s="637" t="s">
        <v>1141</v>
      </c>
      <c r="F1201" s="636">
        <v>57309</v>
      </c>
      <c r="G1201" s="637" t="s">
        <v>81</v>
      </c>
      <c r="H1201" s="637" t="s">
        <v>1163</v>
      </c>
      <c r="I1201" s="637" t="s">
        <v>58</v>
      </c>
      <c r="J1201" s="636">
        <v>22</v>
      </c>
      <c r="K1201" s="636">
        <v>2</v>
      </c>
      <c r="L1201" s="637" t="s">
        <v>52</v>
      </c>
      <c r="M1201" s="637" t="s">
        <v>441</v>
      </c>
      <c r="N1201" s="637" t="s">
        <v>442</v>
      </c>
      <c r="O1201" s="637" t="s">
        <v>442</v>
      </c>
      <c r="P1201" s="637" t="s">
        <v>1156</v>
      </c>
      <c r="Q1201" s="638">
        <v>0</v>
      </c>
      <c r="R1201" s="638">
        <v>0</v>
      </c>
      <c r="S1201" s="638">
        <v>14340</v>
      </c>
      <c r="T1201" s="638">
        <v>14340</v>
      </c>
      <c r="U1201" s="638">
        <v>4203</v>
      </c>
      <c r="V1201" s="636">
        <v>2022</v>
      </c>
      <c r="W1201" s="640"/>
      <c r="X1201" s="641">
        <f t="shared" si="54"/>
        <v>3.4118486795146326</v>
      </c>
      <c r="Y1201" s="642" t="str">
        <f t="shared" si="55"/>
        <v/>
      </c>
      <c r="Z1201" s="642" t="str">
        <f t="shared" si="56"/>
        <v/>
      </c>
    </row>
    <row r="1202" spans="1:26" s="127" customFormat="1" ht="25">
      <c r="A1202" s="636">
        <v>57934</v>
      </c>
      <c r="B1202" s="637" t="s">
        <v>33</v>
      </c>
      <c r="C1202" s="636" t="s">
        <v>2725</v>
      </c>
      <c r="D1202" s="637" t="s">
        <v>1190</v>
      </c>
      <c r="E1202" s="637" t="s">
        <v>1108</v>
      </c>
      <c r="F1202" s="636">
        <v>56769</v>
      </c>
      <c r="G1202" s="637" t="s">
        <v>81</v>
      </c>
      <c r="H1202" s="637" t="s">
        <v>1163</v>
      </c>
      <c r="I1202" s="637" t="s">
        <v>58</v>
      </c>
      <c r="J1202" s="636">
        <v>22</v>
      </c>
      <c r="K1202" s="636">
        <v>2</v>
      </c>
      <c r="L1202" s="637" t="s">
        <v>52</v>
      </c>
      <c r="M1202" s="637" t="s">
        <v>441</v>
      </c>
      <c r="N1202" s="637" t="s">
        <v>442</v>
      </c>
      <c r="O1202" s="637" t="s">
        <v>442</v>
      </c>
      <c r="P1202" s="637" t="s">
        <v>1156</v>
      </c>
      <c r="Q1202" s="638">
        <v>0</v>
      </c>
      <c r="R1202" s="638">
        <v>0</v>
      </c>
      <c r="S1202" s="638">
        <v>11864</v>
      </c>
      <c r="T1202" s="638">
        <v>11864</v>
      </c>
      <c r="U1202" s="638">
        <v>3477</v>
      </c>
      <c r="V1202" s="636">
        <v>2022</v>
      </c>
      <c r="W1202" s="640"/>
      <c r="X1202" s="641">
        <f t="shared" si="54"/>
        <v>3.4121368996261143</v>
      </c>
      <c r="Y1202" s="642" t="str">
        <f t="shared" si="55"/>
        <v/>
      </c>
      <c r="Z1202" s="642" t="str">
        <f t="shared" si="56"/>
        <v/>
      </c>
    </row>
    <row r="1203" spans="1:26" s="127" customFormat="1" ht="25">
      <c r="A1203" s="636">
        <v>57941</v>
      </c>
      <c r="B1203" s="637" t="s">
        <v>33</v>
      </c>
      <c r="C1203" s="636" t="s">
        <v>2725</v>
      </c>
      <c r="D1203" s="637" t="s">
        <v>1191</v>
      </c>
      <c r="E1203" s="637" t="s">
        <v>3618</v>
      </c>
      <c r="F1203" s="636">
        <v>57318</v>
      </c>
      <c r="G1203" s="637" t="s">
        <v>81</v>
      </c>
      <c r="H1203" s="637" t="s">
        <v>1163</v>
      </c>
      <c r="I1203" s="637" t="s">
        <v>58</v>
      </c>
      <c r="J1203" s="636">
        <v>22</v>
      </c>
      <c r="K1203" s="636">
        <v>2</v>
      </c>
      <c r="L1203" s="637" t="s">
        <v>52</v>
      </c>
      <c r="M1203" s="637" t="s">
        <v>441</v>
      </c>
      <c r="N1203" s="637" t="s">
        <v>442</v>
      </c>
      <c r="O1203" s="637" t="s">
        <v>442</v>
      </c>
      <c r="P1203" s="637" t="s">
        <v>1156</v>
      </c>
      <c r="Q1203" s="638">
        <v>0</v>
      </c>
      <c r="R1203" s="638">
        <v>0</v>
      </c>
      <c r="S1203" s="638">
        <v>8923</v>
      </c>
      <c r="T1203" s="638">
        <v>8923</v>
      </c>
      <c r="U1203" s="638">
        <v>2615</v>
      </c>
      <c r="V1203" s="636">
        <v>2022</v>
      </c>
      <c r="W1203" s="640"/>
      <c r="X1203" s="641">
        <f t="shared" si="54"/>
        <v>3.4122370936902486</v>
      </c>
      <c r="Y1203" s="642" t="str">
        <f t="shared" si="55"/>
        <v/>
      </c>
      <c r="Z1203" s="642" t="str">
        <f t="shared" si="56"/>
        <v/>
      </c>
    </row>
    <row r="1204" spans="1:26" s="127" customFormat="1" ht="25">
      <c r="A1204" s="636">
        <v>57942</v>
      </c>
      <c r="B1204" s="637" t="s">
        <v>33</v>
      </c>
      <c r="C1204" s="636" t="s">
        <v>2725</v>
      </c>
      <c r="D1204" s="637" t="s">
        <v>1192</v>
      </c>
      <c r="E1204" s="637" t="s">
        <v>3619</v>
      </c>
      <c r="F1204" s="636">
        <v>57319</v>
      </c>
      <c r="G1204" s="637" t="s">
        <v>81</v>
      </c>
      <c r="H1204" s="637" t="s">
        <v>1163</v>
      </c>
      <c r="I1204" s="637" t="s">
        <v>58</v>
      </c>
      <c r="J1204" s="636">
        <v>22</v>
      </c>
      <c r="K1204" s="636">
        <v>2</v>
      </c>
      <c r="L1204" s="637" t="s">
        <v>52</v>
      </c>
      <c r="M1204" s="637" t="s">
        <v>441</v>
      </c>
      <c r="N1204" s="637" t="s">
        <v>442</v>
      </c>
      <c r="O1204" s="637" t="s">
        <v>442</v>
      </c>
      <c r="P1204" s="637" t="s">
        <v>1156</v>
      </c>
      <c r="Q1204" s="638">
        <v>0</v>
      </c>
      <c r="R1204" s="638">
        <v>0</v>
      </c>
      <c r="S1204" s="638">
        <v>6351</v>
      </c>
      <c r="T1204" s="638">
        <v>6351</v>
      </c>
      <c r="U1204" s="638">
        <v>1861</v>
      </c>
      <c r="V1204" s="636">
        <v>2022</v>
      </c>
      <c r="W1204" s="640"/>
      <c r="X1204" s="641">
        <f t="shared" si="54"/>
        <v>3.4126813541106933</v>
      </c>
      <c r="Y1204" s="642" t="str">
        <f t="shared" si="55"/>
        <v/>
      </c>
      <c r="Z1204" s="642" t="str">
        <f t="shared" si="56"/>
        <v/>
      </c>
    </row>
    <row r="1205" spans="1:26" s="127" customFormat="1" ht="25">
      <c r="A1205" s="636">
        <v>57979</v>
      </c>
      <c r="B1205" s="637" t="s">
        <v>33</v>
      </c>
      <c r="C1205" s="636" t="s">
        <v>2725</v>
      </c>
      <c r="D1205" s="637" t="s">
        <v>1193</v>
      </c>
      <c r="E1205" s="637" t="s">
        <v>131</v>
      </c>
      <c r="F1205" s="636">
        <v>7601</v>
      </c>
      <c r="G1205" s="637" t="s">
        <v>89</v>
      </c>
      <c r="H1205" s="637" t="s">
        <v>1163</v>
      </c>
      <c r="I1205" s="637" t="s">
        <v>58</v>
      </c>
      <c r="J1205" s="636">
        <v>22</v>
      </c>
      <c r="K1205" s="636">
        <v>1</v>
      </c>
      <c r="L1205" s="637" t="s">
        <v>34</v>
      </c>
      <c r="M1205" s="637" t="s">
        <v>71</v>
      </c>
      <c r="N1205" s="637" t="s">
        <v>72</v>
      </c>
      <c r="O1205" s="637" t="s">
        <v>72</v>
      </c>
      <c r="P1205" s="637" t="s">
        <v>1156</v>
      </c>
      <c r="Q1205" s="638">
        <v>0</v>
      </c>
      <c r="R1205" s="638">
        <v>0</v>
      </c>
      <c r="S1205" s="638">
        <v>641310</v>
      </c>
      <c r="T1205" s="638">
        <v>641310</v>
      </c>
      <c r="U1205" s="638">
        <v>187957</v>
      </c>
      <c r="V1205" s="636">
        <v>2022</v>
      </c>
      <c r="W1205" s="640"/>
      <c r="X1205" s="641">
        <f t="shared" si="54"/>
        <v>3.4120038093819329</v>
      </c>
      <c r="Y1205" s="642" t="str">
        <f t="shared" si="55"/>
        <v/>
      </c>
      <c r="Z1205" s="642" t="str">
        <f t="shared" si="56"/>
        <v/>
      </c>
    </row>
    <row r="1206" spans="1:26" s="127" customFormat="1" ht="25">
      <c r="A1206" s="636">
        <v>57989</v>
      </c>
      <c r="B1206" s="637" t="s">
        <v>33</v>
      </c>
      <c r="C1206" s="636" t="s">
        <v>2725</v>
      </c>
      <c r="D1206" s="637" t="s">
        <v>1194</v>
      </c>
      <c r="E1206" s="637" t="s">
        <v>1108</v>
      </c>
      <c r="F1206" s="636">
        <v>56769</v>
      </c>
      <c r="G1206" s="637" t="s">
        <v>81</v>
      </c>
      <c r="H1206" s="637" t="s">
        <v>1163</v>
      </c>
      <c r="I1206" s="637" t="s">
        <v>58</v>
      </c>
      <c r="J1206" s="636">
        <v>22</v>
      </c>
      <c r="K1206" s="636">
        <v>2</v>
      </c>
      <c r="L1206" s="637" t="s">
        <v>52</v>
      </c>
      <c r="M1206" s="637" t="s">
        <v>441</v>
      </c>
      <c r="N1206" s="637" t="s">
        <v>442</v>
      </c>
      <c r="O1206" s="637" t="s">
        <v>442</v>
      </c>
      <c r="P1206" s="637" t="s">
        <v>1156</v>
      </c>
      <c r="Q1206" s="638">
        <v>0</v>
      </c>
      <c r="R1206" s="638">
        <v>0</v>
      </c>
      <c r="S1206" s="638">
        <v>16462</v>
      </c>
      <c r="T1206" s="638">
        <v>16462</v>
      </c>
      <c r="U1206" s="638">
        <v>4825</v>
      </c>
      <c r="V1206" s="636">
        <v>2022</v>
      </c>
      <c r="W1206" s="640"/>
      <c r="X1206" s="641">
        <f t="shared" si="54"/>
        <v>3.4118134715025907</v>
      </c>
      <c r="Y1206" s="642" t="str">
        <f t="shared" si="55"/>
        <v/>
      </c>
      <c r="Z1206" s="642" t="str">
        <f t="shared" si="56"/>
        <v/>
      </c>
    </row>
    <row r="1207" spans="1:26" s="127" customFormat="1" ht="25">
      <c r="A1207" s="636">
        <v>57990</v>
      </c>
      <c r="B1207" s="637" t="s">
        <v>33</v>
      </c>
      <c r="C1207" s="636" t="s">
        <v>2725</v>
      </c>
      <c r="D1207" s="637" t="s">
        <v>1195</v>
      </c>
      <c r="E1207" s="637" t="s">
        <v>1108</v>
      </c>
      <c r="F1207" s="636">
        <v>56769</v>
      </c>
      <c r="G1207" s="637" t="s">
        <v>81</v>
      </c>
      <c r="H1207" s="637" t="s">
        <v>1163</v>
      </c>
      <c r="I1207" s="637" t="s">
        <v>58</v>
      </c>
      <c r="J1207" s="636">
        <v>22</v>
      </c>
      <c r="K1207" s="636">
        <v>2</v>
      </c>
      <c r="L1207" s="637" t="s">
        <v>52</v>
      </c>
      <c r="M1207" s="637" t="s">
        <v>441</v>
      </c>
      <c r="N1207" s="637" t="s">
        <v>442</v>
      </c>
      <c r="O1207" s="637" t="s">
        <v>442</v>
      </c>
      <c r="P1207" s="637" t="s">
        <v>1156</v>
      </c>
      <c r="Q1207" s="638">
        <v>0</v>
      </c>
      <c r="R1207" s="638">
        <v>0</v>
      </c>
      <c r="S1207" s="638">
        <v>14570</v>
      </c>
      <c r="T1207" s="638">
        <v>14570</v>
      </c>
      <c r="U1207" s="638">
        <v>4270</v>
      </c>
      <c r="V1207" s="636">
        <v>2022</v>
      </c>
      <c r="W1207" s="640"/>
      <c r="X1207" s="641">
        <f t="shared" si="54"/>
        <v>3.4121779859484778</v>
      </c>
      <c r="Y1207" s="642" t="str">
        <f t="shared" si="55"/>
        <v/>
      </c>
      <c r="Z1207" s="642" t="str">
        <f t="shared" si="56"/>
        <v/>
      </c>
    </row>
    <row r="1208" spans="1:26" s="127" customFormat="1" ht="25">
      <c r="A1208" s="636">
        <v>57992</v>
      </c>
      <c r="B1208" s="637" t="s">
        <v>33</v>
      </c>
      <c r="C1208" s="636" t="s">
        <v>2725</v>
      </c>
      <c r="D1208" s="637" t="s">
        <v>1196</v>
      </c>
      <c r="E1208" s="637" t="s">
        <v>3620</v>
      </c>
      <c r="F1208" s="636">
        <v>57365</v>
      </c>
      <c r="G1208" s="637" t="s">
        <v>81</v>
      </c>
      <c r="H1208" s="637" t="s">
        <v>1163</v>
      </c>
      <c r="I1208" s="637" t="s">
        <v>58</v>
      </c>
      <c r="J1208" s="636">
        <v>22</v>
      </c>
      <c r="K1208" s="636">
        <v>2</v>
      </c>
      <c r="L1208" s="637" t="s">
        <v>52</v>
      </c>
      <c r="M1208" s="637" t="s">
        <v>441</v>
      </c>
      <c r="N1208" s="637" t="s">
        <v>442</v>
      </c>
      <c r="O1208" s="637" t="s">
        <v>442</v>
      </c>
      <c r="P1208" s="637" t="s">
        <v>1156</v>
      </c>
      <c r="Q1208" s="638">
        <v>0</v>
      </c>
      <c r="R1208" s="638">
        <v>0</v>
      </c>
      <c r="S1208" s="638">
        <v>5067</v>
      </c>
      <c r="T1208" s="638">
        <v>5067</v>
      </c>
      <c r="U1208" s="638">
        <v>1485</v>
      </c>
      <c r="V1208" s="636">
        <v>2022</v>
      </c>
      <c r="W1208" s="640"/>
      <c r="X1208" s="641">
        <f t="shared" si="54"/>
        <v>3.4121212121212121</v>
      </c>
      <c r="Y1208" s="642" t="str">
        <f t="shared" si="55"/>
        <v/>
      </c>
      <c r="Z1208" s="642" t="str">
        <f t="shared" si="56"/>
        <v/>
      </c>
    </row>
    <row r="1209" spans="1:26" s="127" customFormat="1" ht="25">
      <c r="A1209" s="636">
        <v>58004</v>
      </c>
      <c r="B1209" s="637" t="s">
        <v>33</v>
      </c>
      <c r="C1209" s="636" t="s">
        <v>2725</v>
      </c>
      <c r="D1209" s="637" t="s">
        <v>1197</v>
      </c>
      <c r="E1209" s="637" t="s">
        <v>3281</v>
      </c>
      <c r="F1209" s="636">
        <v>64421</v>
      </c>
      <c r="G1209" s="637" t="s">
        <v>96</v>
      </c>
      <c r="H1209" s="637" t="s">
        <v>1163</v>
      </c>
      <c r="I1209" s="637" t="s">
        <v>58</v>
      </c>
      <c r="J1209" s="636">
        <v>22</v>
      </c>
      <c r="K1209" s="636">
        <v>2</v>
      </c>
      <c r="L1209" s="637" t="s">
        <v>52</v>
      </c>
      <c r="M1209" s="637" t="s">
        <v>71</v>
      </c>
      <c r="N1209" s="637" t="s">
        <v>72</v>
      </c>
      <c r="O1209" s="637" t="s">
        <v>72</v>
      </c>
      <c r="P1209" s="637" t="s">
        <v>1156</v>
      </c>
      <c r="Q1209" s="638">
        <v>0</v>
      </c>
      <c r="R1209" s="638">
        <v>0</v>
      </c>
      <c r="S1209" s="638">
        <v>704175</v>
      </c>
      <c r="T1209" s="638">
        <v>704175</v>
      </c>
      <c r="U1209" s="638">
        <v>206382</v>
      </c>
      <c r="V1209" s="636">
        <v>2022</v>
      </c>
      <c r="W1209" s="640"/>
      <c r="X1209" s="641">
        <f t="shared" si="54"/>
        <v>3.4119981393726198</v>
      </c>
      <c r="Y1209" s="642" t="str">
        <f t="shared" si="55"/>
        <v/>
      </c>
      <c r="Z1209" s="642" t="str">
        <f t="shared" si="56"/>
        <v/>
      </c>
    </row>
    <row r="1210" spans="1:26" s="127" customFormat="1" ht="37.5" hidden="1">
      <c r="A1210" s="636">
        <v>58025</v>
      </c>
      <c r="B1210" s="637" t="s">
        <v>33</v>
      </c>
      <c r="C1210" s="636" t="s">
        <v>2725</v>
      </c>
      <c r="D1210" s="637" t="s">
        <v>1198</v>
      </c>
      <c r="E1210" s="637" t="s">
        <v>1198</v>
      </c>
      <c r="F1210" s="636">
        <v>57401</v>
      </c>
      <c r="G1210" s="637" t="s">
        <v>81</v>
      </c>
      <c r="H1210" s="637" t="s">
        <v>1163</v>
      </c>
      <c r="I1210" s="637" t="s">
        <v>58</v>
      </c>
      <c r="J1210" s="636">
        <v>611</v>
      </c>
      <c r="K1210" s="636">
        <v>4</v>
      </c>
      <c r="L1210" s="637" t="s">
        <v>406</v>
      </c>
      <c r="M1210" s="637" t="s">
        <v>71</v>
      </c>
      <c r="N1210" s="637" t="s">
        <v>72</v>
      </c>
      <c r="O1210" s="637" t="s">
        <v>72</v>
      </c>
      <c r="P1210" s="637" t="s">
        <v>1156</v>
      </c>
      <c r="Q1210" s="638">
        <v>0</v>
      </c>
      <c r="R1210" s="638">
        <v>0</v>
      </c>
      <c r="S1210" s="638">
        <v>17590</v>
      </c>
      <c r="T1210" s="638">
        <v>17590</v>
      </c>
      <c r="U1210" s="638">
        <v>5155.92</v>
      </c>
      <c r="V1210" s="636">
        <v>2022</v>
      </c>
      <c r="W1210" s="640"/>
      <c r="X1210" s="641" t="str">
        <f t="shared" si="54"/>
        <v/>
      </c>
      <c r="Y1210" s="642" t="str">
        <f t="shared" si="55"/>
        <v/>
      </c>
      <c r="Z1210" s="642" t="str">
        <f t="shared" si="56"/>
        <v/>
      </c>
    </row>
    <row r="1211" spans="1:26" s="127" customFormat="1" ht="25">
      <c r="A1211" s="636">
        <v>58026</v>
      </c>
      <c r="B1211" s="637" t="s">
        <v>33</v>
      </c>
      <c r="C1211" s="636" t="s">
        <v>2725</v>
      </c>
      <c r="D1211" s="637" t="s">
        <v>1199</v>
      </c>
      <c r="E1211" s="637" t="s">
        <v>1200</v>
      </c>
      <c r="F1211" s="636">
        <v>57402</v>
      </c>
      <c r="G1211" s="637" t="s">
        <v>90</v>
      </c>
      <c r="H1211" s="637" t="s">
        <v>1163</v>
      </c>
      <c r="I1211" s="637" t="s">
        <v>58</v>
      </c>
      <c r="J1211" s="636">
        <v>22</v>
      </c>
      <c r="K1211" s="636">
        <v>2</v>
      </c>
      <c r="L1211" s="637" t="s">
        <v>52</v>
      </c>
      <c r="M1211" s="637" t="s">
        <v>71</v>
      </c>
      <c r="N1211" s="637" t="s">
        <v>72</v>
      </c>
      <c r="O1211" s="637" t="s">
        <v>72</v>
      </c>
      <c r="P1211" s="637" t="s">
        <v>1156</v>
      </c>
      <c r="Q1211" s="638">
        <v>0</v>
      </c>
      <c r="R1211" s="638">
        <v>0</v>
      </c>
      <c r="S1211" s="638">
        <v>204786</v>
      </c>
      <c r="T1211" s="638">
        <v>204786</v>
      </c>
      <c r="U1211" s="638">
        <v>60020</v>
      </c>
      <c r="V1211" s="636">
        <v>2022</v>
      </c>
      <c r="W1211" s="640"/>
      <c r="X1211" s="641">
        <f t="shared" si="54"/>
        <v>3.4119626791069644</v>
      </c>
      <c r="Y1211" s="642" t="str">
        <f t="shared" si="55"/>
        <v/>
      </c>
      <c r="Z1211" s="642" t="str">
        <f t="shared" si="56"/>
        <v/>
      </c>
    </row>
    <row r="1212" spans="1:26" s="127" customFormat="1" ht="25">
      <c r="A1212" s="636">
        <v>58032</v>
      </c>
      <c r="B1212" s="637" t="s">
        <v>33</v>
      </c>
      <c r="C1212" s="636" t="s">
        <v>2725</v>
      </c>
      <c r="D1212" s="637" t="s">
        <v>1201</v>
      </c>
      <c r="E1212" s="637" t="s">
        <v>3620</v>
      </c>
      <c r="F1212" s="636">
        <v>57365</v>
      </c>
      <c r="G1212" s="637" t="s">
        <v>81</v>
      </c>
      <c r="H1212" s="637" t="s">
        <v>1163</v>
      </c>
      <c r="I1212" s="637" t="s">
        <v>58</v>
      </c>
      <c r="J1212" s="636">
        <v>22</v>
      </c>
      <c r="K1212" s="636">
        <v>2</v>
      </c>
      <c r="L1212" s="637" t="s">
        <v>52</v>
      </c>
      <c r="M1212" s="637" t="s">
        <v>441</v>
      </c>
      <c r="N1212" s="637" t="s">
        <v>442</v>
      </c>
      <c r="O1212" s="637" t="s">
        <v>442</v>
      </c>
      <c r="P1212" s="637" t="s">
        <v>1156</v>
      </c>
      <c r="Q1212" s="638">
        <v>0</v>
      </c>
      <c r="R1212" s="638">
        <v>0</v>
      </c>
      <c r="S1212" s="638">
        <v>10902</v>
      </c>
      <c r="T1212" s="638">
        <v>10902</v>
      </c>
      <c r="U1212" s="638">
        <v>3195</v>
      </c>
      <c r="V1212" s="636">
        <v>2022</v>
      </c>
      <c r="W1212" s="640"/>
      <c r="X1212" s="641">
        <f t="shared" si="54"/>
        <v>3.4122065727699531</v>
      </c>
      <c r="Y1212" s="642" t="str">
        <f t="shared" si="55"/>
        <v/>
      </c>
      <c r="Z1212" s="642" t="str">
        <f t="shared" si="56"/>
        <v/>
      </c>
    </row>
    <row r="1213" spans="1:26" s="127" customFormat="1" ht="25">
      <c r="A1213" s="636">
        <v>58035</v>
      </c>
      <c r="B1213" s="637" t="s">
        <v>33</v>
      </c>
      <c r="C1213" s="636" t="s">
        <v>2725</v>
      </c>
      <c r="D1213" s="637" t="s">
        <v>1878</v>
      </c>
      <c r="E1213" s="637" t="s">
        <v>1879</v>
      </c>
      <c r="F1213" s="636">
        <v>57406</v>
      </c>
      <c r="G1213" s="637" t="s">
        <v>130</v>
      </c>
      <c r="H1213" s="637" t="s">
        <v>1163</v>
      </c>
      <c r="I1213" s="637" t="s">
        <v>58</v>
      </c>
      <c r="J1213" s="636">
        <v>22</v>
      </c>
      <c r="K1213" s="636">
        <v>2</v>
      </c>
      <c r="L1213" s="637" t="s">
        <v>52</v>
      </c>
      <c r="M1213" s="637" t="s">
        <v>1880</v>
      </c>
      <c r="N1213" s="637" t="s">
        <v>72</v>
      </c>
      <c r="O1213" s="637" t="s">
        <v>72</v>
      </c>
      <c r="P1213" s="637" t="s">
        <v>1156</v>
      </c>
      <c r="Q1213" s="638">
        <v>0</v>
      </c>
      <c r="R1213" s="638">
        <v>0</v>
      </c>
      <c r="S1213" s="638">
        <v>379397</v>
      </c>
      <c r="T1213" s="638">
        <v>379397</v>
      </c>
      <c r="U1213" s="638">
        <v>111195</v>
      </c>
      <c r="V1213" s="636">
        <v>2022</v>
      </c>
      <c r="W1213" s="640"/>
      <c r="X1213" s="641">
        <f t="shared" si="54"/>
        <v>3.4119969423085572</v>
      </c>
      <c r="Y1213" s="642" t="str">
        <f t="shared" si="55"/>
        <v/>
      </c>
      <c r="Z1213" s="642" t="str">
        <f t="shared" si="56"/>
        <v/>
      </c>
    </row>
    <row r="1214" spans="1:26" s="127" customFormat="1" ht="25">
      <c r="A1214" s="636">
        <v>58054</v>
      </c>
      <c r="B1214" s="637" t="s">
        <v>33</v>
      </c>
      <c r="C1214" s="636" t="s">
        <v>2725</v>
      </c>
      <c r="D1214" s="637" t="s">
        <v>1576</v>
      </c>
      <c r="E1214" s="637" t="s">
        <v>1577</v>
      </c>
      <c r="F1214" s="636">
        <v>57430</v>
      </c>
      <c r="G1214" s="637" t="s">
        <v>96</v>
      </c>
      <c r="H1214" s="637" t="s">
        <v>1163</v>
      </c>
      <c r="I1214" s="637" t="s">
        <v>58</v>
      </c>
      <c r="J1214" s="636">
        <v>22</v>
      </c>
      <c r="K1214" s="636">
        <v>2</v>
      </c>
      <c r="L1214" s="637" t="s">
        <v>52</v>
      </c>
      <c r="M1214" s="637" t="s">
        <v>42</v>
      </c>
      <c r="N1214" s="637" t="s">
        <v>46</v>
      </c>
      <c r="O1214" s="637" t="s">
        <v>46</v>
      </c>
      <c r="P1214" s="637" t="s">
        <v>47</v>
      </c>
      <c r="Q1214" s="638">
        <v>398</v>
      </c>
      <c r="R1214" s="638">
        <v>398</v>
      </c>
      <c r="S1214" s="638">
        <v>2348</v>
      </c>
      <c r="T1214" s="638">
        <v>2348</v>
      </c>
      <c r="U1214" s="638">
        <v>172.05099999999999</v>
      </c>
      <c r="V1214" s="636">
        <v>2022</v>
      </c>
      <c r="W1214" s="640"/>
      <c r="X1214" s="641">
        <f t="shared" si="54"/>
        <v>13.647116262038583</v>
      </c>
      <c r="Y1214" s="642" t="str">
        <f t="shared" si="55"/>
        <v/>
      </c>
      <c r="Z1214" s="642" t="str">
        <f t="shared" si="56"/>
        <v/>
      </c>
    </row>
    <row r="1215" spans="1:26" s="127" customFormat="1" ht="25">
      <c r="A1215" s="636">
        <v>58054</v>
      </c>
      <c r="B1215" s="637" t="s">
        <v>33</v>
      </c>
      <c r="C1215" s="636" t="s">
        <v>2725</v>
      </c>
      <c r="D1215" s="637" t="s">
        <v>1576</v>
      </c>
      <c r="E1215" s="637" t="s">
        <v>1577</v>
      </c>
      <c r="F1215" s="636">
        <v>57430</v>
      </c>
      <c r="G1215" s="637" t="s">
        <v>96</v>
      </c>
      <c r="H1215" s="637" t="s">
        <v>1163</v>
      </c>
      <c r="I1215" s="637" t="s">
        <v>58</v>
      </c>
      <c r="J1215" s="636">
        <v>22</v>
      </c>
      <c r="K1215" s="636">
        <v>2</v>
      </c>
      <c r="L1215" s="637" t="s">
        <v>52</v>
      </c>
      <c r="M1215" s="637" t="s">
        <v>42</v>
      </c>
      <c r="N1215" s="637" t="s">
        <v>69</v>
      </c>
      <c r="O1215" s="637" t="s">
        <v>70</v>
      </c>
      <c r="P1215" s="637" t="s">
        <v>45</v>
      </c>
      <c r="Q1215" s="638">
        <v>822425</v>
      </c>
      <c r="R1215" s="638">
        <v>822425</v>
      </c>
      <c r="S1215" s="638">
        <v>7401825</v>
      </c>
      <c r="T1215" s="638">
        <v>7401825</v>
      </c>
      <c r="U1215" s="638">
        <v>540408.94999999995</v>
      </c>
      <c r="V1215" s="636">
        <v>2022</v>
      </c>
      <c r="W1215" s="640"/>
      <c r="X1215" s="641">
        <f t="shared" si="54"/>
        <v>13.696710611473035</v>
      </c>
      <c r="Y1215" s="642" t="str">
        <f t="shared" si="55"/>
        <v/>
      </c>
      <c r="Z1215" s="642" t="str">
        <f t="shared" si="56"/>
        <v/>
      </c>
    </row>
    <row r="1216" spans="1:26" s="127" customFormat="1" ht="25">
      <c r="A1216" s="636">
        <v>58065</v>
      </c>
      <c r="B1216" s="637" t="s">
        <v>33</v>
      </c>
      <c r="C1216" s="636" t="s">
        <v>2725</v>
      </c>
      <c r="D1216" s="637" t="s">
        <v>1202</v>
      </c>
      <c r="E1216" s="637" t="s">
        <v>1203</v>
      </c>
      <c r="F1216" s="636">
        <v>57443</v>
      </c>
      <c r="G1216" s="637" t="s">
        <v>81</v>
      </c>
      <c r="H1216" s="637" t="s">
        <v>1163</v>
      </c>
      <c r="I1216" s="637" t="s">
        <v>58</v>
      </c>
      <c r="J1216" s="636">
        <v>22</v>
      </c>
      <c r="K1216" s="636">
        <v>2</v>
      </c>
      <c r="L1216" s="637" t="s">
        <v>52</v>
      </c>
      <c r="M1216" s="637" t="s">
        <v>71</v>
      </c>
      <c r="N1216" s="637" t="s">
        <v>72</v>
      </c>
      <c r="O1216" s="637" t="s">
        <v>72</v>
      </c>
      <c r="P1216" s="637" t="s">
        <v>1156</v>
      </c>
      <c r="Q1216" s="638">
        <v>0</v>
      </c>
      <c r="R1216" s="638">
        <v>0</v>
      </c>
      <c r="S1216" s="638">
        <v>5245</v>
      </c>
      <c r="T1216" s="638">
        <v>5245</v>
      </c>
      <c r="U1216" s="638">
        <v>1537</v>
      </c>
      <c r="V1216" s="636">
        <v>2022</v>
      </c>
      <c r="W1216" s="640"/>
      <c r="X1216" s="641">
        <f t="shared" si="54"/>
        <v>3.4124918672739102</v>
      </c>
      <c r="Y1216" s="642" t="str">
        <f t="shared" si="55"/>
        <v/>
      </c>
      <c r="Z1216" s="642" t="str">
        <f t="shared" si="56"/>
        <v/>
      </c>
    </row>
    <row r="1217" spans="1:26" s="127" customFormat="1" ht="37.5" hidden="1">
      <c r="A1217" s="636">
        <v>58084</v>
      </c>
      <c r="B1217" s="637" t="s">
        <v>54</v>
      </c>
      <c r="C1217" s="636" t="s">
        <v>2725</v>
      </c>
      <c r="D1217" s="637" t="s">
        <v>1578</v>
      </c>
      <c r="E1217" s="637" t="s">
        <v>1579</v>
      </c>
      <c r="F1217" s="636">
        <v>57464</v>
      </c>
      <c r="G1217" s="637" t="s">
        <v>41</v>
      </c>
      <c r="H1217" s="637" t="s">
        <v>1163</v>
      </c>
      <c r="I1217" s="637" t="s">
        <v>58</v>
      </c>
      <c r="J1217" s="636">
        <v>322</v>
      </c>
      <c r="K1217" s="636">
        <v>7</v>
      </c>
      <c r="L1217" s="637" t="s">
        <v>403</v>
      </c>
      <c r="M1217" s="637" t="s">
        <v>38</v>
      </c>
      <c r="N1217" s="637" t="s">
        <v>39</v>
      </c>
      <c r="O1217" s="637" t="s">
        <v>39</v>
      </c>
      <c r="P1217" s="637" t="s">
        <v>1020</v>
      </c>
      <c r="Q1217" s="638">
        <v>211</v>
      </c>
      <c r="R1217" s="638">
        <v>211</v>
      </c>
      <c r="S1217" s="638">
        <v>217</v>
      </c>
      <c r="T1217" s="638">
        <v>217</v>
      </c>
      <c r="U1217" s="638">
        <v>13145</v>
      </c>
      <c r="V1217" s="636">
        <v>2022</v>
      </c>
      <c r="W1217" s="640"/>
      <c r="X1217" s="641" t="str">
        <f t="shared" si="54"/>
        <v/>
      </c>
      <c r="Y1217" s="642" t="str">
        <f t="shared" si="55"/>
        <v/>
      </c>
      <c r="Z1217" s="642" t="str">
        <f t="shared" si="56"/>
        <v/>
      </c>
    </row>
    <row r="1218" spans="1:26" s="127" customFormat="1" ht="37.5" hidden="1">
      <c r="A1218" s="636">
        <v>58084</v>
      </c>
      <c r="B1218" s="637" t="s">
        <v>54</v>
      </c>
      <c r="C1218" s="636" t="s">
        <v>2725</v>
      </c>
      <c r="D1218" s="637" t="s">
        <v>1578</v>
      </c>
      <c r="E1218" s="637" t="s">
        <v>1579</v>
      </c>
      <c r="F1218" s="636">
        <v>57464</v>
      </c>
      <c r="G1218" s="637" t="s">
        <v>41</v>
      </c>
      <c r="H1218" s="637" t="s">
        <v>1163</v>
      </c>
      <c r="I1218" s="637" t="s">
        <v>58</v>
      </c>
      <c r="J1218" s="636">
        <v>322</v>
      </c>
      <c r="K1218" s="636">
        <v>7</v>
      </c>
      <c r="L1218" s="637" t="s">
        <v>403</v>
      </c>
      <c r="M1218" s="637" t="s">
        <v>41</v>
      </c>
      <c r="N1218" s="637" t="s">
        <v>39</v>
      </c>
      <c r="O1218" s="637" t="s">
        <v>39</v>
      </c>
      <c r="P1218" s="637" t="s">
        <v>1020</v>
      </c>
      <c r="Q1218" s="638">
        <v>1345579</v>
      </c>
      <c r="R1218" s="638">
        <v>615217</v>
      </c>
      <c r="S1218" s="638">
        <v>1384602</v>
      </c>
      <c r="T1218" s="638">
        <v>633058</v>
      </c>
      <c r="U1218" s="638">
        <v>115715</v>
      </c>
      <c r="V1218" s="636">
        <v>2022</v>
      </c>
      <c r="W1218" s="640"/>
      <c r="X1218" s="641" t="str">
        <f t="shared" si="54"/>
        <v/>
      </c>
      <c r="Y1218" s="642" t="str">
        <f t="shared" si="55"/>
        <v/>
      </c>
      <c r="Z1218" s="642" t="str">
        <f t="shared" si="56"/>
        <v/>
      </c>
    </row>
    <row r="1219" spans="1:26" s="127" customFormat="1" ht="37.5" hidden="1">
      <c r="A1219" s="636">
        <v>58084</v>
      </c>
      <c r="B1219" s="637" t="s">
        <v>54</v>
      </c>
      <c r="C1219" s="636" t="s">
        <v>2725</v>
      </c>
      <c r="D1219" s="637" t="s">
        <v>1578</v>
      </c>
      <c r="E1219" s="637" t="s">
        <v>1579</v>
      </c>
      <c r="F1219" s="636">
        <v>57464</v>
      </c>
      <c r="G1219" s="637" t="s">
        <v>41</v>
      </c>
      <c r="H1219" s="637" t="s">
        <v>1163</v>
      </c>
      <c r="I1219" s="637" t="s">
        <v>58</v>
      </c>
      <c r="J1219" s="636">
        <v>322</v>
      </c>
      <c r="K1219" s="636">
        <v>7</v>
      </c>
      <c r="L1219" s="637" t="s">
        <v>403</v>
      </c>
      <c r="M1219" s="637" t="s">
        <v>50</v>
      </c>
      <c r="N1219" s="637" t="s">
        <v>39</v>
      </c>
      <c r="O1219" s="637" t="s">
        <v>39</v>
      </c>
      <c r="P1219" s="637" t="s">
        <v>1020</v>
      </c>
      <c r="Q1219" s="638">
        <v>1221564</v>
      </c>
      <c r="R1219" s="638">
        <v>504972</v>
      </c>
      <c r="S1219" s="638">
        <v>1256989</v>
      </c>
      <c r="T1219" s="638">
        <v>519615</v>
      </c>
      <c r="U1219" s="638">
        <v>105744</v>
      </c>
      <c r="V1219" s="636">
        <v>2022</v>
      </c>
      <c r="W1219" s="640"/>
      <c r="X1219" s="641" t="str">
        <f t="shared" si="54"/>
        <v/>
      </c>
      <c r="Y1219" s="642">
        <f t="shared" si="55"/>
        <v>5.503284837455098</v>
      </c>
      <c r="Z1219" s="642" t="str">
        <f t="shared" si="56"/>
        <v/>
      </c>
    </row>
    <row r="1220" spans="1:26" s="127" customFormat="1" ht="25">
      <c r="A1220" s="636">
        <v>58088</v>
      </c>
      <c r="B1220" s="637" t="s">
        <v>33</v>
      </c>
      <c r="C1220" s="636" t="s">
        <v>2725</v>
      </c>
      <c r="D1220" s="637" t="s">
        <v>1580</v>
      </c>
      <c r="E1220" s="637" t="s">
        <v>440</v>
      </c>
      <c r="F1220" s="636">
        <v>49893</v>
      </c>
      <c r="G1220" s="637" t="s">
        <v>57</v>
      </c>
      <c r="H1220" s="637" t="s">
        <v>1162</v>
      </c>
      <c r="I1220" s="637" t="s">
        <v>58</v>
      </c>
      <c r="J1220" s="636">
        <v>22</v>
      </c>
      <c r="K1220" s="636">
        <v>2</v>
      </c>
      <c r="L1220" s="637" t="s">
        <v>52</v>
      </c>
      <c r="M1220" s="637" t="s">
        <v>71</v>
      </c>
      <c r="N1220" s="637" t="s">
        <v>72</v>
      </c>
      <c r="O1220" s="637" t="s">
        <v>72</v>
      </c>
      <c r="P1220" s="637" t="s">
        <v>1156</v>
      </c>
      <c r="Q1220" s="638">
        <v>0</v>
      </c>
      <c r="R1220" s="638">
        <v>0</v>
      </c>
      <c r="S1220" s="638">
        <v>800950</v>
      </c>
      <c r="T1220" s="638">
        <v>800950</v>
      </c>
      <c r="U1220" s="638">
        <v>234745</v>
      </c>
      <c r="V1220" s="636">
        <v>2022</v>
      </c>
      <c r="W1220" s="640"/>
      <c r="X1220" s="641">
        <f t="shared" si="54"/>
        <v>3.4120002555964981</v>
      </c>
      <c r="Y1220" s="642" t="str">
        <f t="shared" si="55"/>
        <v/>
      </c>
      <c r="Z1220" s="642" t="str">
        <f t="shared" si="56"/>
        <v/>
      </c>
    </row>
    <row r="1221" spans="1:26" s="127" customFormat="1" ht="25">
      <c r="A1221" s="636">
        <v>58097</v>
      </c>
      <c r="B1221" s="637" t="s">
        <v>33</v>
      </c>
      <c r="C1221" s="636" t="s">
        <v>2725</v>
      </c>
      <c r="D1221" s="637" t="s">
        <v>1663</v>
      </c>
      <c r="E1221" s="637" t="s">
        <v>1950</v>
      </c>
      <c r="F1221" s="636">
        <v>60281</v>
      </c>
      <c r="G1221" s="637" t="s">
        <v>81</v>
      </c>
      <c r="H1221" s="637" t="s">
        <v>1163</v>
      </c>
      <c r="I1221" s="637" t="s">
        <v>58</v>
      </c>
      <c r="J1221" s="636">
        <v>22</v>
      </c>
      <c r="K1221" s="636">
        <v>2</v>
      </c>
      <c r="L1221" s="637" t="s">
        <v>52</v>
      </c>
      <c r="M1221" s="637" t="s">
        <v>441</v>
      </c>
      <c r="N1221" s="637" t="s">
        <v>442</v>
      </c>
      <c r="O1221" s="637" t="s">
        <v>442</v>
      </c>
      <c r="P1221" s="637" t="s">
        <v>1156</v>
      </c>
      <c r="Q1221" s="638">
        <v>0</v>
      </c>
      <c r="R1221" s="638">
        <v>0</v>
      </c>
      <c r="S1221" s="638">
        <v>12287</v>
      </c>
      <c r="T1221" s="638">
        <v>12287</v>
      </c>
      <c r="U1221" s="638">
        <v>3601</v>
      </c>
      <c r="V1221" s="636">
        <v>2022</v>
      </c>
      <c r="W1221" s="640"/>
      <c r="X1221" s="641">
        <f t="shared" si="54"/>
        <v>3.4121077478478199</v>
      </c>
      <c r="Y1221" s="642" t="str">
        <f t="shared" si="55"/>
        <v/>
      </c>
      <c r="Z1221" s="642" t="str">
        <f t="shared" si="56"/>
        <v/>
      </c>
    </row>
    <row r="1222" spans="1:26" s="127" customFormat="1" ht="37.5" hidden="1">
      <c r="A1222" s="636">
        <v>58116</v>
      </c>
      <c r="B1222" s="637" t="s">
        <v>33</v>
      </c>
      <c r="C1222" s="636" t="s">
        <v>2725</v>
      </c>
      <c r="D1222" s="637" t="s">
        <v>1204</v>
      </c>
      <c r="E1222" s="637" t="s">
        <v>1881</v>
      </c>
      <c r="F1222" s="636">
        <v>60642</v>
      </c>
      <c r="G1222" s="637" t="s">
        <v>41</v>
      </c>
      <c r="H1222" s="637" t="s">
        <v>1163</v>
      </c>
      <c r="I1222" s="637" t="s">
        <v>58</v>
      </c>
      <c r="J1222" s="636">
        <v>322</v>
      </c>
      <c r="K1222" s="636">
        <v>6</v>
      </c>
      <c r="L1222" s="637" t="s">
        <v>404</v>
      </c>
      <c r="M1222" s="637" t="s">
        <v>51</v>
      </c>
      <c r="N1222" s="637" t="s">
        <v>39</v>
      </c>
      <c r="O1222" s="637" t="s">
        <v>39</v>
      </c>
      <c r="P1222" s="637" t="s">
        <v>1020</v>
      </c>
      <c r="Q1222" s="638">
        <v>120018</v>
      </c>
      <c r="R1222" s="638">
        <v>120018</v>
      </c>
      <c r="S1222" s="638">
        <v>123140</v>
      </c>
      <c r="T1222" s="638">
        <v>123140</v>
      </c>
      <c r="U1222" s="638">
        <v>11297</v>
      </c>
      <c r="V1222" s="636">
        <v>2022</v>
      </c>
      <c r="W1222" s="640"/>
      <c r="X1222" s="641" t="str">
        <f t="shared" si="54"/>
        <v/>
      </c>
      <c r="Y1222" s="642" t="str">
        <f t="shared" si="55"/>
        <v/>
      </c>
      <c r="Z1222" s="642" t="str">
        <f t="shared" si="56"/>
        <v/>
      </c>
    </row>
    <row r="1223" spans="1:26" s="127" customFormat="1" ht="25">
      <c r="A1223" s="636">
        <v>58141</v>
      </c>
      <c r="B1223" s="637" t="s">
        <v>33</v>
      </c>
      <c r="C1223" s="636" t="s">
        <v>2725</v>
      </c>
      <c r="D1223" s="637" t="s">
        <v>1205</v>
      </c>
      <c r="E1223" s="637" t="s">
        <v>1875</v>
      </c>
      <c r="F1223" s="636">
        <v>15399</v>
      </c>
      <c r="G1223" s="637" t="s">
        <v>96</v>
      </c>
      <c r="H1223" s="637" t="s">
        <v>1163</v>
      </c>
      <c r="I1223" s="637" t="s">
        <v>58</v>
      </c>
      <c r="J1223" s="636">
        <v>22</v>
      </c>
      <c r="K1223" s="636">
        <v>2</v>
      </c>
      <c r="L1223" s="637" t="s">
        <v>52</v>
      </c>
      <c r="M1223" s="637" t="s">
        <v>71</v>
      </c>
      <c r="N1223" s="637" t="s">
        <v>72</v>
      </c>
      <c r="O1223" s="637" t="s">
        <v>72</v>
      </c>
      <c r="P1223" s="637" t="s">
        <v>1156</v>
      </c>
      <c r="Q1223" s="638">
        <v>0</v>
      </c>
      <c r="R1223" s="638">
        <v>0</v>
      </c>
      <c r="S1223" s="638">
        <v>379576</v>
      </c>
      <c r="T1223" s="638">
        <v>379576</v>
      </c>
      <c r="U1223" s="638">
        <v>111247</v>
      </c>
      <c r="V1223" s="636">
        <v>2022</v>
      </c>
      <c r="W1223" s="640"/>
      <c r="X1223" s="641">
        <f t="shared" si="54"/>
        <v>3.4120111104119664</v>
      </c>
      <c r="Y1223" s="642" t="str">
        <f t="shared" si="55"/>
        <v/>
      </c>
      <c r="Z1223" s="642" t="str">
        <f t="shared" si="56"/>
        <v/>
      </c>
    </row>
    <row r="1224" spans="1:26" s="127" customFormat="1" ht="25">
      <c r="A1224" s="636">
        <v>58144</v>
      </c>
      <c r="B1224" s="637" t="s">
        <v>33</v>
      </c>
      <c r="C1224" s="636" t="s">
        <v>2725</v>
      </c>
      <c r="D1224" s="637" t="s">
        <v>1806</v>
      </c>
      <c r="E1224" s="637" t="s">
        <v>3621</v>
      </c>
      <c r="F1224" s="636">
        <v>65432</v>
      </c>
      <c r="G1224" s="637" t="s">
        <v>89</v>
      </c>
      <c r="H1224" s="637" t="s">
        <v>1163</v>
      </c>
      <c r="I1224" s="637" t="s">
        <v>58</v>
      </c>
      <c r="J1224" s="636">
        <v>22</v>
      </c>
      <c r="K1224" s="636">
        <v>2</v>
      </c>
      <c r="L1224" s="637" t="s">
        <v>52</v>
      </c>
      <c r="M1224" s="637" t="s">
        <v>441</v>
      </c>
      <c r="N1224" s="637" t="s">
        <v>442</v>
      </c>
      <c r="O1224" s="637" t="s">
        <v>442</v>
      </c>
      <c r="P1224" s="637" t="s">
        <v>1156</v>
      </c>
      <c r="Q1224" s="638">
        <v>0</v>
      </c>
      <c r="R1224" s="638">
        <v>0</v>
      </c>
      <c r="S1224" s="638">
        <v>7583</v>
      </c>
      <c r="T1224" s="638">
        <v>7583</v>
      </c>
      <c r="U1224" s="638">
        <v>2222</v>
      </c>
      <c r="V1224" s="636">
        <v>2022</v>
      </c>
      <c r="W1224" s="640"/>
      <c r="X1224" s="641">
        <f t="shared" ref="X1224:X1287" si="57">IF(OR(K1224&gt;3,T1224=0,NOT(U1224&gt;0)),"",T1224/U1224)</f>
        <v>3.4126912691269129</v>
      </c>
      <c r="Y1224" s="642" t="str">
        <f t="shared" ref="Y1224:Y1287" si="58">IF(AND($M1224=$Y$2,$N1224=$Y$3,NOT($Q1224=$R1224),NOT($U1224=0)),IF($K1224=5,$S1224/($U1224+(8/5)*$U1224),IF($K1224=7,$S1224/($U1224+(29/25)*$U1224),"")),"")</f>
        <v/>
      </c>
      <c r="Z1224" s="642" t="str">
        <f t="shared" si="56"/>
        <v/>
      </c>
    </row>
    <row r="1225" spans="1:26" s="127" customFormat="1" ht="25">
      <c r="A1225" s="636">
        <v>58145</v>
      </c>
      <c r="B1225" s="637" t="s">
        <v>33</v>
      </c>
      <c r="C1225" s="636" t="s">
        <v>2725</v>
      </c>
      <c r="D1225" s="637" t="s">
        <v>1807</v>
      </c>
      <c r="E1225" s="637" t="s">
        <v>3621</v>
      </c>
      <c r="F1225" s="636">
        <v>65432</v>
      </c>
      <c r="G1225" s="637" t="s">
        <v>89</v>
      </c>
      <c r="H1225" s="637" t="s">
        <v>1163</v>
      </c>
      <c r="I1225" s="637" t="s">
        <v>58</v>
      </c>
      <c r="J1225" s="636">
        <v>22</v>
      </c>
      <c r="K1225" s="636">
        <v>2</v>
      </c>
      <c r="L1225" s="637" t="s">
        <v>52</v>
      </c>
      <c r="M1225" s="637" t="s">
        <v>441</v>
      </c>
      <c r="N1225" s="637" t="s">
        <v>442</v>
      </c>
      <c r="O1225" s="637" t="s">
        <v>442</v>
      </c>
      <c r="P1225" s="637" t="s">
        <v>1156</v>
      </c>
      <c r="Q1225" s="638">
        <v>0</v>
      </c>
      <c r="R1225" s="638">
        <v>0</v>
      </c>
      <c r="S1225" s="638">
        <v>6751</v>
      </c>
      <c r="T1225" s="638">
        <v>6751</v>
      </c>
      <c r="U1225" s="638">
        <v>1978</v>
      </c>
      <c r="V1225" s="636">
        <v>2022</v>
      </c>
      <c r="W1225" s="640"/>
      <c r="X1225" s="641">
        <f t="shared" si="57"/>
        <v>3.4130434782608696</v>
      </c>
      <c r="Y1225" s="642" t="str">
        <f t="shared" si="58"/>
        <v/>
      </c>
      <c r="Z1225" s="642" t="str">
        <f t="shared" si="56"/>
        <v/>
      </c>
    </row>
    <row r="1226" spans="1:26" s="127" customFormat="1" ht="37.5" hidden="1">
      <c r="A1226" s="636">
        <v>58146</v>
      </c>
      <c r="B1226" s="637" t="s">
        <v>54</v>
      </c>
      <c r="C1226" s="636" t="s">
        <v>2725</v>
      </c>
      <c r="D1226" s="637" t="s">
        <v>1206</v>
      </c>
      <c r="E1226" s="637" t="s">
        <v>1206</v>
      </c>
      <c r="F1226" s="636">
        <v>58103</v>
      </c>
      <c r="G1226" s="637" t="s">
        <v>90</v>
      </c>
      <c r="H1226" s="637" t="s">
        <v>1163</v>
      </c>
      <c r="I1226" s="637" t="s">
        <v>58</v>
      </c>
      <c r="J1226" s="636">
        <v>322</v>
      </c>
      <c r="K1226" s="636">
        <v>7</v>
      </c>
      <c r="L1226" s="637" t="s">
        <v>403</v>
      </c>
      <c r="M1226" s="637" t="s">
        <v>42</v>
      </c>
      <c r="N1226" s="637" t="s">
        <v>408</v>
      </c>
      <c r="O1226" s="637" t="s">
        <v>82</v>
      </c>
      <c r="P1226" s="637" t="s">
        <v>1156</v>
      </c>
      <c r="Q1226" s="638">
        <v>0</v>
      </c>
      <c r="R1226" s="638">
        <v>0</v>
      </c>
      <c r="S1226" s="638">
        <v>352446</v>
      </c>
      <c r="T1226" s="638">
        <v>352446</v>
      </c>
      <c r="U1226" s="638">
        <v>103296</v>
      </c>
      <c r="V1226" s="636">
        <v>2022</v>
      </c>
      <c r="W1226" s="640"/>
      <c r="X1226" s="641" t="str">
        <f t="shared" si="57"/>
        <v/>
      </c>
      <c r="Y1226" s="642" t="str">
        <f t="shared" si="58"/>
        <v/>
      </c>
      <c r="Z1226" s="642" t="str">
        <f t="shared" si="56"/>
        <v/>
      </c>
    </row>
    <row r="1227" spans="1:26" s="127" customFormat="1" ht="37.5" hidden="1">
      <c r="A1227" s="636">
        <v>58152</v>
      </c>
      <c r="B1227" s="637" t="s">
        <v>54</v>
      </c>
      <c r="C1227" s="636" t="s">
        <v>2725</v>
      </c>
      <c r="D1227" s="637" t="s">
        <v>1207</v>
      </c>
      <c r="E1227" s="637" t="s">
        <v>1208</v>
      </c>
      <c r="F1227" s="636">
        <v>58120</v>
      </c>
      <c r="G1227" s="637" t="s">
        <v>41</v>
      </c>
      <c r="H1227" s="637" t="s">
        <v>1163</v>
      </c>
      <c r="I1227" s="637" t="s">
        <v>58</v>
      </c>
      <c r="J1227" s="636">
        <v>622</v>
      </c>
      <c r="K1227" s="636">
        <v>5</v>
      </c>
      <c r="L1227" s="637" t="s">
        <v>407</v>
      </c>
      <c r="M1227" s="637" t="s">
        <v>50</v>
      </c>
      <c r="N1227" s="637" t="s">
        <v>39</v>
      </c>
      <c r="O1227" s="637" t="s">
        <v>39</v>
      </c>
      <c r="P1227" s="637" t="s">
        <v>1020</v>
      </c>
      <c r="Q1227" s="638">
        <v>318188</v>
      </c>
      <c r="R1227" s="638">
        <v>110902</v>
      </c>
      <c r="S1227" s="638">
        <v>325824</v>
      </c>
      <c r="T1227" s="638">
        <v>113563</v>
      </c>
      <c r="U1227" s="638">
        <v>23760</v>
      </c>
      <c r="V1227" s="636">
        <v>2022</v>
      </c>
      <c r="W1227" s="640"/>
      <c r="X1227" s="641" t="str">
        <f t="shared" si="57"/>
        <v/>
      </c>
      <c r="Y1227" s="642">
        <f t="shared" si="58"/>
        <v>5.2742812742812744</v>
      </c>
      <c r="Z1227" s="642" t="str">
        <f t="shared" si="56"/>
        <v/>
      </c>
    </row>
    <row r="1228" spans="1:26" s="127" customFormat="1" ht="37.5" hidden="1">
      <c r="A1228" s="636">
        <v>58153</v>
      </c>
      <c r="B1228" s="637" t="s">
        <v>54</v>
      </c>
      <c r="C1228" s="636" t="s">
        <v>2725</v>
      </c>
      <c r="D1228" s="637" t="s">
        <v>1209</v>
      </c>
      <c r="E1228" s="637" t="s">
        <v>1209</v>
      </c>
      <c r="F1228" s="636">
        <v>58122</v>
      </c>
      <c r="G1228" s="637" t="s">
        <v>90</v>
      </c>
      <c r="H1228" s="637" t="s">
        <v>1163</v>
      </c>
      <c r="I1228" s="637" t="s">
        <v>58</v>
      </c>
      <c r="J1228" s="636">
        <v>622</v>
      </c>
      <c r="K1228" s="636">
        <v>5</v>
      </c>
      <c r="L1228" s="637" t="s">
        <v>407</v>
      </c>
      <c r="M1228" s="637" t="s">
        <v>50</v>
      </c>
      <c r="N1228" s="637" t="s">
        <v>46</v>
      </c>
      <c r="O1228" s="637" t="s">
        <v>46</v>
      </c>
      <c r="P1228" s="637" t="s">
        <v>47</v>
      </c>
      <c r="Q1228" s="638">
        <v>9</v>
      </c>
      <c r="R1228" s="638">
        <v>3</v>
      </c>
      <c r="S1228" s="638">
        <v>52</v>
      </c>
      <c r="T1228" s="638">
        <v>17</v>
      </c>
      <c r="U1228" s="638">
        <v>3.673</v>
      </c>
      <c r="V1228" s="636">
        <v>2022</v>
      </c>
      <c r="W1228" s="640"/>
      <c r="X1228" s="641" t="str">
        <f t="shared" si="57"/>
        <v/>
      </c>
      <c r="Y1228" s="642" t="str">
        <f t="shared" si="58"/>
        <v/>
      </c>
      <c r="Z1228" s="642">
        <f t="shared" si="56"/>
        <v>5.4451402123604673</v>
      </c>
    </row>
    <row r="1229" spans="1:26" s="127" customFormat="1" ht="37.5" hidden="1">
      <c r="A1229" s="636">
        <v>58153</v>
      </c>
      <c r="B1229" s="637" t="s">
        <v>54</v>
      </c>
      <c r="C1229" s="636" t="s">
        <v>2725</v>
      </c>
      <c r="D1229" s="637" t="s">
        <v>1209</v>
      </c>
      <c r="E1229" s="637" t="s">
        <v>1209</v>
      </c>
      <c r="F1229" s="636">
        <v>58122</v>
      </c>
      <c r="G1229" s="637" t="s">
        <v>90</v>
      </c>
      <c r="H1229" s="637" t="s">
        <v>1163</v>
      </c>
      <c r="I1229" s="637" t="s">
        <v>58</v>
      </c>
      <c r="J1229" s="636">
        <v>622</v>
      </c>
      <c r="K1229" s="636">
        <v>5</v>
      </c>
      <c r="L1229" s="637" t="s">
        <v>407</v>
      </c>
      <c r="M1229" s="637" t="s">
        <v>50</v>
      </c>
      <c r="N1229" s="637" t="s">
        <v>39</v>
      </c>
      <c r="O1229" s="637" t="s">
        <v>39</v>
      </c>
      <c r="P1229" s="637" t="s">
        <v>1020</v>
      </c>
      <c r="Q1229" s="638">
        <v>412397</v>
      </c>
      <c r="R1229" s="638">
        <v>146847</v>
      </c>
      <c r="S1229" s="638">
        <v>419210</v>
      </c>
      <c r="T1229" s="638">
        <v>149268</v>
      </c>
      <c r="U1229" s="638">
        <v>31498.327000000001</v>
      </c>
      <c r="V1229" s="636">
        <v>2022</v>
      </c>
      <c r="W1229" s="640"/>
      <c r="X1229" s="641" t="str">
        <f t="shared" si="57"/>
        <v/>
      </c>
      <c r="Y1229" s="642">
        <f t="shared" si="58"/>
        <v>5.1188310853657519</v>
      </c>
      <c r="Z1229" s="642" t="str">
        <f t="shared" si="56"/>
        <v/>
      </c>
    </row>
    <row r="1230" spans="1:26" s="127" customFormat="1" ht="37.5" hidden="1">
      <c r="A1230" s="636">
        <v>58156</v>
      </c>
      <c r="B1230" s="637" t="s">
        <v>33</v>
      </c>
      <c r="C1230" s="636" t="s">
        <v>2725</v>
      </c>
      <c r="D1230" s="637" t="s">
        <v>1210</v>
      </c>
      <c r="E1230" s="637" t="s">
        <v>1210</v>
      </c>
      <c r="F1230" s="636">
        <v>58110</v>
      </c>
      <c r="G1230" s="637" t="s">
        <v>57</v>
      </c>
      <c r="H1230" s="637" t="s">
        <v>1162</v>
      </c>
      <c r="I1230" s="637" t="s">
        <v>58</v>
      </c>
      <c r="J1230" s="636">
        <v>611</v>
      </c>
      <c r="K1230" s="636">
        <v>4</v>
      </c>
      <c r="L1230" s="637" t="s">
        <v>406</v>
      </c>
      <c r="M1230" s="637" t="s">
        <v>51</v>
      </c>
      <c r="N1230" s="637" t="s">
        <v>39</v>
      </c>
      <c r="O1230" s="637" t="s">
        <v>39</v>
      </c>
      <c r="P1230" s="637" t="s">
        <v>1020</v>
      </c>
      <c r="Q1230" s="638">
        <v>8952</v>
      </c>
      <c r="R1230" s="638">
        <v>8952</v>
      </c>
      <c r="S1230" s="638">
        <v>8952</v>
      </c>
      <c r="T1230" s="638">
        <v>8952</v>
      </c>
      <c r="U1230" s="638">
        <v>744.8</v>
      </c>
      <c r="V1230" s="636">
        <v>2022</v>
      </c>
      <c r="W1230" s="640"/>
      <c r="X1230" s="641" t="str">
        <f t="shared" si="57"/>
        <v/>
      </c>
      <c r="Y1230" s="642" t="str">
        <f t="shared" si="58"/>
        <v/>
      </c>
      <c r="Z1230" s="642" t="str">
        <f t="shared" si="56"/>
        <v/>
      </c>
    </row>
    <row r="1231" spans="1:26" s="127" customFormat="1" ht="37.5" hidden="1">
      <c r="A1231" s="636">
        <v>58157</v>
      </c>
      <c r="B1231" s="637" t="s">
        <v>54</v>
      </c>
      <c r="C1231" s="636" t="s">
        <v>2725</v>
      </c>
      <c r="D1231" s="637" t="s">
        <v>1211</v>
      </c>
      <c r="E1231" s="637" t="s">
        <v>1211</v>
      </c>
      <c r="F1231" s="636">
        <v>58107</v>
      </c>
      <c r="G1231" s="637" t="s">
        <v>57</v>
      </c>
      <c r="H1231" s="637" t="s">
        <v>1162</v>
      </c>
      <c r="I1231" s="637" t="s">
        <v>58</v>
      </c>
      <c r="J1231" s="636">
        <v>611</v>
      </c>
      <c r="K1231" s="636">
        <v>5</v>
      </c>
      <c r="L1231" s="637" t="s">
        <v>407</v>
      </c>
      <c r="M1231" s="637" t="s">
        <v>42</v>
      </c>
      <c r="N1231" s="637" t="s">
        <v>46</v>
      </c>
      <c r="O1231" s="637" t="s">
        <v>46</v>
      </c>
      <c r="P1231" s="637" t="s">
        <v>47</v>
      </c>
      <c r="Q1231" s="638">
        <v>0</v>
      </c>
      <c r="R1231" s="638">
        <v>0</v>
      </c>
      <c r="S1231" s="638">
        <v>0</v>
      </c>
      <c r="T1231" s="638">
        <v>0</v>
      </c>
      <c r="U1231" s="638">
        <v>0</v>
      </c>
      <c r="V1231" s="636">
        <v>2022</v>
      </c>
      <c r="W1231" s="640"/>
      <c r="X1231" s="641" t="str">
        <f t="shared" si="57"/>
        <v/>
      </c>
      <c r="Y1231" s="642" t="str">
        <f t="shared" si="58"/>
        <v/>
      </c>
      <c r="Z1231" s="642" t="str">
        <f t="shared" si="56"/>
        <v/>
      </c>
    </row>
    <row r="1232" spans="1:26" s="127" customFormat="1" ht="37.5" hidden="1">
      <c r="A1232" s="636">
        <v>58157</v>
      </c>
      <c r="B1232" s="637" t="s">
        <v>54</v>
      </c>
      <c r="C1232" s="636" t="s">
        <v>2725</v>
      </c>
      <c r="D1232" s="637" t="s">
        <v>1211</v>
      </c>
      <c r="E1232" s="637" t="s">
        <v>1211</v>
      </c>
      <c r="F1232" s="636">
        <v>58107</v>
      </c>
      <c r="G1232" s="637" t="s">
        <v>57</v>
      </c>
      <c r="H1232" s="637" t="s">
        <v>1162</v>
      </c>
      <c r="I1232" s="637" t="s">
        <v>58</v>
      </c>
      <c r="J1232" s="636">
        <v>611</v>
      </c>
      <c r="K1232" s="636">
        <v>5</v>
      </c>
      <c r="L1232" s="637" t="s">
        <v>407</v>
      </c>
      <c r="M1232" s="637" t="s">
        <v>42</v>
      </c>
      <c r="N1232" s="637" t="s">
        <v>39</v>
      </c>
      <c r="O1232" s="637" t="s">
        <v>39</v>
      </c>
      <c r="P1232" s="637" t="s">
        <v>1020</v>
      </c>
      <c r="Q1232" s="638">
        <v>2361843</v>
      </c>
      <c r="R1232" s="638">
        <v>297520</v>
      </c>
      <c r="S1232" s="638">
        <v>2432698</v>
      </c>
      <c r="T1232" s="638">
        <v>306447</v>
      </c>
      <c r="U1232" s="638">
        <v>49520</v>
      </c>
      <c r="V1232" s="636">
        <v>2022</v>
      </c>
      <c r="W1232" s="640"/>
      <c r="X1232" s="641" t="str">
        <f t="shared" si="57"/>
        <v/>
      </c>
      <c r="Y1232" s="642" t="str">
        <f t="shared" si="58"/>
        <v/>
      </c>
      <c r="Z1232" s="642" t="str">
        <f t="shared" ref="Z1232:Z1295" si="59">IF(AND($M1232=$Y$2,$N1232=$Y$4,NOT($Q1232=$R1232),NOT($U1232=0)),IF($K1232=5,$S1232/($U1232+(8/5)*$U1232),IF($K1232=7,$S1232/($U1232+(29/25)*$U1232),"")),"")</f>
        <v/>
      </c>
    </row>
    <row r="1233" spans="1:26" s="127" customFormat="1" ht="37.5" hidden="1">
      <c r="A1233" s="636">
        <v>58158</v>
      </c>
      <c r="B1233" s="637" t="s">
        <v>54</v>
      </c>
      <c r="C1233" s="636" t="s">
        <v>2725</v>
      </c>
      <c r="D1233" s="637" t="s">
        <v>1212</v>
      </c>
      <c r="E1233" s="637" t="s">
        <v>1213</v>
      </c>
      <c r="F1233" s="636">
        <v>58131</v>
      </c>
      <c r="G1233" s="637" t="s">
        <v>41</v>
      </c>
      <c r="H1233" s="637" t="s">
        <v>1163</v>
      </c>
      <c r="I1233" s="637" t="s">
        <v>58</v>
      </c>
      <c r="J1233" s="636">
        <v>611</v>
      </c>
      <c r="K1233" s="636">
        <v>5</v>
      </c>
      <c r="L1233" s="637" t="s">
        <v>407</v>
      </c>
      <c r="M1233" s="637" t="s">
        <v>51</v>
      </c>
      <c r="N1233" s="637" t="s">
        <v>39</v>
      </c>
      <c r="O1233" s="637" t="s">
        <v>39</v>
      </c>
      <c r="P1233" s="637" t="s">
        <v>1020</v>
      </c>
      <c r="Q1233" s="638">
        <v>94389</v>
      </c>
      <c r="R1233" s="638">
        <v>72793</v>
      </c>
      <c r="S1233" s="638">
        <v>97880</v>
      </c>
      <c r="T1233" s="638">
        <v>75489</v>
      </c>
      <c r="U1233" s="638">
        <v>9956</v>
      </c>
      <c r="V1233" s="636">
        <v>2022</v>
      </c>
      <c r="W1233" s="640"/>
      <c r="X1233" s="641" t="str">
        <f t="shared" si="57"/>
        <v/>
      </c>
      <c r="Y1233" s="642" t="str">
        <f t="shared" si="58"/>
        <v/>
      </c>
      <c r="Z1233" s="642" t="str">
        <f t="shared" si="59"/>
        <v/>
      </c>
    </row>
    <row r="1234" spans="1:26" s="127" customFormat="1" ht="37.5" hidden="1">
      <c r="A1234" s="636">
        <v>58159</v>
      </c>
      <c r="B1234" s="637" t="s">
        <v>54</v>
      </c>
      <c r="C1234" s="636" t="s">
        <v>2725</v>
      </c>
      <c r="D1234" s="637" t="s">
        <v>1214</v>
      </c>
      <c r="E1234" s="637" t="s">
        <v>1215</v>
      </c>
      <c r="F1234" s="636">
        <v>58130</v>
      </c>
      <c r="G1234" s="637" t="s">
        <v>41</v>
      </c>
      <c r="H1234" s="637" t="s">
        <v>1163</v>
      </c>
      <c r="I1234" s="637" t="s">
        <v>58</v>
      </c>
      <c r="J1234" s="636">
        <v>611</v>
      </c>
      <c r="K1234" s="636">
        <v>5</v>
      </c>
      <c r="L1234" s="637" t="s">
        <v>407</v>
      </c>
      <c r="M1234" s="637" t="s">
        <v>38</v>
      </c>
      <c r="N1234" s="637" t="s">
        <v>46</v>
      </c>
      <c r="O1234" s="637" t="s">
        <v>46</v>
      </c>
      <c r="P1234" s="637" t="s">
        <v>47</v>
      </c>
      <c r="Q1234" s="638">
        <v>0</v>
      </c>
      <c r="R1234" s="638">
        <v>0</v>
      </c>
      <c r="S1234" s="638">
        <v>0</v>
      </c>
      <c r="T1234" s="638">
        <v>0</v>
      </c>
      <c r="U1234" s="638">
        <v>126.146</v>
      </c>
      <c r="V1234" s="636">
        <v>2022</v>
      </c>
      <c r="W1234" s="640"/>
      <c r="X1234" s="641" t="str">
        <f t="shared" si="57"/>
        <v/>
      </c>
      <c r="Y1234" s="642" t="str">
        <f t="shared" si="58"/>
        <v/>
      </c>
      <c r="Z1234" s="642" t="str">
        <f t="shared" si="59"/>
        <v/>
      </c>
    </row>
    <row r="1235" spans="1:26" s="127" customFormat="1" ht="37.5" hidden="1">
      <c r="A1235" s="636">
        <v>58159</v>
      </c>
      <c r="B1235" s="637" t="s">
        <v>54</v>
      </c>
      <c r="C1235" s="636" t="s">
        <v>2725</v>
      </c>
      <c r="D1235" s="637" t="s">
        <v>1214</v>
      </c>
      <c r="E1235" s="637" t="s">
        <v>1215</v>
      </c>
      <c r="F1235" s="636">
        <v>58130</v>
      </c>
      <c r="G1235" s="637" t="s">
        <v>41</v>
      </c>
      <c r="H1235" s="637" t="s">
        <v>1163</v>
      </c>
      <c r="I1235" s="637" t="s">
        <v>58</v>
      </c>
      <c r="J1235" s="636">
        <v>611</v>
      </c>
      <c r="K1235" s="636">
        <v>5</v>
      </c>
      <c r="L1235" s="637" t="s">
        <v>407</v>
      </c>
      <c r="M1235" s="637" t="s">
        <v>38</v>
      </c>
      <c r="N1235" s="637" t="s">
        <v>39</v>
      </c>
      <c r="O1235" s="637" t="s">
        <v>39</v>
      </c>
      <c r="P1235" s="637" t="s">
        <v>1020</v>
      </c>
      <c r="Q1235" s="638">
        <v>143223</v>
      </c>
      <c r="R1235" s="638">
        <v>36924</v>
      </c>
      <c r="S1235" s="638">
        <v>157975</v>
      </c>
      <c r="T1235" s="638">
        <v>40726</v>
      </c>
      <c r="U1235" s="638">
        <v>6843.8540000000003</v>
      </c>
      <c r="V1235" s="636">
        <v>2022</v>
      </c>
      <c r="W1235" s="640"/>
      <c r="X1235" s="641" t="str">
        <f t="shared" si="57"/>
        <v/>
      </c>
      <c r="Y1235" s="642" t="str">
        <f t="shared" si="58"/>
        <v/>
      </c>
      <c r="Z1235" s="642" t="str">
        <f t="shared" si="59"/>
        <v/>
      </c>
    </row>
    <row r="1236" spans="1:26" s="127" customFormat="1" ht="37.5" hidden="1">
      <c r="A1236" s="636">
        <v>58159</v>
      </c>
      <c r="B1236" s="637" t="s">
        <v>54</v>
      </c>
      <c r="C1236" s="636" t="s">
        <v>2725</v>
      </c>
      <c r="D1236" s="637" t="s">
        <v>1214</v>
      </c>
      <c r="E1236" s="637" t="s">
        <v>1215</v>
      </c>
      <c r="F1236" s="636">
        <v>58130</v>
      </c>
      <c r="G1236" s="637" t="s">
        <v>41</v>
      </c>
      <c r="H1236" s="637" t="s">
        <v>1163</v>
      </c>
      <c r="I1236" s="637" t="s">
        <v>58</v>
      </c>
      <c r="J1236" s="636">
        <v>611</v>
      </c>
      <c r="K1236" s="636">
        <v>5</v>
      </c>
      <c r="L1236" s="637" t="s">
        <v>407</v>
      </c>
      <c r="M1236" s="637" t="s">
        <v>41</v>
      </c>
      <c r="N1236" s="637" t="s">
        <v>46</v>
      </c>
      <c r="O1236" s="637" t="s">
        <v>46</v>
      </c>
      <c r="P1236" s="637" t="s">
        <v>47</v>
      </c>
      <c r="Q1236" s="638">
        <v>8447</v>
      </c>
      <c r="R1236" s="638">
        <v>4254</v>
      </c>
      <c r="S1236" s="638">
        <v>50023</v>
      </c>
      <c r="T1236" s="638">
        <v>25194</v>
      </c>
      <c r="U1236" s="638">
        <v>4118.3599999999997</v>
      </c>
      <c r="V1236" s="636">
        <v>2022</v>
      </c>
      <c r="W1236" s="640"/>
      <c r="X1236" s="641" t="str">
        <f t="shared" si="57"/>
        <v/>
      </c>
      <c r="Y1236" s="642" t="str">
        <f t="shared" si="58"/>
        <v/>
      </c>
      <c r="Z1236" s="642" t="str">
        <f t="shared" si="59"/>
        <v/>
      </c>
    </row>
    <row r="1237" spans="1:26" s="127" customFormat="1" ht="37.5" hidden="1">
      <c r="A1237" s="636">
        <v>58159</v>
      </c>
      <c r="B1237" s="637" t="s">
        <v>54</v>
      </c>
      <c r="C1237" s="636" t="s">
        <v>2725</v>
      </c>
      <c r="D1237" s="637" t="s">
        <v>1214</v>
      </c>
      <c r="E1237" s="637" t="s">
        <v>1215</v>
      </c>
      <c r="F1237" s="636">
        <v>58130</v>
      </c>
      <c r="G1237" s="637" t="s">
        <v>41</v>
      </c>
      <c r="H1237" s="637" t="s">
        <v>1163</v>
      </c>
      <c r="I1237" s="637" t="s">
        <v>58</v>
      </c>
      <c r="J1237" s="636">
        <v>611</v>
      </c>
      <c r="K1237" s="636">
        <v>5</v>
      </c>
      <c r="L1237" s="637" t="s">
        <v>407</v>
      </c>
      <c r="M1237" s="637" t="s">
        <v>41</v>
      </c>
      <c r="N1237" s="637" t="s">
        <v>39</v>
      </c>
      <c r="O1237" s="637" t="s">
        <v>39</v>
      </c>
      <c r="P1237" s="637" t="s">
        <v>1020</v>
      </c>
      <c r="Q1237" s="638">
        <v>1140357</v>
      </c>
      <c r="R1237" s="638">
        <v>573015</v>
      </c>
      <c r="S1237" s="638">
        <v>1257813</v>
      </c>
      <c r="T1237" s="638">
        <v>632036</v>
      </c>
      <c r="U1237" s="638">
        <v>106016.64</v>
      </c>
      <c r="V1237" s="636">
        <v>2022</v>
      </c>
      <c r="W1237" s="640"/>
      <c r="X1237" s="641" t="str">
        <f t="shared" si="57"/>
        <v/>
      </c>
      <c r="Y1237" s="642" t="str">
        <f t="shared" si="58"/>
        <v/>
      </c>
      <c r="Z1237" s="642" t="str">
        <f t="shared" si="59"/>
        <v/>
      </c>
    </row>
    <row r="1238" spans="1:26" s="127" customFormat="1" ht="37.5" hidden="1">
      <c r="A1238" s="636">
        <v>58160</v>
      </c>
      <c r="B1238" s="637" t="s">
        <v>54</v>
      </c>
      <c r="C1238" s="636" t="s">
        <v>2725</v>
      </c>
      <c r="D1238" s="637" t="s">
        <v>1216</v>
      </c>
      <c r="E1238" s="637" t="s">
        <v>1217</v>
      </c>
      <c r="F1238" s="636">
        <v>58109</v>
      </c>
      <c r="G1238" s="637" t="s">
        <v>81</v>
      </c>
      <c r="H1238" s="637" t="s">
        <v>1163</v>
      </c>
      <c r="I1238" s="637" t="s">
        <v>58</v>
      </c>
      <c r="J1238" s="636">
        <v>611</v>
      </c>
      <c r="K1238" s="636">
        <v>5</v>
      </c>
      <c r="L1238" s="637" t="s">
        <v>407</v>
      </c>
      <c r="M1238" s="637" t="s">
        <v>51</v>
      </c>
      <c r="N1238" s="637" t="s">
        <v>46</v>
      </c>
      <c r="O1238" s="637" t="s">
        <v>46</v>
      </c>
      <c r="P1238" s="637" t="s">
        <v>47</v>
      </c>
      <c r="Q1238" s="638">
        <v>120</v>
      </c>
      <c r="R1238" s="638">
        <v>45</v>
      </c>
      <c r="S1238" s="638">
        <v>697</v>
      </c>
      <c r="T1238" s="638">
        <v>259</v>
      </c>
      <c r="U1238" s="638">
        <v>58</v>
      </c>
      <c r="V1238" s="636">
        <v>2022</v>
      </c>
      <c r="W1238" s="640"/>
      <c r="X1238" s="641" t="str">
        <f t="shared" si="57"/>
        <v/>
      </c>
      <c r="Y1238" s="642" t="str">
        <f t="shared" si="58"/>
        <v/>
      </c>
      <c r="Z1238" s="642" t="str">
        <f t="shared" si="59"/>
        <v/>
      </c>
    </row>
    <row r="1239" spans="1:26" s="127" customFormat="1" ht="37.5" hidden="1">
      <c r="A1239" s="636">
        <v>58160</v>
      </c>
      <c r="B1239" s="637" t="s">
        <v>54</v>
      </c>
      <c r="C1239" s="636" t="s">
        <v>2725</v>
      </c>
      <c r="D1239" s="637" t="s">
        <v>1216</v>
      </c>
      <c r="E1239" s="637" t="s">
        <v>1217</v>
      </c>
      <c r="F1239" s="636">
        <v>58109</v>
      </c>
      <c r="G1239" s="637" t="s">
        <v>81</v>
      </c>
      <c r="H1239" s="637" t="s">
        <v>1163</v>
      </c>
      <c r="I1239" s="637" t="s">
        <v>58</v>
      </c>
      <c r="J1239" s="636">
        <v>611</v>
      </c>
      <c r="K1239" s="636">
        <v>5</v>
      </c>
      <c r="L1239" s="637" t="s">
        <v>407</v>
      </c>
      <c r="M1239" s="637" t="s">
        <v>42</v>
      </c>
      <c r="N1239" s="637" t="s">
        <v>46</v>
      </c>
      <c r="O1239" s="637" t="s">
        <v>46</v>
      </c>
      <c r="P1239" s="637" t="s">
        <v>47</v>
      </c>
      <c r="Q1239" s="638">
        <v>6</v>
      </c>
      <c r="R1239" s="638">
        <v>1</v>
      </c>
      <c r="S1239" s="638">
        <v>35</v>
      </c>
      <c r="T1239" s="638">
        <v>4</v>
      </c>
      <c r="U1239" s="638">
        <v>0.996</v>
      </c>
      <c r="V1239" s="636">
        <v>2022</v>
      </c>
      <c r="W1239" s="640"/>
      <c r="X1239" s="641" t="str">
        <f t="shared" si="57"/>
        <v/>
      </c>
      <c r="Y1239" s="642" t="str">
        <f t="shared" si="58"/>
        <v/>
      </c>
      <c r="Z1239" s="642" t="str">
        <f t="shared" si="59"/>
        <v/>
      </c>
    </row>
    <row r="1240" spans="1:26" s="127" customFormat="1" ht="37.5" hidden="1">
      <c r="A1240" s="636">
        <v>58160</v>
      </c>
      <c r="B1240" s="637" t="s">
        <v>54</v>
      </c>
      <c r="C1240" s="636" t="s">
        <v>2725</v>
      </c>
      <c r="D1240" s="637" t="s">
        <v>1216</v>
      </c>
      <c r="E1240" s="637" t="s">
        <v>1217</v>
      </c>
      <c r="F1240" s="636">
        <v>58109</v>
      </c>
      <c r="G1240" s="637" t="s">
        <v>81</v>
      </c>
      <c r="H1240" s="637" t="s">
        <v>1163</v>
      </c>
      <c r="I1240" s="637" t="s">
        <v>58</v>
      </c>
      <c r="J1240" s="636">
        <v>611</v>
      </c>
      <c r="K1240" s="636">
        <v>5</v>
      </c>
      <c r="L1240" s="637" t="s">
        <v>407</v>
      </c>
      <c r="M1240" s="637" t="s">
        <v>42</v>
      </c>
      <c r="N1240" s="637" t="s">
        <v>39</v>
      </c>
      <c r="O1240" s="637" t="s">
        <v>39</v>
      </c>
      <c r="P1240" s="637" t="s">
        <v>1020</v>
      </c>
      <c r="Q1240" s="638">
        <v>120574</v>
      </c>
      <c r="R1240" s="638">
        <v>15503</v>
      </c>
      <c r="S1240" s="638">
        <v>124191</v>
      </c>
      <c r="T1240" s="638">
        <v>15967</v>
      </c>
      <c r="U1240" s="638">
        <v>3557.0039999999999</v>
      </c>
      <c r="V1240" s="636">
        <v>2022</v>
      </c>
      <c r="W1240" s="640"/>
      <c r="X1240" s="641" t="str">
        <f t="shared" si="57"/>
        <v/>
      </c>
      <c r="Y1240" s="642" t="str">
        <f t="shared" si="58"/>
        <v/>
      </c>
      <c r="Z1240" s="642" t="str">
        <f t="shared" si="59"/>
        <v/>
      </c>
    </row>
    <row r="1241" spans="1:26" s="127" customFormat="1" ht="37.5" hidden="1">
      <c r="A1241" s="636">
        <v>58160</v>
      </c>
      <c r="B1241" s="637" t="s">
        <v>54</v>
      </c>
      <c r="C1241" s="636" t="s">
        <v>2725</v>
      </c>
      <c r="D1241" s="637" t="s">
        <v>1216</v>
      </c>
      <c r="E1241" s="637" t="s">
        <v>1217</v>
      </c>
      <c r="F1241" s="636">
        <v>58109</v>
      </c>
      <c r="G1241" s="637" t="s">
        <v>81</v>
      </c>
      <c r="H1241" s="637" t="s">
        <v>1163</v>
      </c>
      <c r="I1241" s="637" t="s">
        <v>58</v>
      </c>
      <c r="J1241" s="636">
        <v>611</v>
      </c>
      <c r="K1241" s="636">
        <v>5</v>
      </c>
      <c r="L1241" s="637" t="s">
        <v>407</v>
      </c>
      <c r="M1241" s="637" t="s">
        <v>42</v>
      </c>
      <c r="N1241" s="637" t="s">
        <v>61</v>
      </c>
      <c r="O1241" s="637" t="s">
        <v>61</v>
      </c>
      <c r="P1241" s="637" t="s">
        <v>47</v>
      </c>
      <c r="Q1241" s="638">
        <v>0</v>
      </c>
      <c r="R1241" s="638">
        <v>0</v>
      </c>
      <c r="S1241" s="638">
        <v>0</v>
      </c>
      <c r="T1241" s="638">
        <v>0</v>
      </c>
      <c r="U1241" s="638">
        <v>0</v>
      </c>
      <c r="V1241" s="636">
        <v>2022</v>
      </c>
      <c r="W1241" s="640"/>
      <c r="X1241" s="641" t="str">
        <f t="shared" si="57"/>
        <v/>
      </c>
      <c r="Y1241" s="642" t="str">
        <f t="shared" si="58"/>
        <v/>
      </c>
      <c r="Z1241" s="642" t="str">
        <f t="shared" si="59"/>
        <v/>
      </c>
    </row>
    <row r="1242" spans="1:26" s="127" customFormat="1" ht="37.5" hidden="1">
      <c r="A1242" s="636">
        <v>58166</v>
      </c>
      <c r="B1242" s="637" t="s">
        <v>54</v>
      </c>
      <c r="C1242" s="636" t="s">
        <v>2725</v>
      </c>
      <c r="D1242" s="637" t="s">
        <v>1218</v>
      </c>
      <c r="E1242" s="637" t="s">
        <v>1219</v>
      </c>
      <c r="F1242" s="636">
        <v>58138</v>
      </c>
      <c r="G1242" s="637" t="s">
        <v>81</v>
      </c>
      <c r="H1242" s="637" t="s">
        <v>1163</v>
      </c>
      <c r="I1242" s="637" t="s">
        <v>58</v>
      </c>
      <c r="J1242" s="636">
        <v>611</v>
      </c>
      <c r="K1242" s="636">
        <v>5</v>
      </c>
      <c r="L1242" s="637" t="s">
        <v>407</v>
      </c>
      <c r="M1242" s="637" t="s">
        <v>50</v>
      </c>
      <c r="N1242" s="637" t="s">
        <v>46</v>
      </c>
      <c r="O1242" s="637" t="s">
        <v>46</v>
      </c>
      <c r="P1242" s="637" t="s">
        <v>47</v>
      </c>
      <c r="Q1242" s="638">
        <v>0</v>
      </c>
      <c r="R1242" s="638">
        <v>0</v>
      </c>
      <c r="S1242" s="638">
        <v>0</v>
      </c>
      <c r="T1242" s="638">
        <v>0</v>
      </c>
      <c r="U1242" s="638">
        <v>0</v>
      </c>
      <c r="V1242" s="636">
        <v>2022</v>
      </c>
      <c r="W1242" s="640"/>
      <c r="X1242" s="641" t="str">
        <f t="shared" si="57"/>
        <v/>
      </c>
      <c r="Y1242" s="642" t="str">
        <f t="shared" si="58"/>
        <v/>
      </c>
      <c r="Z1242" s="642" t="str">
        <f t="shared" si="59"/>
        <v/>
      </c>
    </row>
    <row r="1243" spans="1:26" s="127" customFormat="1" ht="37.5" hidden="1">
      <c r="A1243" s="636">
        <v>58166</v>
      </c>
      <c r="B1243" s="637" t="s">
        <v>54</v>
      </c>
      <c r="C1243" s="636" t="s">
        <v>2725</v>
      </c>
      <c r="D1243" s="637" t="s">
        <v>1218</v>
      </c>
      <c r="E1243" s="637" t="s">
        <v>1219</v>
      </c>
      <c r="F1243" s="636">
        <v>58138</v>
      </c>
      <c r="G1243" s="637" t="s">
        <v>81</v>
      </c>
      <c r="H1243" s="637" t="s">
        <v>1163</v>
      </c>
      <c r="I1243" s="637" t="s">
        <v>58</v>
      </c>
      <c r="J1243" s="636">
        <v>611</v>
      </c>
      <c r="K1243" s="636">
        <v>5</v>
      </c>
      <c r="L1243" s="637" t="s">
        <v>407</v>
      </c>
      <c r="M1243" s="637" t="s">
        <v>50</v>
      </c>
      <c r="N1243" s="637" t="s">
        <v>39</v>
      </c>
      <c r="O1243" s="637" t="s">
        <v>39</v>
      </c>
      <c r="P1243" s="637" t="s">
        <v>1020</v>
      </c>
      <c r="Q1243" s="638">
        <v>294312</v>
      </c>
      <c r="R1243" s="638">
        <v>72576</v>
      </c>
      <c r="S1243" s="638">
        <v>235450</v>
      </c>
      <c r="T1243" s="638">
        <v>58061</v>
      </c>
      <c r="U1243" s="638">
        <v>14294</v>
      </c>
      <c r="V1243" s="636">
        <v>2022</v>
      </c>
      <c r="W1243" s="640"/>
      <c r="X1243" s="641" t="str">
        <f t="shared" si="57"/>
        <v/>
      </c>
      <c r="Y1243" s="642">
        <f t="shared" si="58"/>
        <v>6.3353639504472019</v>
      </c>
      <c r="Z1243" s="642" t="str">
        <f t="shared" si="59"/>
        <v/>
      </c>
    </row>
    <row r="1244" spans="1:26" s="127" customFormat="1" ht="37.5" hidden="1">
      <c r="A1244" s="636">
        <v>58167</v>
      </c>
      <c r="B1244" s="637" t="s">
        <v>54</v>
      </c>
      <c r="C1244" s="636" t="s">
        <v>2725</v>
      </c>
      <c r="D1244" s="637" t="s">
        <v>1664</v>
      </c>
      <c r="E1244" s="637" t="s">
        <v>1664</v>
      </c>
      <c r="F1244" s="636">
        <v>58136</v>
      </c>
      <c r="G1244" s="637" t="s">
        <v>57</v>
      </c>
      <c r="H1244" s="637" t="s">
        <v>1162</v>
      </c>
      <c r="I1244" s="637" t="s">
        <v>58</v>
      </c>
      <c r="J1244" s="636">
        <v>611</v>
      </c>
      <c r="K1244" s="636">
        <v>5</v>
      </c>
      <c r="L1244" s="637" t="s">
        <v>407</v>
      </c>
      <c r="M1244" s="637" t="s">
        <v>51</v>
      </c>
      <c r="N1244" s="637" t="s">
        <v>46</v>
      </c>
      <c r="O1244" s="637" t="s">
        <v>46</v>
      </c>
      <c r="P1244" s="637" t="s">
        <v>47</v>
      </c>
      <c r="Q1244" s="638">
        <v>0</v>
      </c>
      <c r="R1244" s="638">
        <v>0</v>
      </c>
      <c r="S1244" s="638">
        <v>0</v>
      </c>
      <c r="T1244" s="638">
        <v>0</v>
      </c>
      <c r="U1244" s="638">
        <v>0</v>
      </c>
      <c r="V1244" s="636">
        <v>2022</v>
      </c>
      <c r="W1244" s="640"/>
      <c r="X1244" s="641" t="str">
        <f t="shared" si="57"/>
        <v/>
      </c>
      <c r="Y1244" s="642" t="str">
        <f t="shared" si="58"/>
        <v/>
      </c>
      <c r="Z1244" s="642" t="str">
        <f t="shared" si="59"/>
        <v/>
      </c>
    </row>
    <row r="1245" spans="1:26" s="127" customFormat="1" ht="37.5" hidden="1">
      <c r="A1245" s="636">
        <v>58167</v>
      </c>
      <c r="B1245" s="637" t="s">
        <v>54</v>
      </c>
      <c r="C1245" s="636" t="s">
        <v>2725</v>
      </c>
      <c r="D1245" s="637" t="s">
        <v>1664</v>
      </c>
      <c r="E1245" s="637" t="s">
        <v>1664</v>
      </c>
      <c r="F1245" s="636">
        <v>58136</v>
      </c>
      <c r="G1245" s="637" t="s">
        <v>57</v>
      </c>
      <c r="H1245" s="637" t="s">
        <v>1162</v>
      </c>
      <c r="I1245" s="637" t="s">
        <v>58</v>
      </c>
      <c r="J1245" s="636">
        <v>611</v>
      </c>
      <c r="K1245" s="636">
        <v>5</v>
      </c>
      <c r="L1245" s="637" t="s">
        <v>407</v>
      </c>
      <c r="M1245" s="637" t="s">
        <v>51</v>
      </c>
      <c r="N1245" s="637" t="s">
        <v>39</v>
      </c>
      <c r="O1245" s="637" t="s">
        <v>39</v>
      </c>
      <c r="P1245" s="637" t="s">
        <v>1020</v>
      </c>
      <c r="Q1245" s="638">
        <v>28627</v>
      </c>
      <c r="R1245" s="638">
        <v>17548</v>
      </c>
      <c r="S1245" s="638">
        <v>29487</v>
      </c>
      <c r="T1245" s="638">
        <v>18074</v>
      </c>
      <c r="U1245" s="638">
        <v>3907</v>
      </c>
      <c r="V1245" s="636">
        <v>2022</v>
      </c>
      <c r="W1245" s="640"/>
      <c r="X1245" s="641" t="str">
        <f t="shared" si="57"/>
        <v/>
      </c>
      <c r="Y1245" s="642" t="str">
        <f t="shared" si="58"/>
        <v/>
      </c>
      <c r="Z1245" s="642" t="str">
        <f t="shared" si="59"/>
        <v/>
      </c>
    </row>
    <row r="1246" spans="1:26" s="127" customFormat="1" ht="25">
      <c r="A1246" s="636">
        <v>58174</v>
      </c>
      <c r="B1246" s="637" t="s">
        <v>33</v>
      </c>
      <c r="C1246" s="636" t="s">
        <v>2725</v>
      </c>
      <c r="D1246" s="637" t="s">
        <v>1581</v>
      </c>
      <c r="E1246" s="637" t="s">
        <v>3620</v>
      </c>
      <c r="F1246" s="636">
        <v>57365</v>
      </c>
      <c r="G1246" s="637" t="s">
        <v>81</v>
      </c>
      <c r="H1246" s="637" t="s">
        <v>1163</v>
      </c>
      <c r="I1246" s="637" t="s">
        <v>58</v>
      </c>
      <c r="J1246" s="636">
        <v>22</v>
      </c>
      <c r="K1246" s="636">
        <v>2</v>
      </c>
      <c r="L1246" s="637" t="s">
        <v>52</v>
      </c>
      <c r="M1246" s="637" t="s">
        <v>441</v>
      </c>
      <c r="N1246" s="637" t="s">
        <v>442</v>
      </c>
      <c r="O1246" s="637" t="s">
        <v>442</v>
      </c>
      <c r="P1246" s="637" t="s">
        <v>1156</v>
      </c>
      <c r="Q1246" s="638">
        <v>0</v>
      </c>
      <c r="R1246" s="638">
        <v>0</v>
      </c>
      <c r="S1246" s="638">
        <v>10305</v>
      </c>
      <c r="T1246" s="638">
        <v>10305</v>
      </c>
      <c r="U1246" s="638">
        <v>3020</v>
      </c>
      <c r="V1246" s="636">
        <v>2022</v>
      </c>
      <c r="W1246" s="640"/>
      <c r="X1246" s="641">
        <f t="shared" si="57"/>
        <v>3.4122516556291389</v>
      </c>
      <c r="Y1246" s="642" t="str">
        <f t="shared" si="58"/>
        <v/>
      </c>
      <c r="Z1246" s="642" t="str">
        <f t="shared" si="59"/>
        <v/>
      </c>
    </row>
    <row r="1247" spans="1:26" s="127" customFormat="1" ht="37.5" hidden="1">
      <c r="A1247" s="636">
        <v>58180</v>
      </c>
      <c r="B1247" s="637" t="s">
        <v>54</v>
      </c>
      <c r="C1247" s="636" t="s">
        <v>2725</v>
      </c>
      <c r="D1247" s="637" t="s">
        <v>1220</v>
      </c>
      <c r="E1247" s="637" t="s">
        <v>1221</v>
      </c>
      <c r="F1247" s="636">
        <v>58099</v>
      </c>
      <c r="G1247" s="637" t="s">
        <v>96</v>
      </c>
      <c r="H1247" s="637" t="s">
        <v>1163</v>
      </c>
      <c r="I1247" s="637" t="s">
        <v>58</v>
      </c>
      <c r="J1247" s="636">
        <v>611</v>
      </c>
      <c r="K1247" s="636">
        <v>5</v>
      </c>
      <c r="L1247" s="637" t="s">
        <v>407</v>
      </c>
      <c r="M1247" s="637" t="s">
        <v>50</v>
      </c>
      <c r="N1247" s="637" t="s">
        <v>46</v>
      </c>
      <c r="O1247" s="637" t="s">
        <v>46</v>
      </c>
      <c r="P1247" s="637" t="s">
        <v>47</v>
      </c>
      <c r="Q1247" s="638">
        <v>1084</v>
      </c>
      <c r="R1247" s="638">
        <v>344</v>
      </c>
      <c r="S1247" s="638">
        <v>6330</v>
      </c>
      <c r="T1247" s="638">
        <v>1998</v>
      </c>
      <c r="U1247" s="638">
        <v>484.78199999999998</v>
      </c>
      <c r="V1247" s="636">
        <v>2022</v>
      </c>
      <c r="W1247" s="640"/>
      <c r="X1247" s="641" t="str">
        <f t="shared" si="57"/>
        <v/>
      </c>
      <c r="Y1247" s="642" t="str">
        <f t="shared" si="58"/>
        <v/>
      </c>
      <c r="Z1247" s="642">
        <f t="shared" si="59"/>
        <v>5.0220828838846838</v>
      </c>
    </row>
    <row r="1248" spans="1:26" s="127" customFormat="1" ht="37.5" hidden="1">
      <c r="A1248" s="636">
        <v>58180</v>
      </c>
      <c r="B1248" s="637" t="s">
        <v>54</v>
      </c>
      <c r="C1248" s="636" t="s">
        <v>2725</v>
      </c>
      <c r="D1248" s="637" t="s">
        <v>1220</v>
      </c>
      <c r="E1248" s="637" t="s">
        <v>1221</v>
      </c>
      <c r="F1248" s="636">
        <v>58099</v>
      </c>
      <c r="G1248" s="637" t="s">
        <v>96</v>
      </c>
      <c r="H1248" s="637" t="s">
        <v>1163</v>
      </c>
      <c r="I1248" s="637" t="s">
        <v>58</v>
      </c>
      <c r="J1248" s="636">
        <v>611</v>
      </c>
      <c r="K1248" s="636">
        <v>5</v>
      </c>
      <c r="L1248" s="637" t="s">
        <v>407</v>
      </c>
      <c r="M1248" s="637" t="s">
        <v>50</v>
      </c>
      <c r="N1248" s="637" t="s">
        <v>63</v>
      </c>
      <c r="O1248" s="637" t="s">
        <v>64</v>
      </c>
      <c r="P1248" s="637" t="s">
        <v>1020</v>
      </c>
      <c r="Q1248" s="638">
        <v>795739</v>
      </c>
      <c r="R1248" s="638">
        <v>249082</v>
      </c>
      <c r="S1248" s="638">
        <v>598001</v>
      </c>
      <c r="T1248" s="638">
        <v>187137</v>
      </c>
      <c r="U1248" s="638">
        <v>45412.737999999998</v>
      </c>
      <c r="V1248" s="636">
        <v>2022</v>
      </c>
      <c r="W1248" s="640"/>
      <c r="X1248" s="641" t="str">
        <f t="shared" si="57"/>
        <v/>
      </c>
      <c r="Y1248" s="642" t="str">
        <f t="shared" si="58"/>
        <v/>
      </c>
      <c r="Z1248" s="642" t="str">
        <f t="shared" si="59"/>
        <v/>
      </c>
    </row>
    <row r="1249" spans="1:26" s="127" customFormat="1" ht="37.5" hidden="1">
      <c r="A1249" s="636">
        <v>58180</v>
      </c>
      <c r="B1249" s="637" t="s">
        <v>54</v>
      </c>
      <c r="C1249" s="636" t="s">
        <v>2725</v>
      </c>
      <c r="D1249" s="637" t="s">
        <v>1220</v>
      </c>
      <c r="E1249" s="637" t="s">
        <v>1221</v>
      </c>
      <c r="F1249" s="636">
        <v>58099</v>
      </c>
      <c r="G1249" s="637" t="s">
        <v>96</v>
      </c>
      <c r="H1249" s="637" t="s">
        <v>1163</v>
      </c>
      <c r="I1249" s="637" t="s">
        <v>58</v>
      </c>
      <c r="J1249" s="636">
        <v>611</v>
      </c>
      <c r="K1249" s="636">
        <v>5</v>
      </c>
      <c r="L1249" s="637" t="s">
        <v>407</v>
      </c>
      <c r="M1249" s="637" t="s">
        <v>50</v>
      </c>
      <c r="N1249" s="637" t="s">
        <v>39</v>
      </c>
      <c r="O1249" s="637" t="s">
        <v>39</v>
      </c>
      <c r="P1249" s="637" t="s">
        <v>1020</v>
      </c>
      <c r="Q1249" s="638">
        <v>118610</v>
      </c>
      <c r="R1249" s="638">
        <v>37292</v>
      </c>
      <c r="S1249" s="638">
        <v>118610</v>
      </c>
      <c r="T1249" s="638">
        <v>37292</v>
      </c>
      <c r="U1249" s="638">
        <v>9050.48</v>
      </c>
      <c r="V1249" s="636">
        <v>2022</v>
      </c>
      <c r="W1249" s="640"/>
      <c r="X1249" s="641" t="str">
        <f t="shared" si="57"/>
        <v/>
      </c>
      <c r="Y1249" s="642">
        <f t="shared" si="58"/>
        <v>5.040531636911056</v>
      </c>
      <c r="Z1249" s="642" t="str">
        <f t="shared" si="59"/>
        <v/>
      </c>
    </row>
    <row r="1250" spans="1:26" s="127" customFormat="1" ht="37.5" hidden="1">
      <c r="A1250" s="636">
        <v>58184</v>
      </c>
      <c r="B1250" s="637" t="s">
        <v>54</v>
      </c>
      <c r="C1250" s="636" t="s">
        <v>2725</v>
      </c>
      <c r="D1250" s="637" t="s">
        <v>1222</v>
      </c>
      <c r="E1250" s="637" t="s">
        <v>1223</v>
      </c>
      <c r="F1250" s="636">
        <v>58156</v>
      </c>
      <c r="G1250" s="637" t="s">
        <v>41</v>
      </c>
      <c r="H1250" s="637" t="s">
        <v>1163</v>
      </c>
      <c r="I1250" s="637" t="s">
        <v>58</v>
      </c>
      <c r="J1250" s="636">
        <v>32213</v>
      </c>
      <c r="K1250" s="636">
        <v>7</v>
      </c>
      <c r="L1250" s="637" t="s">
        <v>403</v>
      </c>
      <c r="M1250" s="637" t="s">
        <v>50</v>
      </c>
      <c r="N1250" s="637" t="s">
        <v>46</v>
      </c>
      <c r="O1250" s="637" t="s">
        <v>46</v>
      </c>
      <c r="P1250" s="637" t="s">
        <v>47</v>
      </c>
      <c r="Q1250" s="638">
        <v>0</v>
      </c>
      <c r="R1250" s="638">
        <v>0</v>
      </c>
      <c r="S1250" s="638">
        <v>0</v>
      </c>
      <c r="T1250" s="638">
        <v>0</v>
      </c>
      <c r="U1250" s="638">
        <v>0</v>
      </c>
      <c r="V1250" s="636">
        <v>2022</v>
      </c>
      <c r="W1250" s="640"/>
      <c r="X1250" s="641" t="str">
        <f t="shared" si="57"/>
        <v/>
      </c>
      <c r="Y1250" s="642" t="str">
        <f t="shared" si="58"/>
        <v/>
      </c>
      <c r="Z1250" s="642" t="str">
        <f t="shared" si="59"/>
        <v/>
      </c>
    </row>
    <row r="1251" spans="1:26" s="127" customFormat="1" ht="37.5" hidden="1">
      <c r="A1251" s="636">
        <v>58184</v>
      </c>
      <c r="B1251" s="637" t="s">
        <v>54</v>
      </c>
      <c r="C1251" s="636" t="s">
        <v>2725</v>
      </c>
      <c r="D1251" s="637" t="s">
        <v>1222</v>
      </c>
      <c r="E1251" s="637" t="s">
        <v>1223</v>
      </c>
      <c r="F1251" s="636">
        <v>58156</v>
      </c>
      <c r="G1251" s="637" t="s">
        <v>41</v>
      </c>
      <c r="H1251" s="637" t="s">
        <v>1163</v>
      </c>
      <c r="I1251" s="637" t="s">
        <v>58</v>
      </c>
      <c r="J1251" s="636">
        <v>32213</v>
      </c>
      <c r="K1251" s="636">
        <v>7</v>
      </c>
      <c r="L1251" s="637" t="s">
        <v>403</v>
      </c>
      <c r="M1251" s="637" t="s">
        <v>50</v>
      </c>
      <c r="N1251" s="637" t="s">
        <v>39</v>
      </c>
      <c r="O1251" s="637" t="s">
        <v>39</v>
      </c>
      <c r="P1251" s="637" t="s">
        <v>1020</v>
      </c>
      <c r="Q1251" s="638">
        <v>1740612</v>
      </c>
      <c r="R1251" s="638">
        <v>511443</v>
      </c>
      <c r="S1251" s="638">
        <v>1740612</v>
      </c>
      <c r="T1251" s="638">
        <v>511443</v>
      </c>
      <c r="U1251" s="638">
        <v>121678</v>
      </c>
      <c r="V1251" s="636">
        <v>2022</v>
      </c>
      <c r="W1251" s="640"/>
      <c r="X1251" s="641" t="str">
        <f t="shared" si="57"/>
        <v/>
      </c>
      <c r="Y1251" s="642">
        <f t="shared" si="58"/>
        <v>6.622716422762446</v>
      </c>
      <c r="Z1251" s="642" t="str">
        <f t="shared" si="59"/>
        <v/>
      </c>
    </row>
    <row r="1252" spans="1:26" s="127" customFormat="1" ht="37.5" hidden="1">
      <c r="A1252" s="636">
        <v>58185</v>
      </c>
      <c r="B1252" s="637" t="s">
        <v>54</v>
      </c>
      <c r="C1252" s="636" t="s">
        <v>2725</v>
      </c>
      <c r="D1252" s="637" t="s">
        <v>1224</v>
      </c>
      <c r="E1252" s="637" t="s">
        <v>1225</v>
      </c>
      <c r="F1252" s="636">
        <v>58152</v>
      </c>
      <c r="G1252" s="637" t="s">
        <v>81</v>
      </c>
      <c r="H1252" s="637" t="s">
        <v>1163</v>
      </c>
      <c r="I1252" s="637" t="s">
        <v>58</v>
      </c>
      <c r="J1252" s="636">
        <v>611</v>
      </c>
      <c r="K1252" s="636">
        <v>5</v>
      </c>
      <c r="L1252" s="637" t="s">
        <v>407</v>
      </c>
      <c r="M1252" s="637" t="s">
        <v>50</v>
      </c>
      <c r="N1252" s="637" t="s">
        <v>46</v>
      </c>
      <c r="O1252" s="637" t="s">
        <v>46</v>
      </c>
      <c r="P1252" s="637" t="s">
        <v>47</v>
      </c>
      <c r="Q1252" s="638">
        <v>0</v>
      </c>
      <c r="R1252" s="638">
        <v>0</v>
      </c>
      <c r="S1252" s="638">
        <v>0</v>
      </c>
      <c r="T1252" s="638">
        <v>0</v>
      </c>
      <c r="U1252" s="638">
        <v>0</v>
      </c>
      <c r="V1252" s="636">
        <v>2022</v>
      </c>
      <c r="W1252" s="640"/>
      <c r="X1252" s="641" t="str">
        <f t="shared" si="57"/>
        <v/>
      </c>
      <c r="Y1252" s="642" t="str">
        <f t="shared" si="58"/>
        <v/>
      </c>
      <c r="Z1252" s="642" t="str">
        <f t="shared" si="59"/>
        <v/>
      </c>
    </row>
    <row r="1253" spans="1:26" s="127" customFormat="1" ht="37.5" hidden="1">
      <c r="A1253" s="636">
        <v>58185</v>
      </c>
      <c r="B1253" s="637" t="s">
        <v>54</v>
      </c>
      <c r="C1253" s="636" t="s">
        <v>2725</v>
      </c>
      <c r="D1253" s="637" t="s">
        <v>1224</v>
      </c>
      <c r="E1253" s="637" t="s">
        <v>1225</v>
      </c>
      <c r="F1253" s="636">
        <v>58152</v>
      </c>
      <c r="G1253" s="637" t="s">
        <v>81</v>
      </c>
      <c r="H1253" s="637" t="s">
        <v>1163</v>
      </c>
      <c r="I1253" s="637" t="s">
        <v>58</v>
      </c>
      <c r="J1253" s="636">
        <v>611</v>
      </c>
      <c r="K1253" s="636">
        <v>5</v>
      </c>
      <c r="L1253" s="637" t="s">
        <v>407</v>
      </c>
      <c r="M1253" s="637" t="s">
        <v>50</v>
      </c>
      <c r="N1253" s="637" t="s">
        <v>39</v>
      </c>
      <c r="O1253" s="637" t="s">
        <v>39</v>
      </c>
      <c r="P1253" s="637" t="s">
        <v>1020</v>
      </c>
      <c r="Q1253" s="638">
        <v>11905</v>
      </c>
      <c r="R1253" s="638">
        <v>3359</v>
      </c>
      <c r="S1253" s="638">
        <v>12381</v>
      </c>
      <c r="T1253" s="638">
        <v>3494</v>
      </c>
      <c r="U1253" s="638">
        <v>856</v>
      </c>
      <c r="V1253" s="636">
        <v>2022</v>
      </c>
      <c r="W1253" s="640"/>
      <c r="X1253" s="641" t="str">
        <f t="shared" si="57"/>
        <v/>
      </c>
      <c r="Y1253" s="642">
        <f t="shared" si="58"/>
        <v>5.5629942487419113</v>
      </c>
      <c r="Z1253" s="642" t="str">
        <f t="shared" si="59"/>
        <v/>
      </c>
    </row>
    <row r="1254" spans="1:26" s="127" customFormat="1" ht="37.5" hidden="1">
      <c r="A1254" s="636">
        <v>58185</v>
      </c>
      <c r="B1254" s="637" t="s">
        <v>54</v>
      </c>
      <c r="C1254" s="636" t="s">
        <v>2725</v>
      </c>
      <c r="D1254" s="637" t="s">
        <v>1224</v>
      </c>
      <c r="E1254" s="637" t="s">
        <v>1225</v>
      </c>
      <c r="F1254" s="636">
        <v>58152</v>
      </c>
      <c r="G1254" s="637" t="s">
        <v>81</v>
      </c>
      <c r="H1254" s="637" t="s">
        <v>1163</v>
      </c>
      <c r="I1254" s="637" t="s">
        <v>58</v>
      </c>
      <c r="J1254" s="636">
        <v>611</v>
      </c>
      <c r="K1254" s="636">
        <v>5</v>
      </c>
      <c r="L1254" s="637" t="s">
        <v>407</v>
      </c>
      <c r="M1254" s="637" t="s">
        <v>42</v>
      </c>
      <c r="N1254" s="637" t="s">
        <v>39</v>
      </c>
      <c r="O1254" s="637" t="s">
        <v>39</v>
      </c>
      <c r="P1254" s="637" t="s">
        <v>1020</v>
      </c>
      <c r="Q1254" s="638">
        <v>0</v>
      </c>
      <c r="R1254" s="638">
        <v>0</v>
      </c>
      <c r="S1254" s="638">
        <v>0</v>
      </c>
      <c r="T1254" s="638">
        <v>0</v>
      </c>
      <c r="U1254" s="638">
        <v>0</v>
      </c>
      <c r="V1254" s="636">
        <v>2022</v>
      </c>
      <c r="W1254" s="640"/>
      <c r="X1254" s="641" t="str">
        <f t="shared" si="57"/>
        <v/>
      </c>
      <c r="Y1254" s="642" t="str">
        <f t="shared" si="58"/>
        <v/>
      </c>
      <c r="Z1254" s="642" t="str">
        <f t="shared" si="59"/>
        <v/>
      </c>
    </row>
    <row r="1255" spans="1:26" s="127" customFormat="1" ht="37.5" hidden="1">
      <c r="A1255" s="636">
        <v>58185</v>
      </c>
      <c r="B1255" s="637" t="s">
        <v>54</v>
      </c>
      <c r="C1255" s="636" t="s">
        <v>2725</v>
      </c>
      <c r="D1255" s="637" t="s">
        <v>1224</v>
      </c>
      <c r="E1255" s="637" t="s">
        <v>1225</v>
      </c>
      <c r="F1255" s="636">
        <v>58152</v>
      </c>
      <c r="G1255" s="637" t="s">
        <v>81</v>
      </c>
      <c r="H1255" s="637" t="s">
        <v>1163</v>
      </c>
      <c r="I1255" s="637" t="s">
        <v>58</v>
      </c>
      <c r="J1255" s="636">
        <v>611</v>
      </c>
      <c r="K1255" s="636">
        <v>5</v>
      </c>
      <c r="L1255" s="637" t="s">
        <v>407</v>
      </c>
      <c r="M1255" s="637" t="s">
        <v>42</v>
      </c>
      <c r="N1255" s="637" t="s">
        <v>61</v>
      </c>
      <c r="O1255" s="637" t="s">
        <v>61</v>
      </c>
      <c r="P1255" s="637" t="s">
        <v>47</v>
      </c>
      <c r="Q1255" s="638">
        <v>0</v>
      </c>
      <c r="R1255" s="638">
        <v>0</v>
      </c>
      <c r="S1255" s="638">
        <v>0</v>
      </c>
      <c r="T1255" s="638">
        <v>0</v>
      </c>
      <c r="U1255" s="638">
        <v>0</v>
      </c>
      <c r="V1255" s="636">
        <v>2022</v>
      </c>
      <c r="W1255" s="640"/>
      <c r="X1255" s="641" t="str">
        <f t="shared" si="57"/>
        <v/>
      </c>
      <c r="Y1255" s="642" t="str">
        <f t="shared" si="58"/>
        <v/>
      </c>
      <c r="Z1255" s="642" t="str">
        <f t="shared" si="59"/>
        <v/>
      </c>
    </row>
    <row r="1256" spans="1:26" s="127" customFormat="1" ht="37.5" hidden="1">
      <c r="A1256" s="636">
        <v>58186</v>
      </c>
      <c r="B1256" s="637" t="s">
        <v>54</v>
      </c>
      <c r="C1256" s="636" t="s">
        <v>2725</v>
      </c>
      <c r="D1256" s="637" t="s">
        <v>1582</v>
      </c>
      <c r="E1256" s="637" t="s">
        <v>1583</v>
      </c>
      <c r="F1256" s="636">
        <v>58154</v>
      </c>
      <c r="G1256" s="637" t="s">
        <v>57</v>
      </c>
      <c r="H1256" s="637" t="s">
        <v>1162</v>
      </c>
      <c r="I1256" s="637" t="s">
        <v>58</v>
      </c>
      <c r="J1256" s="636">
        <v>611</v>
      </c>
      <c r="K1256" s="636">
        <v>5</v>
      </c>
      <c r="L1256" s="637" t="s">
        <v>407</v>
      </c>
      <c r="M1256" s="637" t="s">
        <v>51</v>
      </c>
      <c r="N1256" s="637" t="s">
        <v>46</v>
      </c>
      <c r="O1256" s="637" t="s">
        <v>46</v>
      </c>
      <c r="P1256" s="637" t="s">
        <v>47</v>
      </c>
      <c r="Q1256" s="638">
        <v>39</v>
      </c>
      <c r="R1256" s="638">
        <v>34</v>
      </c>
      <c r="S1256" s="638">
        <v>242</v>
      </c>
      <c r="T1256" s="638">
        <v>210</v>
      </c>
      <c r="U1256" s="638">
        <v>18.844999999999999</v>
      </c>
      <c r="V1256" s="636">
        <v>2022</v>
      </c>
      <c r="W1256" s="640"/>
      <c r="X1256" s="641" t="str">
        <f t="shared" si="57"/>
        <v/>
      </c>
      <c r="Y1256" s="642" t="str">
        <f t="shared" si="58"/>
        <v/>
      </c>
      <c r="Z1256" s="642" t="str">
        <f t="shared" si="59"/>
        <v/>
      </c>
    </row>
    <row r="1257" spans="1:26" s="127" customFormat="1" ht="37.5" hidden="1">
      <c r="A1257" s="636">
        <v>58186</v>
      </c>
      <c r="B1257" s="637" t="s">
        <v>54</v>
      </c>
      <c r="C1257" s="636" t="s">
        <v>2725</v>
      </c>
      <c r="D1257" s="637" t="s">
        <v>1582</v>
      </c>
      <c r="E1257" s="637" t="s">
        <v>1583</v>
      </c>
      <c r="F1257" s="636">
        <v>58154</v>
      </c>
      <c r="G1257" s="637" t="s">
        <v>57</v>
      </c>
      <c r="H1257" s="637" t="s">
        <v>1162</v>
      </c>
      <c r="I1257" s="637" t="s">
        <v>58</v>
      </c>
      <c r="J1257" s="636">
        <v>611</v>
      </c>
      <c r="K1257" s="636">
        <v>5</v>
      </c>
      <c r="L1257" s="637" t="s">
        <v>407</v>
      </c>
      <c r="M1257" s="637" t="s">
        <v>51</v>
      </c>
      <c r="N1257" s="637" t="s">
        <v>63</v>
      </c>
      <c r="O1257" s="637" t="s">
        <v>64</v>
      </c>
      <c r="P1257" s="637" t="s">
        <v>1020</v>
      </c>
      <c r="Q1257" s="638">
        <v>0</v>
      </c>
      <c r="R1257" s="638">
        <v>0</v>
      </c>
      <c r="S1257" s="638">
        <v>0</v>
      </c>
      <c r="T1257" s="638">
        <v>0</v>
      </c>
      <c r="U1257" s="638">
        <v>0</v>
      </c>
      <c r="V1257" s="636">
        <v>2022</v>
      </c>
      <c r="W1257" s="640"/>
      <c r="X1257" s="641" t="str">
        <f t="shared" si="57"/>
        <v/>
      </c>
      <c r="Y1257" s="642" t="str">
        <f t="shared" si="58"/>
        <v/>
      </c>
      <c r="Z1257" s="642" t="str">
        <f t="shared" si="59"/>
        <v/>
      </c>
    </row>
    <row r="1258" spans="1:26" s="127" customFormat="1" ht="37.5" hidden="1">
      <c r="A1258" s="636">
        <v>58186</v>
      </c>
      <c r="B1258" s="637" t="s">
        <v>54</v>
      </c>
      <c r="C1258" s="636" t="s">
        <v>2725</v>
      </c>
      <c r="D1258" s="637" t="s">
        <v>1582</v>
      </c>
      <c r="E1258" s="637" t="s">
        <v>1583</v>
      </c>
      <c r="F1258" s="636">
        <v>58154</v>
      </c>
      <c r="G1258" s="637" t="s">
        <v>57</v>
      </c>
      <c r="H1258" s="637" t="s">
        <v>1162</v>
      </c>
      <c r="I1258" s="637" t="s">
        <v>58</v>
      </c>
      <c r="J1258" s="636">
        <v>611</v>
      </c>
      <c r="K1258" s="636">
        <v>5</v>
      </c>
      <c r="L1258" s="637" t="s">
        <v>407</v>
      </c>
      <c r="M1258" s="637" t="s">
        <v>51</v>
      </c>
      <c r="N1258" s="637" t="s">
        <v>39</v>
      </c>
      <c r="O1258" s="637" t="s">
        <v>39</v>
      </c>
      <c r="P1258" s="637" t="s">
        <v>1020</v>
      </c>
      <c r="Q1258" s="638">
        <v>164700</v>
      </c>
      <c r="R1258" s="638">
        <v>148967</v>
      </c>
      <c r="S1258" s="638">
        <v>169642</v>
      </c>
      <c r="T1258" s="638">
        <v>153436</v>
      </c>
      <c r="U1258" s="638">
        <v>13220.955</v>
      </c>
      <c r="V1258" s="636">
        <v>2022</v>
      </c>
      <c r="W1258" s="640"/>
      <c r="X1258" s="641" t="str">
        <f t="shared" si="57"/>
        <v/>
      </c>
      <c r="Y1258" s="642" t="str">
        <f t="shared" si="58"/>
        <v/>
      </c>
      <c r="Z1258" s="642" t="str">
        <f t="shared" si="59"/>
        <v/>
      </c>
    </row>
    <row r="1259" spans="1:26" s="127" customFormat="1" ht="37.5" hidden="1">
      <c r="A1259" s="636">
        <v>58201</v>
      </c>
      <c r="B1259" s="637" t="s">
        <v>54</v>
      </c>
      <c r="C1259" s="636" t="s">
        <v>2725</v>
      </c>
      <c r="D1259" s="637" t="s">
        <v>1226</v>
      </c>
      <c r="E1259" s="637" t="s">
        <v>2424</v>
      </c>
      <c r="F1259" s="636">
        <v>60791</v>
      </c>
      <c r="G1259" s="637" t="s">
        <v>57</v>
      </c>
      <c r="H1259" s="637" t="s">
        <v>1162</v>
      </c>
      <c r="I1259" s="637" t="s">
        <v>58</v>
      </c>
      <c r="J1259" s="636">
        <v>611</v>
      </c>
      <c r="K1259" s="636">
        <v>5</v>
      </c>
      <c r="L1259" s="637" t="s">
        <v>407</v>
      </c>
      <c r="M1259" s="637" t="s">
        <v>51</v>
      </c>
      <c r="N1259" s="637" t="s">
        <v>39</v>
      </c>
      <c r="O1259" s="637" t="s">
        <v>39</v>
      </c>
      <c r="P1259" s="637" t="s">
        <v>1020</v>
      </c>
      <c r="Q1259" s="638">
        <v>0</v>
      </c>
      <c r="R1259" s="638">
        <v>0</v>
      </c>
      <c r="S1259" s="638">
        <v>0</v>
      </c>
      <c r="T1259" s="638">
        <v>0</v>
      </c>
      <c r="U1259" s="638">
        <v>0</v>
      </c>
      <c r="V1259" s="636">
        <v>2022</v>
      </c>
      <c r="W1259" s="640"/>
      <c r="X1259" s="641" t="str">
        <f t="shared" si="57"/>
        <v/>
      </c>
      <c r="Y1259" s="642" t="str">
        <f t="shared" si="58"/>
        <v/>
      </c>
      <c r="Z1259" s="642" t="str">
        <f t="shared" si="59"/>
        <v/>
      </c>
    </row>
    <row r="1260" spans="1:26" s="127" customFormat="1" ht="25">
      <c r="A1260" s="636">
        <v>58210</v>
      </c>
      <c r="B1260" s="637" t="s">
        <v>33</v>
      </c>
      <c r="C1260" s="636" t="s">
        <v>2725</v>
      </c>
      <c r="D1260" s="637" t="s">
        <v>1227</v>
      </c>
      <c r="E1260" s="637" t="s">
        <v>1164</v>
      </c>
      <c r="F1260" s="636">
        <v>58185</v>
      </c>
      <c r="G1260" s="637" t="s">
        <v>81</v>
      </c>
      <c r="H1260" s="637" t="s">
        <v>1163</v>
      </c>
      <c r="I1260" s="637" t="s">
        <v>58</v>
      </c>
      <c r="J1260" s="636">
        <v>22</v>
      </c>
      <c r="K1260" s="636">
        <v>2</v>
      </c>
      <c r="L1260" s="637" t="s">
        <v>52</v>
      </c>
      <c r="M1260" s="637" t="s">
        <v>441</v>
      </c>
      <c r="N1260" s="637" t="s">
        <v>442</v>
      </c>
      <c r="O1260" s="637" t="s">
        <v>442</v>
      </c>
      <c r="P1260" s="637" t="s">
        <v>1156</v>
      </c>
      <c r="Q1260" s="638">
        <v>0</v>
      </c>
      <c r="R1260" s="638">
        <v>0</v>
      </c>
      <c r="S1260" s="638">
        <v>5837</v>
      </c>
      <c r="T1260" s="638">
        <v>5837</v>
      </c>
      <c r="U1260" s="638">
        <v>1711</v>
      </c>
      <c r="V1260" s="636">
        <v>2022</v>
      </c>
      <c r="W1260" s="640"/>
      <c r="X1260" s="641">
        <f t="shared" si="57"/>
        <v>3.4114552893045005</v>
      </c>
      <c r="Y1260" s="642" t="str">
        <f t="shared" si="58"/>
        <v/>
      </c>
      <c r="Z1260" s="642" t="str">
        <f t="shared" si="59"/>
        <v/>
      </c>
    </row>
    <row r="1261" spans="1:26" s="127" customFormat="1" ht="25">
      <c r="A1261" s="636">
        <v>58214</v>
      </c>
      <c r="B1261" s="637" t="s">
        <v>33</v>
      </c>
      <c r="C1261" s="636" t="s">
        <v>2725</v>
      </c>
      <c r="D1261" s="637" t="s">
        <v>1584</v>
      </c>
      <c r="E1261" s="637" t="s">
        <v>1108</v>
      </c>
      <c r="F1261" s="636">
        <v>56769</v>
      </c>
      <c r="G1261" s="637" t="s">
        <v>130</v>
      </c>
      <c r="H1261" s="637" t="s">
        <v>1163</v>
      </c>
      <c r="I1261" s="637" t="s">
        <v>58</v>
      </c>
      <c r="J1261" s="636">
        <v>22</v>
      </c>
      <c r="K1261" s="636">
        <v>2</v>
      </c>
      <c r="L1261" s="637" t="s">
        <v>52</v>
      </c>
      <c r="M1261" s="637" t="s">
        <v>441</v>
      </c>
      <c r="N1261" s="637" t="s">
        <v>442</v>
      </c>
      <c r="O1261" s="637" t="s">
        <v>442</v>
      </c>
      <c r="P1261" s="637" t="s">
        <v>1156</v>
      </c>
      <c r="Q1261" s="638">
        <v>0</v>
      </c>
      <c r="R1261" s="638">
        <v>0</v>
      </c>
      <c r="S1261" s="638">
        <v>9470</v>
      </c>
      <c r="T1261" s="638">
        <v>9470</v>
      </c>
      <c r="U1261" s="638">
        <v>2775</v>
      </c>
      <c r="V1261" s="636">
        <v>2022</v>
      </c>
      <c r="W1261" s="640"/>
      <c r="X1261" s="641">
        <f t="shared" si="57"/>
        <v>3.4126126126126124</v>
      </c>
      <c r="Y1261" s="642" t="str">
        <f t="shared" si="58"/>
        <v/>
      </c>
      <c r="Z1261" s="642" t="str">
        <f t="shared" si="59"/>
        <v/>
      </c>
    </row>
    <row r="1262" spans="1:26" s="127" customFormat="1" ht="37.5" hidden="1">
      <c r="A1262" s="636">
        <v>58224</v>
      </c>
      <c r="B1262" s="637" t="s">
        <v>54</v>
      </c>
      <c r="C1262" s="636" t="s">
        <v>2725</v>
      </c>
      <c r="D1262" s="637" t="s">
        <v>1228</v>
      </c>
      <c r="E1262" s="637" t="s">
        <v>1229</v>
      </c>
      <c r="F1262" s="636">
        <v>58188</v>
      </c>
      <c r="G1262" s="637" t="s">
        <v>41</v>
      </c>
      <c r="H1262" s="637" t="s">
        <v>1163</v>
      </c>
      <c r="I1262" s="637" t="s">
        <v>58</v>
      </c>
      <c r="J1262" s="636">
        <v>611</v>
      </c>
      <c r="K1262" s="636">
        <v>5</v>
      </c>
      <c r="L1262" s="637" t="s">
        <v>407</v>
      </c>
      <c r="M1262" s="637" t="s">
        <v>51</v>
      </c>
      <c r="N1262" s="637" t="s">
        <v>46</v>
      </c>
      <c r="O1262" s="637" t="s">
        <v>46</v>
      </c>
      <c r="P1262" s="637" t="s">
        <v>47</v>
      </c>
      <c r="Q1262" s="638">
        <v>0</v>
      </c>
      <c r="R1262" s="638">
        <v>0</v>
      </c>
      <c r="S1262" s="638">
        <v>0</v>
      </c>
      <c r="T1262" s="638">
        <v>0</v>
      </c>
      <c r="U1262" s="638">
        <v>0</v>
      </c>
      <c r="V1262" s="636">
        <v>2022</v>
      </c>
      <c r="W1262" s="640"/>
      <c r="X1262" s="641" t="str">
        <f t="shared" si="57"/>
        <v/>
      </c>
      <c r="Y1262" s="642" t="str">
        <f t="shared" si="58"/>
        <v/>
      </c>
      <c r="Z1262" s="642" t="str">
        <f t="shared" si="59"/>
        <v/>
      </c>
    </row>
    <row r="1263" spans="1:26" s="127" customFormat="1" ht="37.5" hidden="1">
      <c r="A1263" s="636">
        <v>58224</v>
      </c>
      <c r="B1263" s="637" t="s">
        <v>54</v>
      </c>
      <c r="C1263" s="636" t="s">
        <v>2725</v>
      </c>
      <c r="D1263" s="637" t="s">
        <v>1228</v>
      </c>
      <c r="E1263" s="637" t="s">
        <v>1229</v>
      </c>
      <c r="F1263" s="636">
        <v>58188</v>
      </c>
      <c r="G1263" s="637" t="s">
        <v>41</v>
      </c>
      <c r="H1263" s="637" t="s">
        <v>1163</v>
      </c>
      <c r="I1263" s="637" t="s">
        <v>58</v>
      </c>
      <c r="J1263" s="636">
        <v>611</v>
      </c>
      <c r="K1263" s="636">
        <v>5</v>
      </c>
      <c r="L1263" s="637" t="s">
        <v>407</v>
      </c>
      <c r="M1263" s="637" t="s">
        <v>51</v>
      </c>
      <c r="N1263" s="637" t="s">
        <v>39</v>
      </c>
      <c r="O1263" s="637" t="s">
        <v>39</v>
      </c>
      <c r="P1263" s="637" t="s">
        <v>1020</v>
      </c>
      <c r="Q1263" s="638">
        <v>190</v>
      </c>
      <c r="R1263" s="638">
        <v>55</v>
      </c>
      <c r="S1263" s="638">
        <v>210</v>
      </c>
      <c r="T1263" s="638">
        <v>58</v>
      </c>
      <c r="U1263" s="638">
        <v>14.7</v>
      </c>
      <c r="V1263" s="636">
        <v>2022</v>
      </c>
      <c r="W1263" s="640"/>
      <c r="X1263" s="641" t="str">
        <f t="shared" si="57"/>
        <v/>
      </c>
      <c r="Y1263" s="642" t="str">
        <f t="shared" si="58"/>
        <v/>
      </c>
      <c r="Z1263" s="642" t="str">
        <f t="shared" si="59"/>
        <v/>
      </c>
    </row>
    <row r="1264" spans="1:26" s="127" customFormat="1" ht="37.5" hidden="1">
      <c r="A1264" s="636">
        <v>58237</v>
      </c>
      <c r="B1264" s="637" t="s">
        <v>54</v>
      </c>
      <c r="C1264" s="636" t="s">
        <v>2725</v>
      </c>
      <c r="D1264" s="637" t="s">
        <v>1230</v>
      </c>
      <c r="E1264" s="637" t="s">
        <v>1231</v>
      </c>
      <c r="F1264" s="636">
        <v>58213</v>
      </c>
      <c r="G1264" s="637" t="s">
        <v>41</v>
      </c>
      <c r="H1264" s="637" t="s">
        <v>1163</v>
      </c>
      <c r="I1264" s="637" t="s">
        <v>58</v>
      </c>
      <c r="J1264" s="636">
        <v>611</v>
      </c>
      <c r="K1264" s="636">
        <v>5</v>
      </c>
      <c r="L1264" s="637" t="s">
        <v>407</v>
      </c>
      <c r="M1264" s="637" t="s">
        <v>1232</v>
      </c>
      <c r="N1264" s="637" t="s">
        <v>39</v>
      </c>
      <c r="O1264" s="637" t="s">
        <v>39</v>
      </c>
      <c r="P1264" s="637" t="s">
        <v>1020</v>
      </c>
      <c r="Q1264" s="638">
        <v>64927</v>
      </c>
      <c r="R1264" s="638">
        <v>58160</v>
      </c>
      <c r="S1264" s="638">
        <v>66744</v>
      </c>
      <c r="T1264" s="638">
        <v>59789</v>
      </c>
      <c r="U1264" s="638">
        <v>8596</v>
      </c>
      <c r="V1264" s="636">
        <v>2022</v>
      </c>
      <c r="W1264" s="640"/>
      <c r="X1264" s="641" t="str">
        <f t="shared" si="57"/>
        <v/>
      </c>
      <c r="Y1264" s="642" t="str">
        <f t="shared" si="58"/>
        <v/>
      </c>
      <c r="Z1264" s="642" t="str">
        <f t="shared" si="59"/>
        <v/>
      </c>
    </row>
    <row r="1265" spans="1:26" s="127" customFormat="1" ht="25">
      <c r="A1265" s="636">
        <v>58238</v>
      </c>
      <c r="B1265" s="637" t="s">
        <v>33</v>
      </c>
      <c r="C1265" s="636" t="s">
        <v>2725</v>
      </c>
      <c r="D1265" s="637" t="s">
        <v>1233</v>
      </c>
      <c r="E1265" s="637" t="s">
        <v>2277</v>
      </c>
      <c r="F1265" s="636">
        <v>60025</v>
      </c>
      <c r="G1265" s="637" t="s">
        <v>89</v>
      </c>
      <c r="H1265" s="637" t="s">
        <v>1163</v>
      </c>
      <c r="I1265" s="637" t="s">
        <v>58</v>
      </c>
      <c r="J1265" s="636">
        <v>22</v>
      </c>
      <c r="K1265" s="636">
        <v>2</v>
      </c>
      <c r="L1265" s="637" t="s">
        <v>52</v>
      </c>
      <c r="M1265" s="637" t="s">
        <v>71</v>
      </c>
      <c r="N1265" s="637" t="s">
        <v>72</v>
      </c>
      <c r="O1265" s="637" t="s">
        <v>72</v>
      </c>
      <c r="P1265" s="637" t="s">
        <v>1156</v>
      </c>
      <c r="Q1265" s="638">
        <v>0</v>
      </c>
      <c r="R1265" s="638">
        <v>0</v>
      </c>
      <c r="S1265" s="638">
        <v>104797</v>
      </c>
      <c r="T1265" s="638">
        <v>104797</v>
      </c>
      <c r="U1265" s="638">
        <v>30714</v>
      </c>
      <c r="V1265" s="636">
        <v>2022</v>
      </c>
      <c r="W1265" s="640"/>
      <c r="X1265" s="641">
        <f t="shared" si="57"/>
        <v>3.4120270886240802</v>
      </c>
      <c r="Y1265" s="642" t="str">
        <f t="shared" si="58"/>
        <v/>
      </c>
      <c r="Z1265" s="642" t="str">
        <f t="shared" si="59"/>
        <v/>
      </c>
    </row>
    <row r="1266" spans="1:26" s="127" customFormat="1" ht="25">
      <c r="A1266" s="636">
        <v>58270</v>
      </c>
      <c r="B1266" s="637" t="s">
        <v>33</v>
      </c>
      <c r="C1266" s="636" t="s">
        <v>2725</v>
      </c>
      <c r="D1266" s="637" t="s">
        <v>1234</v>
      </c>
      <c r="E1266" s="637" t="s">
        <v>3622</v>
      </c>
      <c r="F1266" s="636">
        <v>65164</v>
      </c>
      <c r="G1266" s="637" t="s">
        <v>81</v>
      </c>
      <c r="H1266" s="637" t="s">
        <v>1163</v>
      </c>
      <c r="I1266" s="637" t="s">
        <v>58</v>
      </c>
      <c r="J1266" s="636">
        <v>22</v>
      </c>
      <c r="K1266" s="636">
        <v>2</v>
      </c>
      <c r="L1266" s="637" t="s">
        <v>52</v>
      </c>
      <c r="M1266" s="637" t="s">
        <v>441</v>
      </c>
      <c r="N1266" s="637" t="s">
        <v>442</v>
      </c>
      <c r="O1266" s="637" t="s">
        <v>442</v>
      </c>
      <c r="P1266" s="637" t="s">
        <v>1156</v>
      </c>
      <c r="Q1266" s="638">
        <v>0</v>
      </c>
      <c r="R1266" s="638">
        <v>0</v>
      </c>
      <c r="S1266" s="638">
        <v>20628</v>
      </c>
      <c r="T1266" s="638">
        <v>20628</v>
      </c>
      <c r="U1266" s="638">
        <v>6046</v>
      </c>
      <c r="V1266" s="636">
        <v>2022</v>
      </c>
      <c r="W1266" s="640"/>
      <c r="X1266" s="641">
        <f t="shared" si="57"/>
        <v>3.4118425405226596</v>
      </c>
      <c r="Y1266" s="642" t="str">
        <f t="shared" si="58"/>
        <v/>
      </c>
      <c r="Z1266" s="642" t="str">
        <f t="shared" si="59"/>
        <v/>
      </c>
    </row>
    <row r="1267" spans="1:26" s="127" customFormat="1" ht="25">
      <c r="A1267" s="636">
        <v>58271</v>
      </c>
      <c r="B1267" s="637" t="s">
        <v>33</v>
      </c>
      <c r="C1267" s="636" t="s">
        <v>2725</v>
      </c>
      <c r="D1267" s="637" t="s">
        <v>1235</v>
      </c>
      <c r="E1267" s="637" t="s">
        <v>3622</v>
      </c>
      <c r="F1267" s="636">
        <v>65164</v>
      </c>
      <c r="G1267" s="637" t="s">
        <v>81</v>
      </c>
      <c r="H1267" s="637" t="s">
        <v>1163</v>
      </c>
      <c r="I1267" s="637" t="s">
        <v>58</v>
      </c>
      <c r="J1267" s="636">
        <v>22</v>
      </c>
      <c r="K1267" s="636">
        <v>2</v>
      </c>
      <c r="L1267" s="637" t="s">
        <v>52</v>
      </c>
      <c r="M1267" s="637" t="s">
        <v>441</v>
      </c>
      <c r="N1267" s="637" t="s">
        <v>442</v>
      </c>
      <c r="O1267" s="637" t="s">
        <v>442</v>
      </c>
      <c r="P1267" s="637" t="s">
        <v>1156</v>
      </c>
      <c r="Q1267" s="638">
        <v>0</v>
      </c>
      <c r="R1267" s="638">
        <v>0</v>
      </c>
      <c r="S1267" s="638">
        <v>6176</v>
      </c>
      <c r="T1267" s="638">
        <v>6176</v>
      </c>
      <c r="U1267" s="638">
        <v>1810</v>
      </c>
      <c r="V1267" s="636">
        <v>2022</v>
      </c>
      <c r="W1267" s="640"/>
      <c r="X1267" s="641">
        <f t="shared" si="57"/>
        <v>3.4121546961325966</v>
      </c>
      <c r="Y1267" s="642" t="str">
        <f t="shared" si="58"/>
        <v/>
      </c>
      <c r="Z1267" s="642" t="str">
        <f t="shared" si="59"/>
        <v/>
      </c>
    </row>
    <row r="1268" spans="1:26" s="127" customFormat="1" ht="25">
      <c r="A1268" s="636">
        <v>58272</v>
      </c>
      <c r="B1268" s="637" t="s">
        <v>33</v>
      </c>
      <c r="C1268" s="636" t="s">
        <v>2725</v>
      </c>
      <c r="D1268" s="637" t="s">
        <v>1236</v>
      </c>
      <c r="E1268" s="637" t="s">
        <v>3622</v>
      </c>
      <c r="F1268" s="636">
        <v>65164</v>
      </c>
      <c r="G1268" s="637" t="s">
        <v>81</v>
      </c>
      <c r="H1268" s="637" t="s">
        <v>1163</v>
      </c>
      <c r="I1268" s="637" t="s">
        <v>58</v>
      </c>
      <c r="J1268" s="636">
        <v>22</v>
      </c>
      <c r="K1268" s="636">
        <v>2</v>
      </c>
      <c r="L1268" s="637" t="s">
        <v>52</v>
      </c>
      <c r="M1268" s="637" t="s">
        <v>441</v>
      </c>
      <c r="N1268" s="637" t="s">
        <v>442</v>
      </c>
      <c r="O1268" s="637" t="s">
        <v>442</v>
      </c>
      <c r="P1268" s="637" t="s">
        <v>1156</v>
      </c>
      <c r="Q1268" s="638">
        <v>0</v>
      </c>
      <c r="R1268" s="638">
        <v>0</v>
      </c>
      <c r="S1268" s="638">
        <v>9919</v>
      </c>
      <c r="T1268" s="638">
        <v>9919</v>
      </c>
      <c r="U1268" s="638">
        <v>2907</v>
      </c>
      <c r="V1268" s="636">
        <v>2022</v>
      </c>
      <c r="W1268" s="640"/>
      <c r="X1268" s="641">
        <f t="shared" si="57"/>
        <v>3.4121087031303752</v>
      </c>
      <c r="Y1268" s="642" t="str">
        <f t="shared" si="58"/>
        <v/>
      </c>
      <c r="Z1268" s="642" t="str">
        <f t="shared" si="59"/>
        <v/>
      </c>
    </row>
    <row r="1269" spans="1:26" s="127" customFormat="1" ht="25">
      <c r="A1269" s="636">
        <v>58275</v>
      </c>
      <c r="B1269" s="637" t="s">
        <v>33</v>
      </c>
      <c r="C1269" s="636" t="s">
        <v>2725</v>
      </c>
      <c r="D1269" s="637" t="s">
        <v>1665</v>
      </c>
      <c r="E1269" s="637" t="s">
        <v>3035</v>
      </c>
      <c r="F1269" s="636">
        <v>59155</v>
      </c>
      <c r="G1269" s="637" t="s">
        <v>81</v>
      </c>
      <c r="H1269" s="637" t="s">
        <v>1163</v>
      </c>
      <c r="I1269" s="637" t="s">
        <v>58</v>
      </c>
      <c r="J1269" s="636">
        <v>22</v>
      </c>
      <c r="K1269" s="636">
        <v>2</v>
      </c>
      <c r="L1269" s="637" t="s">
        <v>52</v>
      </c>
      <c r="M1269" s="637" t="s">
        <v>441</v>
      </c>
      <c r="N1269" s="637" t="s">
        <v>442</v>
      </c>
      <c r="O1269" s="637" t="s">
        <v>442</v>
      </c>
      <c r="P1269" s="637" t="s">
        <v>1156</v>
      </c>
      <c r="Q1269" s="638">
        <v>0</v>
      </c>
      <c r="R1269" s="638">
        <v>0</v>
      </c>
      <c r="S1269" s="638">
        <v>21969</v>
      </c>
      <c r="T1269" s="638">
        <v>21969</v>
      </c>
      <c r="U1269" s="638">
        <v>6439</v>
      </c>
      <c r="V1269" s="636">
        <v>2022</v>
      </c>
      <c r="W1269" s="640"/>
      <c r="X1269" s="641">
        <f t="shared" si="57"/>
        <v>3.4118651964590776</v>
      </c>
      <c r="Y1269" s="642" t="str">
        <f t="shared" si="58"/>
        <v/>
      </c>
      <c r="Z1269" s="642" t="str">
        <f t="shared" si="59"/>
        <v/>
      </c>
    </row>
    <row r="1270" spans="1:26" s="127" customFormat="1" ht="25">
      <c r="A1270" s="636">
        <v>58276</v>
      </c>
      <c r="B1270" s="637" t="s">
        <v>33</v>
      </c>
      <c r="C1270" s="636" t="s">
        <v>2725</v>
      </c>
      <c r="D1270" s="637" t="s">
        <v>1666</v>
      </c>
      <c r="E1270" s="637" t="s">
        <v>3035</v>
      </c>
      <c r="F1270" s="636">
        <v>59155</v>
      </c>
      <c r="G1270" s="637" t="s">
        <v>81</v>
      </c>
      <c r="H1270" s="637" t="s">
        <v>1163</v>
      </c>
      <c r="I1270" s="637" t="s">
        <v>58</v>
      </c>
      <c r="J1270" s="636">
        <v>22</v>
      </c>
      <c r="K1270" s="636">
        <v>2</v>
      </c>
      <c r="L1270" s="637" t="s">
        <v>52</v>
      </c>
      <c r="M1270" s="637" t="s">
        <v>441</v>
      </c>
      <c r="N1270" s="637" t="s">
        <v>442</v>
      </c>
      <c r="O1270" s="637" t="s">
        <v>442</v>
      </c>
      <c r="P1270" s="637" t="s">
        <v>1156</v>
      </c>
      <c r="Q1270" s="638">
        <v>0</v>
      </c>
      <c r="R1270" s="638">
        <v>0</v>
      </c>
      <c r="S1270" s="638">
        <v>23707</v>
      </c>
      <c r="T1270" s="638">
        <v>23707</v>
      </c>
      <c r="U1270" s="638">
        <v>6948</v>
      </c>
      <c r="V1270" s="636">
        <v>2022</v>
      </c>
      <c r="W1270" s="640"/>
      <c r="X1270" s="641">
        <f t="shared" si="57"/>
        <v>3.4120610247553254</v>
      </c>
      <c r="Y1270" s="642" t="str">
        <f t="shared" si="58"/>
        <v/>
      </c>
      <c r="Z1270" s="642" t="str">
        <f t="shared" si="59"/>
        <v/>
      </c>
    </row>
    <row r="1271" spans="1:26" s="127" customFormat="1" ht="25">
      <c r="A1271" s="636">
        <v>58279</v>
      </c>
      <c r="B1271" s="637" t="s">
        <v>33</v>
      </c>
      <c r="C1271" s="636" t="s">
        <v>2725</v>
      </c>
      <c r="D1271" s="637" t="s">
        <v>1667</v>
      </c>
      <c r="E1271" s="637" t="s">
        <v>3035</v>
      </c>
      <c r="F1271" s="636">
        <v>59155</v>
      </c>
      <c r="G1271" s="637" t="s">
        <v>81</v>
      </c>
      <c r="H1271" s="637" t="s">
        <v>1163</v>
      </c>
      <c r="I1271" s="637" t="s">
        <v>58</v>
      </c>
      <c r="J1271" s="636">
        <v>22</v>
      </c>
      <c r="K1271" s="636">
        <v>2</v>
      </c>
      <c r="L1271" s="637" t="s">
        <v>52</v>
      </c>
      <c r="M1271" s="637" t="s">
        <v>441</v>
      </c>
      <c r="N1271" s="637" t="s">
        <v>442</v>
      </c>
      <c r="O1271" s="637" t="s">
        <v>442</v>
      </c>
      <c r="P1271" s="637" t="s">
        <v>1156</v>
      </c>
      <c r="Q1271" s="638">
        <v>0</v>
      </c>
      <c r="R1271" s="638">
        <v>0</v>
      </c>
      <c r="S1271" s="638">
        <v>26658</v>
      </c>
      <c r="T1271" s="638">
        <v>26658</v>
      </c>
      <c r="U1271" s="638">
        <v>7813</v>
      </c>
      <c r="V1271" s="636">
        <v>2022</v>
      </c>
      <c r="W1271" s="640"/>
      <c r="X1271" s="641">
        <f t="shared" si="57"/>
        <v>3.412005631639575</v>
      </c>
      <c r="Y1271" s="642" t="str">
        <f t="shared" si="58"/>
        <v/>
      </c>
      <c r="Z1271" s="642" t="str">
        <f t="shared" si="59"/>
        <v/>
      </c>
    </row>
    <row r="1272" spans="1:26" s="127" customFormat="1" ht="25">
      <c r="A1272" s="636">
        <v>58280</v>
      </c>
      <c r="B1272" s="637" t="s">
        <v>33</v>
      </c>
      <c r="C1272" s="636" t="s">
        <v>2725</v>
      </c>
      <c r="D1272" s="637" t="s">
        <v>1668</v>
      </c>
      <c r="E1272" s="637" t="s">
        <v>3035</v>
      </c>
      <c r="F1272" s="636">
        <v>59155</v>
      </c>
      <c r="G1272" s="637" t="s">
        <v>81</v>
      </c>
      <c r="H1272" s="637" t="s">
        <v>1163</v>
      </c>
      <c r="I1272" s="637" t="s">
        <v>58</v>
      </c>
      <c r="J1272" s="636">
        <v>22</v>
      </c>
      <c r="K1272" s="636">
        <v>2</v>
      </c>
      <c r="L1272" s="637" t="s">
        <v>52</v>
      </c>
      <c r="M1272" s="637" t="s">
        <v>441</v>
      </c>
      <c r="N1272" s="637" t="s">
        <v>442</v>
      </c>
      <c r="O1272" s="637" t="s">
        <v>442</v>
      </c>
      <c r="P1272" s="637" t="s">
        <v>1156</v>
      </c>
      <c r="Q1272" s="638">
        <v>0</v>
      </c>
      <c r="R1272" s="638">
        <v>0</v>
      </c>
      <c r="S1272" s="638">
        <v>16938</v>
      </c>
      <c r="T1272" s="638">
        <v>16938</v>
      </c>
      <c r="U1272" s="638">
        <v>4964</v>
      </c>
      <c r="V1272" s="636">
        <v>2022</v>
      </c>
      <c r="W1272" s="640"/>
      <c r="X1272" s="641">
        <f t="shared" si="57"/>
        <v>3.412167606768735</v>
      </c>
      <c r="Y1272" s="642" t="str">
        <f t="shared" si="58"/>
        <v/>
      </c>
      <c r="Z1272" s="642" t="str">
        <f t="shared" si="59"/>
        <v/>
      </c>
    </row>
    <row r="1273" spans="1:26" s="127" customFormat="1" ht="25">
      <c r="A1273" s="636">
        <v>58282</v>
      </c>
      <c r="B1273" s="637" t="s">
        <v>33</v>
      </c>
      <c r="C1273" s="636" t="s">
        <v>2725</v>
      </c>
      <c r="D1273" s="637" t="s">
        <v>1808</v>
      </c>
      <c r="E1273" s="637" t="s">
        <v>3621</v>
      </c>
      <c r="F1273" s="636">
        <v>65432</v>
      </c>
      <c r="G1273" s="637" t="s">
        <v>81</v>
      </c>
      <c r="H1273" s="637" t="s">
        <v>1163</v>
      </c>
      <c r="I1273" s="637" t="s">
        <v>58</v>
      </c>
      <c r="J1273" s="636">
        <v>22</v>
      </c>
      <c r="K1273" s="636">
        <v>2</v>
      </c>
      <c r="L1273" s="637" t="s">
        <v>52</v>
      </c>
      <c r="M1273" s="637" t="s">
        <v>441</v>
      </c>
      <c r="N1273" s="637" t="s">
        <v>442</v>
      </c>
      <c r="O1273" s="637" t="s">
        <v>442</v>
      </c>
      <c r="P1273" s="637" t="s">
        <v>1156</v>
      </c>
      <c r="Q1273" s="638">
        <v>0</v>
      </c>
      <c r="R1273" s="638">
        <v>0</v>
      </c>
      <c r="S1273" s="638">
        <v>20846</v>
      </c>
      <c r="T1273" s="638">
        <v>20846</v>
      </c>
      <c r="U1273" s="638">
        <v>6109</v>
      </c>
      <c r="V1273" s="636">
        <v>2022</v>
      </c>
      <c r="W1273" s="640"/>
      <c r="X1273" s="641">
        <f t="shared" si="57"/>
        <v>3.4123424455721065</v>
      </c>
      <c r="Y1273" s="642" t="str">
        <f t="shared" si="58"/>
        <v/>
      </c>
      <c r="Z1273" s="642" t="str">
        <f t="shared" si="59"/>
        <v/>
      </c>
    </row>
    <row r="1274" spans="1:26" s="127" customFormat="1" ht="25">
      <c r="A1274" s="636">
        <v>58283</v>
      </c>
      <c r="B1274" s="637" t="s">
        <v>33</v>
      </c>
      <c r="C1274" s="636" t="s">
        <v>2725</v>
      </c>
      <c r="D1274" s="637" t="s">
        <v>1809</v>
      </c>
      <c r="E1274" s="637" t="s">
        <v>1677</v>
      </c>
      <c r="F1274" s="636">
        <v>58598</v>
      </c>
      <c r="G1274" s="637" t="s">
        <v>81</v>
      </c>
      <c r="H1274" s="637" t="s">
        <v>1163</v>
      </c>
      <c r="I1274" s="637" t="s">
        <v>58</v>
      </c>
      <c r="J1274" s="636">
        <v>22</v>
      </c>
      <c r="K1274" s="636">
        <v>2</v>
      </c>
      <c r="L1274" s="637" t="s">
        <v>52</v>
      </c>
      <c r="M1274" s="637" t="s">
        <v>441</v>
      </c>
      <c r="N1274" s="637" t="s">
        <v>442</v>
      </c>
      <c r="O1274" s="637" t="s">
        <v>442</v>
      </c>
      <c r="P1274" s="637" t="s">
        <v>1156</v>
      </c>
      <c r="Q1274" s="638">
        <v>0</v>
      </c>
      <c r="R1274" s="638">
        <v>0</v>
      </c>
      <c r="S1274" s="638">
        <v>23797</v>
      </c>
      <c r="T1274" s="638">
        <v>23797</v>
      </c>
      <c r="U1274" s="638">
        <v>6974</v>
      </c>
      <c r="V1274" s="636">
        <v>2022</v>
      </c>
      <c r="W1274" s="640"/>
      <c r="X1274" s="641">
        <f t="shared" si="57"/>
        <v>3.4122454832234013</v>
      </c>
      <c r="Y1274" s="642" t="str">
        <f t="shared" si="58"/>
        <v/>
      </c>
      <c r="Z1274" s="642" t="str">
        <f t="shared" si="59"/>
        <v/>
      </c>
    </row>
    <row r="1275" spans="1:26" s="127" customFormat="1" ht="37.5" hidden="1">
      <c r="A1275" s="636">
        <v>58327</v>
      </c>
      <c r="B1275" s="637" t="s">
        <v>54</v>
      </c>
      <c r="C1275" s="636" t="s">
        <v>2725</v>
      </c>
      <c r="D1275" s="637" t="s">
        <v>1237</v>
      </c>
      <c r="E1275" s="637" t="s">
        <v>1238</v>
      </c>
      <c r="F1275" s="636">
        <v>58300</v>
      </c>
      <c r="G1275" s="637" t="s">
        <v>41</v>
      </c>
      <c r="H1275" s="637" t="s">
        <v>1163</v>
      </c>
      <c r="I1275" s="637" t="s">
        <v>58</v>
      </c>
      <c r="J1275" s="636">
        <v>481</v>
      </c>
      <c r="K1275" s="636">
        <v>5</v>
      </c>
      <c r="L1275" s="637" t="s">
        <v>407</v>
      </c>
      <c r="M1275" s="637" t="s">
        <v>51</v>
      </c>
      <c r="N1275" s="637" t="s">
        <v>39</v>
      </c>
      <c r="O1275" s="637" t="s">
        <v>39</v>
      </c>
      <c r="P1275" s="637" t="s">
        <v>1020</v>
      </c>
      <c r="Q1275" s="638">
        <v>238322</v>
      </c>
      <c r="R1275" s="638">
        <v>101994</v>
      </c>
      <c r="S1275" s="638">
        <v>245472</v>
      </c>
      <c r="T1275" s="638">
        <v>105054</v>
      </c>
      <c r="U1275" s="638">
        <v>13791</v>
      </c>
      <c r="V1275" s="636">
        <v>2022</v>
      </c>
      <c r="W1275" s="640"/>
      <c r="X1275" s="641" t="str">
        <f t="shared" si="57"/>
        <v/>
      </c>
      <c r="Y1275" s="642" t="str">
        <f t="shared" si="58"/>
        <v/>
      </c>
      <c r="Z1275" s="642" t="str">
        <f t="shared" si="59"/>
        <v/>
      </c>
    </row>
    <row r="1276" spans="1:26" s="127" customFormat="1" ht="25">
      <c r="A1276" s="636">
        <v>58362</v>
      </c>
      <c r="B1276" s="637" t="s">
        <v>33</v>
      </c>
      <c r="C1276" s="636" t="s">
        <v>2725</v>
      </c>
      <c r="D1276" s="637" t="s">
        <v>1585</v>
      </c>
      <c r="E1276" s="637" t="s">
        <v>3620</v>
      </c>
      <c r="F1276" s="636">
        <v>57365</v>
      </c>
      <c r="G1276" s="637" t="s">
        <v>81</v>
      </c>
      <c r="H1276" s="637" t="s">
        <v>1163</v>
      </c>
      <c r="I1276" s="637" t="s">
        <v>58</v>
      </c>
      <c r="J1276" s="636">
        <v>22</v>
      </c>
      <c r="K1276" s="636">
        <v>2</v>
      </c>
      <c r="L1276" s="637" t="s">
        <v>52</v>
      </c>
      <c r="M1276" s="637" t="s">
        <v>441</v>
      </c>
      <c r="N1276" s="637" t="s">
        <v>442</v>
      </c>
      <c r="O1276" s="637" t="s">
        <v>442</v>
      </c>
      <c r="P1276" s="637" t="s">
        <v>1156</v>
      </c>
      <c r="Q1276" s="638">
        <v>0</v>
      </c>
      <c r="R1276" s="638">
        <v>0</v>
      </c>
      <c r="S1276" s="638">
        <v>23088</v>
      </c>
      <c r="T1276" s="638">
        <v>23088</v>
      </c>
      <c r="U1276" s="638">
        <v>6767</v>
      </c>
      <c r="V1276" s="636">
        <v>2022</v>
      </c>
      <c r="W1276" s="640"/>
      <c r="X1276" s="641">
        <f t="shared" si="57"/>
        <v>3.4118516329244866</v>
      </c>
      <c r="Y1276" s="642" t="str">
        <f t="shared" si="58"/>
        <v/>
      </c>
      <c r="Z1276" s="642" t="str">
        <f t="shared" si="59"/>
        <v/>
      </c>
    </row>
    <row r="1277" spans="1:26" s="127" customFormat="1" ht="25">
      <c r="A1277" s="636">
        <v>58385</v>
      </c>
      <c r="B1277" s="637" t="s">
        <v>33</v>
      </c>
      <c r="C1277" s="636" t="s">
        <v>2725</v>
      </c>
      <c r="D1277" s="637" t="s">
        <v>1586</v>
      </c>
      <c r="E1277" s="637" t="s">
        <v>1108</v>
      </c>
      <c r="F1277" s="636">
        <v>56769</v>
      </c>
      <c r="G1277" s="637" t="s">
        <v>81</v>
      </c>
      <c r="H1277" s="637" t="s">
        <v>1163</v>
      </c>
      <c r="I1277" s="637" t="s">
        <v>58</v>
      </c>
      <c r="J1277" s="636">
        <v>22</v>
      </c>
      <c r="K1277" s="636">
        <v>2</v>
      </c>
      <c r="L1277" s="637" t="s">
        <v>52</v>
      </c>
      <c r="M1277" s="637" t="s">
        <v>441</v>
      </c>
      <c r="N1277" s="637" t="s">
        <v>442</v>
      </c>
      <c r="O1277" s="637" t="s">
        <v>442</v>
      </c>
      <c r="P1277" s="637" t="s">
        <v>1156</v>
      </c>
      <c r="Q1277" s="638">
        <v>0</v>
      </c>
      <c r="R1277" s="638">
        <v>0</v>
      </c>
      <c r="S1277" s="638">
        <v>12237</v>
      </c>
      <c r="T1277" s="638">
        <v>12237</v>
      </c>
      <c r="U1277" s="638">
        <v>3586</v>
      </c>
      <c r="V1277" s="636">
        <v>2022</v>
      </c>
      <c r="W1277" s="640"/>
      <c r="X1277" s="641">
        <f t="shared" si="57"/>
        <v>3.4124372559955383</v>
      </c>
      <c r="Y1277" s="642" t="str">
        <f t="shared" si="58"/>
        <v/>
      </c>
      <c r="Z1277" s="642" t="str">
        <f t="shared" si="59"/>
        <v/>
      </c>
    </row>
    <row r="1278" spans="1:26" s="127" customFormat="1" ht="25">
      <c r="A1278" s="636">
        <v>58387</v>
      </c>
      <c r="B1278" s="637" t="s">
        <v>33</v>
      </c>
      <c r="C1278" s="636" t="s">
        <v>2725</v>
      </c>
      <c r="D1278" s="637" t="s">
        <v>1669</v>
      </c>
      <c r="E1278" s="637" t="s">
        <v>1882</v>
      </c>
      <c r="F1278" s="636">
        <v>59139</v>
      </c>
      <c r="G1278" s="637" t="s">
        <v>81</v>
      </c>
      <c r="H1278" s="637" t="s">
        <v>1163</v>
      </c>
      <c r="I1278" s="637" t="s">
        <v>58</v>
      </c>
      <c r="J1278" s="636">
        <v>22</v>
      </c>
      <c r="K1278" s="636">
        <v>2</v>
      </c>
      <c r="L1278" s="637" t="s">
        <v>52</v>
      </c>
      <c r="M1278" s="637" t="s">
        <v>441</v>
      </c>
      <c r="N1278" s="637" t="s">
        <v>442</v>
      </c>
      <c r="O1278" s="637" t="s">
        <v>442</v>
      </c>
      <c r="P1278" s="637" t="s">
        <v>1156</v>
      </c>
      <c r="Q1278" s="638">
        <v>0</v>
      </c>
      <c r="R1278" s="638">
        <v>0</v>
      </c>
      <c r="S1278" s="638">
        <v>11352</v>
      </c>
      <c r="T1278" s="638">
        <v>11352</v>
      </c>
      <c r="U1278" s="638">
        <v>3327</v>
      </c>
      <c r="V1278" s="636">
        <v>2022</v>
      </c>
      <c r="W1278" s="640"/>
      <c r="X1278" s="641">
        <f t="shared" si="57"/>
        <v>3.4120829576194769</v>
      </c>
      <c r="Y1278" s="642" t="str">
        <f t="shared" si="58"/>
        <v/>
      </c>
      <c r="Z1278" s="642" t="str">
        <f t="shared" si="59"/>
        <v/>
      </c>
    </row>
    <row r="1279" spans="1:26" s="127" customFormat="1" ht="37.5" hidden="1">
      <c r="A1279" s="636">
        <v>58399</v>
      </c>
      <c r="B1279" s="637" t="s">
        <v>33</v>
      </c>
      <c r="C1279" s="636" t="s">
        <v>2725</v>
      </c>
      <c r="D1279" s="637" t="s">
        <v>1587</v>
      </c>
      <c r="E1279" s="637" t="s">
        <v>1588</v>
      </c>
      <c r="F1279" s="636">
        <v>58383</v>
      </c>
      <c r="G1279" s="637" t="s">
        <v>57</v>
      </c>
      <c r="H1279" s="637" t="s">
        <v>1162</v>
      </c>
      <c r="I1279" s="637" t="s">
        <v>58</v>
      </c>
      <c r="J1279" s="636">
        <v>562</v>
      </c>
      <c r="K1279" s="636">
        <v>4</v>
      </c>
      <c r="L1279" s="637" t="s">
        <v>406</v>
      </c>
      <c r="M1279" s="637" t="s">
        <v>51</v>
      </c>
      <c r="N1279" s="637" t="s">
        <v>68</v>
      </c>
      <c r="O1279" s="637" t="s">
        <v>49</v>
      </c>
      <c r="P1279" s="637" t="s">
        <v>40</v>
      </c>
      <c r="Q1279" s="638">
        <v>0</v>
      </c>
      <c r="R1279" s="638">
        <v>0</v>
      </c>
      <c r="S1279" s="638">
        <v>0</v>
      </c>
      <c r="T1279" s="638">
        <v>0</v>
      </c>
      <c r="U1279" s="638">
        <v>0</v>
      </c>
      <c r="V1279" s="636">
        <v>2022</v>
      </c>
      <c r="W1279" s="640"/>
      <c r="X1279" s="641" t="str">
        <f t="shared" si="57"/>
        <v/>
      </c>
      <c r="Y1279" s="642" t="str">
        <f t="shared" si="58"/>
        <v/>
      </c>
      <c r="Z1279" s="642" t="str">
        <f t="shared" si="59"/>
        <v/>
      </c>
    </row>
    <row r="1280" spans="1:26" s="127" customFormat="1" ht="25">
      <c r="A1280" s="636">
        <v>58403</v>
      </c>
      <c r="B1280" s="637" t="s">
        <v>33</v>
      </c>
      <c r="C1280" s="636" t="s">
        <v>2725</v>
      </c>
      <c r="D1280" s="637" t="s">
        <v>1589</v>
      </c>
      <c r="E1280" s="637" t="s">
        <v>2739</v>
      </c>
      <c r="F1280" s="636">
        <v>63249</v>
      </c>
      <c r="G1280" s="637" t="s">
        <v>81</v>
      </c>
      <c r="H1280" s="637" t="s">
        <v>1163</v>
      </c>
      <c r="I1280" s="637" t="s">
        <v>58</v>
      </c>
      <c r="J1280" s="636">
        <v>22</v>
      </c>
      <c r="K1280" s="636">
        <v>2</v>
      </c>
      <c r="L1280" s="637" t="s">
        <v>52</v>
      </c>
      <c r="M1280" s="637" t="s">
        <v>441</v>
      </c>
      <c r="N1280" s="637" t="s">
        <v>442</v>
      </c>
      <c r="O1280" s="637" t="s">
        <v>442</v>
      </c>
      <c r="P1280" s="637" t="s">
        <v>1156</v>
      </c>
      <c r="Q1280" s="638">
        <v>0</v>
      </c>
      <c r="R1280" s="638">
        <v>0</v>
      </c>
      <c r="S1280" s="638">
        <v>12068</v>
      </c>
      <c r="T1280" s="638">
        <v>12068</v>
      </c>
      <c r="U1280" s="638">
        <v>3537</v>
      </c>
      <c r="V1280" s="636">
        <v>2022</v>
      </c>
      <c r="W1280" s="640"/>
      <c r="X1280" s="641">
        <f t="shared" si="57"/>
        <v>3.4119310149844502</v>
      </c>
      <c r="Y1280" s="642" t="str">
        <f t="shared" si="58"/>
        <v/>
      </c>
      <c r="Z1280" s="642" t="str">
        <f t="shared" si="59"/>
        <v/>
      </c>
    </row>
    <row r="1281" spans="1:26" s="127" customFormat="1" ht="25">
      <c r="A1281" s="636">
        <v>58410</v>
      </c>
      <c r="B1281" s="637" t="s">
        <v>33</v>
      </c>
      <c r="C1281" s="636" t="s">
        <v>2725</v>
      </c>
      <c r="D1281" s="637" t="s">
        <v>1590</v>
      </c>
      <c r="E1281" s="637" t="s">
        <v>2739</v>
      </c>
      <c r="F1281" s="636">
        <v>63249</v>
      </c>
      <c r="G1281" s="637" t="s">
        <v>81</v>
      </c>
      <c r="H1281" s="637" t="s">
        <v>1163</v>
      </c>
      <c r="I1281" s="637" t="s">
        <v>58</v>
      </c>
      <c r="J1281" s="636">
        <v>22</v>
      </c>
      <c r="K1281" s="636">
        <v>2</v>
      </c>
      <c r="L1281" s="637" t="s">
        <v>52</v>
      </c>
      <c r="M1281" s="637" t="s">
        <v>441</v>
      </c>
      <c r="N1281" s="637" t="s">
        <v>442</v>
      </c>
      <c r="O1281" s="637" t="s">
        <v>442</v>
      </c>
      <c r="P1281" s="637" t="s">
        <v>1156</v>
      </c>
      <c r="Q1281" s="638">
        <v>0</v>
      </c>
      <c r="R1281" s="638">
        <v>0</v>
      </c>
      <c r="S1281" s="638">
        <v>16578</v>
      </c>
      <c r="T1281" s="638">
        <v>16578</v>
      </c>
      <c r="U1281" s="638">
        <v>4859</v>
      </c>
      <c r="V1281" s="636">
        <v>2022</v>
      </c>
      <c r="W1281" s="640"/>
      <c r="X1281" s="641">
        <f t="shared" si="57"/>
        <v>3.4118131302737189</v>
      </c>
      <c r="Y1281" s="642" t="str">
        <f t="shared" si="58"/>
        <v/>
      </c>
      <c r="Z1281" s="642" t="str">
        <f t="shared" si="59"/>
        <v/>
      </c>
    </row>
    <row r="1282" spans="1:26" s="127" customFormat="1" ht="25">
      <c r="A1282" s="636">
        <v>58411</v>
      </c>
      <c r="B1282" s="637" t="s">
        <v>33</v>
      </c>
      <c r="C1282" s="636" t="s">
        <v>2725</v>
      </c>
      <c r="D1282" s="637" t="s">
        <v>1591</v>
      </c>
      <c r="E1282" s="637" t="s">
        <v>2739</v>
      </c>
      <c r="F1282" s="636">
        <v>63249</v>
      </c>
      <c r="G1282" s="637" t="s">
        <v>81</v>
      </c>
      <c r="H1282" s="637" t="s">
        <v>1163</v>
      </c>
      <c r="I1282" s="637" t="s">
        <v>58</v>
      </c>
      <c r="J1282" s="636">
        <v>22</v>
      </c>
      <c r="K1282" s="636">
        <v>2</v>
      </c>
      <c r="L1282" s="637" t="s">
        <v>52</v>
      </c>
      <c r="M1282" s="637" t="s">
        <v>441</v>
      </c>
      <c r="N1282" s="637" t="s">
        <v>442</v>
      </c>
      <c r="O1282" s="637" t="s">
        <v>442</v>
      </c>
      <c r="P1282" s="637" t="s">
        <v>1156</v>
      </c>
      <c r="Q1282" s="638">
        <v>0</v>
      </c>
      <c r="R1282" s="638">
        <v>0</v>
      </c>
      <c r="S1282" s="638">
        <v>9345</v>
      </c>
      <c r="T1282" s="638">
        <v>9345</v>
      </c>
      <c r="U1282" s="638">
        <v>2739</v>
      </c>
      <c r="V1282" s="636">
        <v>2022</v>
      </c>
      <c r="W1282" s="640"/>
      <c r="X1282" s="641">
        <f t="shared" si="57"/>
        <v>3.4118291347207008</v>
      </c>
      <c r="Y1282" s="642" t="str">
        <f t="shared" si="58"/>
        <v/>
      </c>
      <c r="Z1282" s="642" t="str">
        <f t="shared" si="59"/>
        <v/>
      </c>
    </row>
    <row r="1283" spans="1:26" s="127" customFormat="1" ht="25">
      <c r="A1283" s="636">
        <v>58412</v>
      </c>
      <c r="B1283" s="637" t="s">
        <v>33</v>
      </c>
      <c r="C1283" s="636" t="s">
        <v>2725</v>
      </c>
      <c r="D1283" s="637" t="s">
        <v>1670</v>
      </c>
      <c r="E1283" s="637" t="s">
        <v>2739</v>
      </c>
      <c r="F1283" s="636">
        <v>63249</v>
      </c>
      <c r="G1283" s="637" t="s">
        <v>81</v>
      </c>
      <c r="H1283" s="637" t="s">
        <v>1163</v>
      </c>
      <c r="I1283" s="637" t="s">
        <v>58</v>
      </c>
      <c r="J1283" s="636">
        <v>22</v>
      </c>
      <c r="K1283" s="636">
        <v>2</v>
      </c>
      <c r="L1283" s="637" t="s">
        <v>52</v>
      </c>
      <c r="M1283" s="637" t="s">
        <v>441</v>
      </c>
      <c r="N1283" s="637" t="s">
        <v>442</v>
      </c>
      <c r="O1283" s="637" t="s">
        <v>442</v>
      </c>
      <c r="P1283" s="637" t="s">
        <v>1156</v>
      </c>
      <c r="Q1283" s="638">
        <v>0</v>
      </c>
      <c r="R1283" s="638">
        <v>0</v>
      </c>
      <c r="S1283" s="638">
        <v>5306</v>
      </c>
      <c r="T1283" s="638">
        <v>5306</v>
      </c>
      <c r="U1283" s="638">
        <v>1555</v>
      </c>
      <c r="V1283" s="636">
        <v>2022</v>
      </c>
      <c r="W1283" s="640"/>
      <c r="X1283" s="641">
        <f t="shared" si="57"/>
        <v>3.4122186495176847</v>
      </c>
      <c r="Y1283" s="642" t="str">
        <f t="shared" si="58"/>
        <v/>
      </c>
      <c r="Z1283" s="642" t="str">
        <f t="shared" si="59"/>
        <v/>
      </c>
    </row>
    <row r="1284" spans="1:26" s="127" customFormat="1" ht="25">
      <c r="A1284" s="636">
        <v>58423</v>
      </c>
      <c r="B1284" s="637" t="s">
        <v>33</v>
      </c>
      <c r="C1284" s="636" t="s">
        <v>2725</v>
      </c>
      <c r="D1284" s="637" t="s">
        <v>1671</v>
      </c>
      <c r="E1284" s="637" t="s">
        <v>2739</v>
      </c>
      <c r="F1284" s="636">
        <v>63249</v>
      </c>
      <c r="G1284" s="637" t="s">
        <v>81</v>
      </c>
      <c r="H1284" s="637" t="s">
        <v>1163</v>
      </c>
      <c r="I1284" s="637" t="s">
        <v>58</v>
      </c>
      <c r="J1284" s="636">
        <v>22</v>
      </c>
      <c r="K1284" s="636">
        <v>2</v>
      </c>
      <c r="L1284" s="637" t="s">
        <v>52</v>
      </c>
      <c r="M1284" s="637" t="s">
        <v>441</v>
      </c>
      <c r="N1284" s="637" t="s">
        <v>442</v>
      </c>
      <c r="O1284" s="637" t="s">
        <v>442</v>
      </c>
      <c r="P1284" s="637" t="s">
        <v>1156</v>
      </c>
      <c r="Q1284" s="638">
        <v>0</v>
      </c>
      <c r="R1284" s="638">
        <v>0</v>
      </c>
      <c r="S1284" s="638">
        <v>13712</v>
      </c>
      <c r="T1284" s="638">
        <v>13712</v>
      </c>
      <c r="U1284" s="638">
        <v>4019</v>
      </c>
      <c r="V1284" s="636">
        <v>2022</v>
      </c>
      <c r="W1284" s="640"/>
      <c r="X1284" s="641">
        <f t="shared" si="57"/>
        <v>3.4117939786016422</v>
      </c>
      <c r="Y1284" s="642" t="str">
        <f t="shared" si="58"/>
        <v/>
      </c>
      <c r="Z1284" s="642" t="str">
        <f t="shared" si="59"/>
        <v/>
      </c>
    </row>
    <row r="1285" spans="1:26" s="127" customFormat="1" ht="37.5" hidden="1">
      <c r="A1285" s="636">
        <v>58507</v>
      </c>
      <c r="B1285" s="637" t="s">
        <v>54</v>
      </c>
      <c r="C1285" s="636" t="s">
        <v>2725</v>
      </c>
      <c r="D1285" s="637" t="s">
        <v>1592</v>
      </c>
      <c r="E1285" s="637" t="s">
        <v>1593</v>
      </c>
      <c r="F1285" s="636">
        <v>58487</v>
      </c>
      <c r="G1285" s="637" t="s">
        <v>57</v>
      </c>
      <c r="H1285" s="637" t="s">
        <v>1162</v>
      </c>
      <c r="I1285" s="637" t="s">
        <v>58</v>
      </c>
      <c r="J1285" s="636">
        <v>622</v>
      </c>
      <c r="K1285" s="636">
        <v>5</v>
      </c>
      <c r="L1285" s="637" t="s">
        <v>407</v>
      </c>
      <c r="M1285" s="637" t="s">
        <v>50</v>
      </c>
      <c r="N1285" s="637" t="s">
        <v>46</v>
      </c>
      <c r="O1285" s="637" t="s">
        <v>46</v>
      </c>
      <c r="P1285" s="637" t="s">
        <v>47</v>
      </c>
      <c r="Q1285" s="638">
        <v>3771</v>
      </c>
      <c r="R1285" s="638">
        <v>2927</v>
      </c>
      <c r="S1285" s="638">
        <v>20745</v>
      </c>
      <c r="T1285" s="638">
        <v>16094</v>
      </c>
      <c r="U1285" s="638">
        <v>1299.5409999999999</v>
      </c>
      <c r="V1285" s="636">
        <v>2022</v>
      </c>
      <c r="W1285" s="640"/>
      <c r="X1285" s="641" t="str">
        <f t="shared" si="57"/>
        <v/>
      </c>
      <c r="Y1285" s="642" t="str">
        <f t="shared" si="58"/>
        <v/>
      </c>
      <c r="Z1285" s="642">
        <f t="shared" si="59"/>
        <v>6.1397417656281368</v>
      </c>
    </row>
    <row r="1286" spans="1:26" s="127" customFormat="1" ht="37.5" hidden="1">
      <c r="A1286" s="636">
        <v>58507</v>
      </c>
      <c r="B1286" s="637" t="s">
        <v>54</v>
      </c>
      <c r="C1286" s="636" t="s">
        <v>2725</v>
      </c>
      <c r="D1286" s="637" t="s">
        <v>1592</v>
      </c>
      <c r="E1286" s="637" t="s">
        <v>1593</v>
      </c>
      <c r="F1286" s="636">
        <v>58487</v>
      </c>
      <c r="G1286" s="637" t="s">
        <v>57</v>
      </c>
      <c r="H1286" s="637" t="s">
        <v>1162</v>
      </c>
      <c r="I1286" s="637" t="s">
        <v>58</v>
      </c>
      <c r="J1286" s="636">
        <v>622</v>
      </c>
      <c r="K1286" s="636">
        <v>5</v>
      </c>
      <c r="L1286" s="637" t="s">
        <v>407</v>
      </c>
      <c r="M1286" s="637" t="s">
        <v>50</v>
      </c>
      <c r="N1286" s="637" t="s">
        <v>39</v>
      </c>
      <c r="O1286" s="637" t="s">
        <v>39</v>
      </c>
      <c r="P1286" s="637" t="s">
        <v>1020</v>
      </c>
      <c r="Q1286" s="638">
        <v>390900</v>
      </c>
      <c r="R1286" s="638">
        <v>303335</v>
      </c>
      <c r="S1286" s="638">
        <v>402629</v>
      </c>
      <c r="T1286" s="638">
        <v>312433</v>
      </c>
      <c r="U1286" s="638">
        <v>25227.458999999999</v>
      </c>
      <c r="V1286" s="636">
        <v>2022</v>
      </c>
      <c r="W1286" s="640"/>
      <c r="X1286" s="641" t="str">
        <f t="shared" si="57"/>
        <v/>
      </c>
      <c r="Y1286" s="642">
        <f t="shared" si="58"/>
        <v>6.1384425475553321</v>
      </c>
      <c r="Z1286" s="642" t="str">
        <f t="shared" si="59"/>
        <v/>
      </c>
    </row>
    <row r="1287" spans="1:26" s="127" customFormat="1" ht="37.5" hidden="1">
      <c r="A1287" s="636">
        <v>58507</v>
      </c>
      <c r="B1287" s="637" t="s">
        <v>54</v>
      </c>
      <c r="C1287" s="636" t="s">
        <v>2725</v>
      </c>
      <c r="D1287" s="637" t="s">
        <v>1592</v>
      </c>
      <c r="E1287" s="637" t="s">
        <v>1593</v>
      </c>
      <c r="F1287" s="636">
        <v>58487</v>
      </c>
      <c r="G1287" s="637" t="s">
        <v>57</v>
      </c>
      <c r="H1287" s="637" t="s">
        <v>1162</v>
      </c>
      <c r="I1287" s="637" t="s">
        <v>58</v>
      </c>
      <c r="J1287" s="636">
        <v>622</v>
      </c>
      <c r="K1287" s="636">
        <v>5</v>
      </c>
      <c r="L1287" s="637" t="s">
        <v>407</v>
      </c>
      <c r="M1287" s="637" t="s">
        <v>51</v>
      </c>
      <c r="N1287" s="637" t="s">
        <v>46</v>
      </c>
      <c r="O1287" s="637" t="s">
        <v>46</v>
      </c>
      <c r="P1287" s="637" t="s">
        <v>47</v>
      </c>
      <c r="Q1287" s="638">
        <v>4845</v>
      </c>
      <c r="R1287" s="638">
        <v>155</v>
      </c>
      <c r="S1287" s="638">
        <v>26650</v>
      </c>
      <c r="T1287" s="638">
        <v>854</v>
      </c>
      <c r="U1287" s="638">
        <v>72.564999999999998</v>
      </c>
      <c r="V1287" s="636">
        <v>2022</v>
      </c>
      <c r="W1287" s="640"/>
      <c r="X1287" s="641" t="str">
        <f t="shared" si="57"/>
        <v/>
      </c>
      <c r="Y1287" s="642" t="str">
        <f t="shared" si="58"/>
        <v/>
      </c>
      <c r="Z1287" s="642" t="str">
        <f t="shared" si="59"/>
        <v/>
      </c>
    </row>
    <row r="1288" spans="1:26" s="127" customFormat="1" ht="37.5" hidden="1">
      <c r="A1288" s="636">
        <v>58507</v>
      </c>
      <c r="B1288" s="637" t="s">
        <v>54</v>
      </c>
      <c r="C1288" s="636" t="s">
        <v>2725</v>
      </c>
      <c r="D1288" s="637" t="s">
        <v>1592</v>
      </c>
      <c r="E1288" s="637" t="s">
        <v>1593</v>
      </c>
      <c r="F1288" s="636">
        <v>58487</v>
      </c>
      <c r="G1288" s="637" t="s">
        <v>57</v>
      </c>
      <c r="H1288" s="637" t="s">
        <v>1162</v>
      </c>
      <c r="I1288" s="637" t="s">
        <v>58</v>
      </c>
      <c r="J1288" s="636">
        <v>622</v>
      </c>
      <c r="K1288" s="636">
        <v>5</v>
      </c>
      <c r="L1288" s="637" t="s">
        <v>407</v>
      </c>
      <c r="M1288" s="637" t="s">
        <v>51</v>
      </c>
      <c r="N1288" s="637" t="s">
        <v>39</v>
      </c>
      <c r="O1288" s="637" t="s">
        <v>39</v>
      </c>
      <c r="P1288" s="637" t="s">
        <v>1020</v>
      </c>
      <c r="Q1288" s="638">
        <v>90000</v>
      </c>
      <c r="R1288" s="638">
        <v>2883</v>
      </c>
      <c r="S1288" s="638">
        <v>92700</v>
      </c>
      <c r="T1288" s="638">
        <v>2970</v>
      </c>
      <c r="U1288" s="638">
        <v>252.435</v>
      </c>
      <c r="V1288" s="636">
        <v>2022</v>
      </c>
      <c r="W1288" s="640"/>
      <c r="X1288" s="641" t="str">
        <f t="shared" ref="X1288:X1351" si="60">IF(OR(K1288&gt;3,T1288=0,NOT(U1288&gt;0)),"",T1288/U1288)</f>
        <v/>
      </c>
      <c r="Y1288" s="642" t="str">
        <f t="shared" ref="Y1288:Y1351" si="61">IF(AND($M1288=$Y$2,$N1288=$Y$3,NOT($Q1288=$R1288),NOT($U1288=0)),IF($K1288=5,$S1288/($U1288+(8/5)*$U1288),IF($K1288=7,$S1288/($U1288+(29/25)*$U1288),"")),"")</f>
        <v/>
      </c>
      <c r="Z1288" s="642" t="str">
        <f t="shared" si="59"/>
        <v/>
      </c>
    </row>
    <row r="1289" spans="1:26" s="127" customFormat="1" ht="25">
      <c r="A1289" s="636">
        <v>58534</v>
      </c>
      <c r="B1289" s="637" t="s">
        <v>33</v>
      </c>
      <c r="C1289" s="636" t="s">
        <v>2725</v>
      </c>
      <c r="D1289" s="637" t="s">
        <v>1371</v>
      </c>
      <c r="E1289" s="637" t="s">
        <v>3623</v>
      </c>
      <c r="F1289" s="636">
        <v>61944</v>
      </c>
      <c r="G1289" s="637" t="s">
        <v>81</v>
      </c>
      <c r="H1289" s="637" t="s">
        <v>1163</v>
      </c>
      <c r="I1289" s="637" t="s">
        <v>58</v>
      </c>
      <c r="J1289" s="636">
        <v>22</v>
      </c>
      <c r="K1289" s="636">
        <v>2</v>
      </c>
      <c r="L1289" s="637" t="s">
        <v>52</v>
      </c>
      <c r="M1289" s="637" t="s">
        <v>441</v>
      </c>
      <c r="N1289" s="637" t="s">
        <v>442</v>
      </c>
      <c r="O1289" s="637" t="s">
        <v>442</v>
      </c>
      <c r="P1289" s="637" t="s">
        <v>1156</v>
      </c>
      <c r="Q1289" s="638">
        <v>0</v>
      </c>
      <c r="R1289" s="638">
        <v>0</v>
      </c>
      <c r="S1289" s="638">
        <v>17426</v>
      </c>
      <c r="T1289" s="638">
        <v>17426</v>
      </c>
      <c r="U1289" s="638">
        <v>5107</v>
      </c>
      <c r="V1289" s="636">
        <v>2022</v>
      </c>
      <c r="W1289" s="640"/>
      <c r="X1289" s="641">
        <f t="shared" si="60"/>
        <v>3.4121793616604661</v>
      </c>
      <c r="Y1289" s="642" t="str">
        <f t="shared" si="61"/>
        <v/>
      </c>
      <c r="Z1289" s="642" t="str">
        <f t="shared" si="59"/>
        <v/>
      </c>
    </row>
    <row r="1290" spans="1:26" s="127" customFormat="1" ht="25">
      <c r="A1290" s="636">
        <v>58541</v>
      </c>
      <c r="B1290" s="637" t="s">
        <v>33</v>
      </c>
      <c r="C1290" s="636" t="s">
        <v>2725</v>
      </c>
      <c r="D1290" s="637" t="s">
        <v>1594</v>
      </c>
      <c r="E1290" s="637" t="s">
        <v>1594</v>
      </c>
      <c r="F1290" s="636">
        <v>58511</v>
      </c>
      <c r="G1290" s="637" t="s">
        <v>89</v>
      </c>
      <c r="H1290" s="637" t="s">
        <v>1163</v>
      </c>
      <c r="I1290" s="637" t="s">
        <v>58</v>
      </c>
      <c r="J1290" s="636">
        <v>22</v>
      </c>
      <c r="K1290" s="636">
        <v>2</v>
      </c>
      <c r="L1290" s="637" t="s">
        <v>52</v>
      </c>
      <c r="M1290" s="637" t="s">
        <v>441</v>
      </c>
      <c r="N1290" s="637" t="s">
        <v>442</v>
      </c>
      <c r="O1290" s="637" t="s">
        <v>442</v>
      </c>
      <c r="P1290" s="637" t="s">
        <v>1156</v>
      </c>
      <c r="Q1290" s="638">
        <v>0</v>
      </c>
      <c r="R1290" s="638">
        <v>0</v>
      </c>
      <c r="S1290" s="638">
        <v>9722</v>
      </c>
      <c r="T1290" s="638">
        <v>9722</v>
      </c>
      <c r="U1290" s="638">
        <v>2849</v>
      </c>
      <c r="V1290" s="636">
        <v>2022</v>
      </c>
      <c r="W1290" s="640"/>
      <c r="X1290" s="641">
        <f t="shared" si="60"/>
        <v>3.4124254124254123</v>
      </c>
      <c r="Y1290" s="642" t="str">
        <f t="shared" si="61"/>
        <v/>
      </c>
      <c r="Z1290" s="642" t="str">
        <f t="shared" si="59"/>
        <v/>
      </c>
    </row>
    <row r="1291" spans="1:26" s="127" customFormat="1" ht="25">
      <c r="A1291" s="636">
        <v>58550</v>
      </c>
      <c r="B1291" s="637" t="s">
        <v>33</v>
      </c>
      <c r="C1291" s="636" t="s">
        <v>2725</v>
      </c>
      <c r="D1291" s="637" t="s">
        <v>1595</v>
      </c>
      <c r="E1291" s="637" t="s">
        <v>3624</v>
      </c>
      <c r="F1291" s="636">
        <v>58491</v>
      </c>
      <c r="G1291" s="637" t="s">
        <v>57</v>
      </c>
      <c r="H1291" s="637" t="s">
        <v>1162</v>
      </c>
      <c r="I1291" s="637" t="s">
        <v>58</v>
      </c>
      <c r="J1291" s="636">
        <v>22</v>
      </c>
      <c r="K1291" s="636">
        <v>2</v>
      </c>
      <c r="L1291" s="637" t="s">
        <v>52</v>
      </c>
      <c r="M1291" s="637" t="s">
        <v>441</v>
      </c>
      <c r="N1291" s="637" t="s">
        <v>442</v>
      </c>
      <c r="O1291" s="637" t="s">
        <v>442</v>
      </c>
      <c r="P1291" s="637" t="s">
        <v>1156</v>
      </c>
      <c r="Q1291" s="638">
        <v>0</v>
      </c>
      <c r="R1291" s="638">
        <v>0</v>
      </c>
      <c r="S1291" s="638">
        <v>11943</v>
      </c>
      <c r="T1291" s="638">
        <v>11943</v>
      </c>
      <c r="U1291" s="638">
        <v>3501</v>
      </c>
      <c r="V1291" s="636">
        <v>2022</v>
      </c>
      <c r="W1291" s="640"/>
      <c r="X1291" s="641">
        <f t="shared" si="60"/>
        <v>3.4113110539845759</v>
      </c>
      <c r="Y1291" s="642" t="str">
        <f t="shared" si="61"/>
        <v/>
      </c>
      <c r="Z1291" s="642" t="str">
        <f t="shared" si="59"/>
        <v/>
      </c>
    </row>
    <row r="1292" spans="1:26" s="127" customFormat="1" ht="25">
      <c r="A1292" s="636">
        <v>58551</v>
      </c>
      <c r="B1292" s="637" t="s">
        <v>33</v>
      </c>
      <c r="C1292" s="636" t="s">
        <v>2725</v>
      </c>
      <c r="D1292" s="637" t="s">
        <v>2740</v>
      </c>
      <c r="E1292" s="637" t="s">
        <v>2740</v>
      </c>
      <c r="F1292" s="636">
        <v>63130</v>
      </c>
      <c r="G1292" s="637" t="s">
        <v>41</v>
      </c>
      <c r="H1292" s="637" t="s">
        <v>1163</v>
      </c>
      <c r="I1292" s="637" t="s">
        <v>58</v>
      </c>
      <c r="J1292" s="636">
        <v>22</v>
      </c>
      <c r="K1292" s="636">
        <v>2</v>
      </c>
      <c r="L1292" s="637" t="s">
        <v>52</v>
      </c>
      <c r="M1292" s="637" t="s">
        <v>1232</v>
      </c>
      <c r="N1292" s="637" t="s">
        <v>39</v>
      </c>
      <c r="O1292" s="637" t="s">
        <v>39</v>
      </c>
      <c r="P1292" s="637" t="s">
        <v>1020</v>
      </c>
      <c r="Q1292" s="638">
        <v>957705</v>
      </c>
      <c r="R1292" s="638">
        <v>957705</v>
      </c>
      <c r="S1292" s="638">
        <v>983561</v>
      </c>
      <c r="T1292" s="638">
        <v>983561</v>
      </c>
      <c r="U1292" s="638">
        <v>111568</v>
      </c>
      <c r="V1292" s="636">
        <v>2022</v>
      </c>
      <c r="W1292" s="640"/>
      <c r="X1292" s="641">
        <f t="shared" si="60"/>
        <v>8.8157984368277642</v>
      </c>
      <c r="Y1292" s="642" t="str">
        <f t="shared" si="61"/>
        <v/>
      </c>
      <c r="Z1292" s="642" t="str">
        <f t="shared" si="59"/>
        <v/>
      </c>
    </row>
    <row r="1293" spans="1:26" s="127" customFormat="1" ht="25">
      <c r="A1293" s="636">
        <v>58554</v>
      </c>
      <c r="B1293" s="637" t="s">
        <v>33</v>
      </c>
      <c r="C1293" s="636" t="s">
        <v>2725</v>
      </c>
      <c r="D1293" s="637" t="s">
        <v>1672</v>
      </c>
      <c r="E1293" s="637" t="s">
        <v>3043</v>
      </c>
      <c r="F1293" s="636">
        <v>60453</v>
      </c>
      <c r="G1293" s="637" t="s">
        <v>41</v>
      </c>
      <c r="H1293" s="637" t="s">
        <v>1163</v>
      </c>
      <c r="I1293" s="637" t="s">
        <v>58</v>
      </c>
      <c r="J1293" s="636">
        <v>22</v>
      </c>
      <c r="K1293" s="636">
        <v>2</v>
      </c>
      <c r="L1293" s="637" t="s">
        <v>52</v>
      </c>
      <c r="M1293" s="637" t="s">
        <v>441</v>
      </c>
      <c r="N1293" s="637" t="s">
        <v>442</v>
      </c>
      <c r="O1293" s="637" t="s">
        <v>442</v>
      </c>
      <c r="P1293" s="637" t="s">
        <v>1156</v>
      </c>
      <c r="Q1293" s="638">
        <v>0</v>
      </c>
      <c r="R1293" s="638">
        <v>0</v>
      </c>
      <c r="S1293" s="638">
        <v>24426</v>
      </c>
      <c r="T1293" s="638">
        <v>24426</v>
      </c>
      <c r="U1293" s="638">
        <v>7159</v>
      </c>
      <c r="V1293" s="636">
        <v>2022</v>
      </c>
      <c r="W1293" s="640"/>
      <c r="X1293" s="641">
        <f t="shared" si="60"/>
        <v>3.4119290403687668</v>
      </c>
      <c r="Y1293" s="642" t="str">
        <f t="shared" si="61"/>
        <v/>
      </c>
      <c r="Z1293" s="642" t="str">
        <f t="shared" si="59"/>
        <v/>
      </c>
    </row>
    <row r="1294" spans="1:26" s="127" customFormat="1" ht="25">
      <c r="A1294" s="636">
        <v>58561</v>
      </c>
      <c r="B1294" s="637" t="s">
        <v>33</v>
      </c>
      <c r="C1294" s="636" t="s">
        <v>2725</v>
      </c>
      <c r="D1294" s="637" t="s">
        <v>1596</v>
      </c>
      <c r="E1294" s="637" t="s">
        <v>1108</v>
      </c>
      <c r="F1294" s="636">
        <v>56769</v>
      </c>
      <c r="G1294" s="637" t="s">
        <v>81</v>
      </c>
      <c r="H1294" s="637" t="s">
        <v>1163</v>
      </c>
      <c r="I1294" s="637" t="s">
        <v>58</v>
      </c>
      <c r="J1294" s="636">
        <v>22</v>
      </c>
      <c r="K1294" s="636">
        <v>2</v>
      </c>
      <c r="L1294" s="637" t="s">
        <v>52</v>
      </c>
      <c r="M1294" s="637" t="s">
        <v>441</v>
      </c>
      <c r="N1294" s="637" t="s">
        <v>442</v>
      </c>
      <c r="O1294" s="637" t="s">
        <v>442</v>
      </c>
      <c r="P1294" s="637" t="s">
        <v>1156</v>
      </c>
      <c r="Q1294" s="638">
        <v>0</v>
      </c>
      <c r="R1294" s="638">
        <v>0</v>
      </c>
      <c r="S1294" s="638">
        <v>8209</v>
      </c>
      <c r="T1294" s="638">
        <v>8209</v>
      </c>
      <c r="U1294" s="638">
        <v>2406</v>
      </c>
      <c r="V1294" s="636">
        <v>2022</v>
      </c>
      <c r="W1294" s="640"/>
      <c r="X1294" s="641">
        <f t="shared" si="60"/>
        <v>3.4118869492934332</v>
      </c>
      <c r="Y1294" s="642" t="str">
        <f t="shared" si="61"/>
        <v/>
      </c>
      <c r="Z1294" s="642" t="str">
        <f t="shared" si="59"/>
        <v/>
      </c>
    </row>
    <row r="1295" spans="1:26" s="127" customFormat="1" ht="25">
      <c r="A1295" s="636">
        <v>58568</v>
      </c>
      <c r="B1295" s="637" t="s">
        <v>33</v>
      </c>
      <c r="C1295" s="636" t="s">
        <v>2725</v>
      </c>
      <c r="D1295" s="637" t="s">
        <v>1673</v>
      </c>
      <c r="E1295" s="637" t="s">
        <v>1126</v>
      </c>
      <c r="F1295" s="636">
        <v>56999</v>
      </c>
      <c r="G1295" s="637" t="s">
        <v>81</v>
      </c>
      <c r="H1295" s="637" t="s">
        <v>1163</v>
      </c>
      <c r="I1295" s="637" t="s">
        <v>58</v>
      </c>
      <c r="J1295" s="636">
        <v>22</v>
      </c>
      <c r="K1295" s="636">
        <v>1</v>
      </c>
      <c r="L1295" s="637" t="s">
        <v>34</v>
      </c>
      <c r="M1295" s="637" t="s">
        <v>441</v>
      </c>
      <c r="N1295" s="637" t="s">
        <v>442</v>
      </c>
      <c r="O1295" s="637" t="s">
        <v>442</v>
      </c>
      <c r="P1295" s="637" t="s">
        <v>1156</v>
      </c>
      <c r="Q1295" s="638">
        <v>0</v>
      </c>
      <c r="R1295" s="638">
        <v>0</v>
      </c>
      <c r="S1295" s="638">
        <v>17501</v>
      </c>
      <c r="T1295" s="638">
        <v>17501</v>
      </c>
      <c r="U1295" s="638">
        <v>5129</v>
      </c>
      <c r="V1295" s="636">
        <v>2022</v>
      </c>
      <c r="W1295" s="640"/>
      <c r="X1295" s="641">
        <f t="shared" si="60"/>
        <v>3.4121661142522908</v>
      </c>
      <c r="Y1295" s="642" t="str">
        <f t="shared" si="61"/>
        <v/>
      </c>
      <c r="Z1295" s="642" t="str">
        <f t="shared" si="59"/>
        <v/>
      </c>
    </row>
    <row r="1296" spans="1:26" s="127" customFormat="1" ht="25">
      <c r="A1296" s="636">
        <v>58583</v>
      </c>
      <c r="B1296" s="637" t="s">
        <v>33</v>
      </c>
      <c r="C1296" s="636" t="s">
        <v>2725</v>
      </c>
      <c r="D1296" s="637" t="s">
        <v>1597</v>
      </c>
      <c r="E1296" s="637" t="s">
        <v>1950</v>
      </c>
      <c r="F1296" s="636">
        <v>60281</v>
      </c>
      <c r="G1296" s="637" t="s">
        <v>130</v>
      </c>
      <c r="H1296" s="637" t="s">
        <v>1163</v>
      </c>
      <c r="I1296" s="637" t="s">
        <v>58</v>
      </c>
      <c r="J1296" s="636">
        <v>22</v>
      </c>
      <c r="K1296" s="636">
        <v>2</v>
      </c>
      <c r="L1296" s="637" t="s">
        <v>52</v>
      </c>
      <c r="M1296" s="637" t="s">
        <v>441</v>
      </c>
      <c r="N1296" s="637" t="s">
        <v>442</v>
      </c>
      <c r="O1296" s="637" t="s">
        <v>442</v>
      </c>
      <c r="P1296" s="637" t="s">
        <v>1156</v>
      </c>
      <c r="Q1296" s="638">
        <v>0</v>
      </c>
      <c r="R1296" s="638">
        <v>0</v>
      </c>
      <c r="S1296" s="638">
        <v>11568</v>
      </c>
      <c r="T1296" s="638">
        <v>11568</v>
      </c>
      <c r="U1296" s="638">
        <v>3390</v>
      </c>
      <c r="V1296" s="636">
        <v>2022</v>
      </c>
      <c r="W1296" s="640"/>
      <c r="X1296" s="641">
        <f t="shared" si="60"/>
        <v>3.4123893805309735</v>
      </c>
      <c r="Y1296" s="642" t="str">
        <f t="shared" si="61"/>
        <v/>
      </c>
      <c r="Z1296" s="642" t="str">
        <f t="shared" ref="Z1296:Z1359" si="62">IF(AND($M1296=$Y$2,$N1296=$Y$4,NOT($Q1296=$R1296),NOT($U1296=0)),IF($K1296=5,$S1296/($U1296+(8/5)*$U1296),IF($K1296=7,$S1296/($U1296+(29/25)*$U1296),"")),"")</f>
        <v/>
      </c>
    </row>
    <row r="1297" spans="1:26" s="127" customFormat="1" ht="25">
      <c r="A1297" s="636">
        <v>58586</v>
      </c>
      <c r="B1297" s="637" t="s">
        <v>33</v>
      </c>
      <c r="C1297" s="636" t="s">
        <v>2725</v>
      </c>
      <c r="D1297" s="637" t="s">
        <v>2278</v>
      </c>
      <c r="E1297" s="637" t="s">
        <v>1883</v>
      </c>
      <c r="F1297" s="636">
        <v>60947</v>
      </c>
      <c r="G1297" s="637" t="s">
        <v>81</v>
      </c>
      <c r="H1297" s="637" t="s">
        <v>1163</v>
      </c>
      <c r="I1297" s="637" t="s">
        <v>58</v>
      </c>
      <c r="J1297" s="636">
        <v>22</v>
      </c>
      <c r="K1297" s="636">
        <v>2</v>
      </c>
      <c r="L1297" s="637" t="s">
        <v>52</v>
      </c>
      <c r="M1297" s="637" t="s">
        <v>441</v>
      </c>
      <c r="N1297" s="637" t="s">
        <v>442</v>
      </c>
      <c r="O1297" s="637" t="s">
        <v>442</v>
      </c>
      <c r="P1297" s="637" t="s">
        <v>1156</v>
      </c>
      <c r="Q1297" s="638">
        <v>0</v>
      </c>
      <c r="R1297" s="638">
        <v>0</v>
      </c>
      <c r="S1297" s="638">
        <v>4498</v>
      </c>
      <c r="T1297" s="638">
        <v>4498</v>
      </c>
      <c r="U1297" s="638">
        <v>1319</v>
      </c>
      <c r="V1297" s="636">
        <v>2022</v>
      </c>
      <c r="W1297" s="640"/>
      <c r="X1297" s="641">
        <f t="shared" si="60"/>
        <v>3.4101592115238817</v>
      </c>
      <c r="Y1297" s="642" t="str">
        <f t="shared" si="61"/>
        <v/>
      </c>
      <c r="Z1297" s="642" t="str">
        <f t="shared" si="62"/>
        <v/>
      </c>
    </row>
    <row r="1298" spans="1:26" s="127" customFormat="1" ht="25">
      <c r="A1298" s="636">
        <v>58608</v>
      </c>
      <c r="B1298" s="637" t="s">
        <v>33</v>
      </c>
      <c r="C1298" s="636" t="s">
        <v>2725</v>
      </c>
      <c r="D1298" s="637" t="s">
        <v>1810</v>
      </c>
      <c r="E1298" s="637" t="s">
        <v>1811</v>
      </c>
      <c r="F1298" s="636">
        <v>58565</v>
      </c>
      <c r="G1298" s="637" t="s">
        <v>90</v>
      </c>
      <c r="H1298" s="637" t="s">
        <v>1163</v>
      </c>
      <c r="I1298" s="637" t="s">
        <v>58</v>
      </c>
      <c r="J1298" s="636">
        <v>22</v>
      </c>
      <c r="K1298" s="636">
        <v>2</v>
      </c>
      <c r="L1298" s="637" t="s">
        <v>52</v>
      </c>
      <c r="M1298" s="637" t="s">
        <v>71</v>
      </c>
      <c r="N1298" s="637" t="s">
        <v>72</v>
      </c>
      <c r="O1298" s="637" t="s">
        <v>72</v>
      </c>
      <c r="P1298" s="637" t="s">
        <v>1156</v>
      </c>
      <c r="Q1298" s="638">
        <v>0</v>
      </c>
      <c r="R1298" s="638">
        <v>0</v>
      </c>
      <c r="S1298" s="638">
        <v>289614</v>
      </c>
      <c r="T1298" s="638">
        <v>289614</v>
      </c>
      <c r="U1298" s="638">
        <v>84881</v>
      </c>
      <c r="V1298" s="636">
        <v>2022</v>
      </c>
      <c r="W1298" s="640"/>
      <c r="X1298" s="641">
        <f t="shared" si="60"/>
        <v>3.4120003298735879</v>
      </c>
      <c r="Y1298" s="642" t="str">
        <f t="shared" si="61"/>
        <v/>
      </c>
      <c r="Z1298" s="642" t="str">
        <f t="shared" si="62"/>
        <v/>
      </c>
    </row>
    <row r="1299" spans="1:26" s="127" customFormat="1" ht="25">
      <c r="A1299" s="636">
        <v>58620</v>
      </c>
      <c r="B1299" s="637" t="s">
        <v>33</v>
      </c>
      <c r="C1299" s="636" t="s">
        <v>2725</v>
      </c>
      <c r="D1299" s="637" t="s">
        <v>2091</v>
      </c>
      <c r="E1299" s="637" t="s">
        <v>2092</v>
      </c>
      <c r="F1299" s="636">
        <v>58574</v>
      </c>
      <c r="G1299" s="637" t="s">
        <v>90</v>
      </c>
      <c r="H1299" s="637" t="s">
        <v>1163</v>
      </c>
      <c r="I1299" s="637" t="s">
        <v>58</v>
      </c>
      <c r="J1299" s="636">
        <v>22</v>
      </c>
      <c r="K1299" s="636">
        <v>2</v>
      </c>
      <c r="L1299" s="637" t="s">
        <v>52</v>
      </c>
      <c r="M1299" s="637" t="s">
        <v>71</v>
      </c>
      <c r="N1299" s="637" t="s">
        <v>72</v>
      </c>
      <c r="O1299" s="637" t="s">
        <v>72</v>
      </c>
      <c r="P1299" s="637" t="s">
        <v>1156</v>
      </c>
      <c r="Q1299" s="638">
        <v>0</v>
      </c>
      <c r="R1299" s="638">
        <v>0</v>
      </c>
      <c r="S1299" s="638">
        <v>205930</v>
      </c>
      <c r="T1299" s="638">
        <v>205930</v>
      </c>
      <c r="U1299" s="638">
        <v>60355</v>
      </c>
      <c r="V1299" s="636">
        <v>2022</v>
      </c>
      <c r="W1299" s="640"/>
      <c r="X1299" s="641">
        <f t="shared" si="60"/>
        <v>3.4119791235191781</v>
      </c>
      <c r="Y1299" s="642" t="str">
        <f t="shared" si="61"/>
        <v/>
      </c>
      <c r="Z1299" s="642" t="str">
        <f t="shared" si="62"/>
        <v/>
      </c>
    </row>
    <row r="1300" spans="1:26" s="127" customFormat="1" ht="25">
      <c r="A1300" s="636">
        <v>58624</v>
      </c>
      <c r="B1300" s="637" t="s">
        <v>33</v>
      </c>
      <c r="C1300" s="636" t="s">
        <v>2725</v>
      </c>
      <c r="D1300" s="637" t="s">
        <v>1674</v>
      </c>
      <c r="E1300" s="637" t="s">
        <v>1675</v>
      </c>
      <c r="F1300" s="636">
        <v>58578</v>
      </c>
      <c r="G1300" s="637" t="s">
        <v>81</v>
      </c>
      <c r="H1300" s="637" t="s">
        <v>1163</v>
      </c>
      <c r="I1300" s="637" t="s">
        <v>58</v>
      </c>
      <c r="J1300" s="636">
        <v>22</v>
      </c>
      <c r="K1300" s="636">
        <v>2</v>
      </c>
      <c r="L1300" s="637" t="s">
        <v>52</v>
      </c>
      <c r="M1300" s="637" t="s">
        <v>441</v>
      </c>
      <c r="N1300" s="637" t="s">
        <v>442</v>
      </c>
      <c r="O1300" s="637" t="s">
        <v>442</v>
      </c>
      <c r="P1300" s="637" t="s">
        <v>1156</v>
      </c>
      <c r="Q1300" s="638">
        <v>0</v>
      </c>
      <c r="R1300" s="638">
        <v>0</v>
      </c>
      <c r="S1300" s="638">
        <v>8584</v>
      </c>
      <c r="T1300" s="638">
        <v>8584</v>
      </c>
      <c r="U1300" s="638">
        <v>2516</v>
      </c>
      <c r="V1300" s="636">
        <v>2022</v>
      </c>
      <c r="W1300" s="640"/>
      <c r="X1300" s="641">
        <f t="shared" si="60"/>
        <v>3.4117647058823528</v>
      </c>
      <c r="Y1300" s="642" t="str">
        <f t="shared" si="61"/>
        <v/>
      </c>
      <c r="Z1300" s="642" t="str">
        <f t="shared" si="62"/>
        <v/>
      </c>
    </row>
    <row r="1301" spans="1:26" s="127" customFormat="1" ht="25">
      <c r="A1301" s="636">
        <v>58647</v>
      </c>
      <c r="B1301" s="637" t="s">
        <v>33</v>
      </c>
      <c r="C1301" s="636" t="s">
        <v>2725</v>
      </c>
      <c r="D1301" s="637" t="s">
        <v>1812</v>
      </c>
      <c r="E1301" s="637" t="s">
        <v>3620</v>
      </c>
      <c r="F1301" s="636">
        <v>57365</v>
      </c>
      <c r="G1301" s="637" t="s">
        <v>57</v>
      </c>
      <c r="H1301" s="637" t="s">
        <v>1162</v>
      </c>
      <c r="I1301" s="637" t="s">
        <v>58</v>
      </c>
      <c r="J1301" s="636">
        <v>22</v>
      </c>
      <c r="K1301" s="636">
        <v>2</v>
      </c>
      <c r="L1301" s="637" t="s">
        <v>52</v>
      </c>
      <c r="M1301" s="637" t="s">
        <v>441</v>
      </c>
      <c r="N1301" s="637" t="s">
        <v>442</v>
      </c>
      <c r="O1301" s="637" t="s">
        <v>442</v>
      </c>
      <c r="P1301" s="637" t="s">
        <v>1156</v>
      </c>
      <c r="Q1301" s="638">
        <v>0</v>
      </c>
      <c r="R1301" s="638">
        <v>0</v>
      </c>
      <c r="S1301" s="638">
        <v>5295</v>
      </c>
      <c r="T1301" s="638">
        <v>5295</v>
      </c>
      <c r="U1301" s="638">
        <v>1552</v>
      </c>
      <c r="V1301" s="636">
        <v>2022</v>
      </c>
      <c r="W1301" s="640"/>
      <c r="X1301" s="641">
        <f t="shared" si="60"/>
        <v>3.4117268041237114</v>
      </c>
      <c r="Y1301" s="642" t="str">
        <f t="shared" si="61"/>
        <v/>
      </c>
      <c r="Z1301" s="642" t="str">
        <f t="shared" si="62"/>
        <v/>
      </c>
    </row>
    <row r="1302" spans="1:26" s="127" customFormat="1" ht="25">
      <c r="A1302" s="636">
        <v>58650</v>
      </c>
      <c r="B1302" s="637" t="s">
        <v>33</v>
      </c>
      <c r="C1302" s="636" t="s">
        <v>2725</v>
      </c>
      <c r="D1302" s="637" t="s">
        <v>1676</v>
      </c>
      <c r="E1302" s="637" t="s">
        <v>1677</v>
      </c>
      <c r="F1302" s="636">
        <v>58598</v>
      </c>
      <c r="G1302" s="637" t="s">
        <v>81</v>
      </c>
      <c r="H1302" s="637" t="s">
        <v>1163</v>
      </c>
      <c r="I1302" s="637" t="s">
        <v>58</v>
      </c>
      <c r="J1302" s="636">
        <v>22</v>
      </c>
      <c r="K1302" s="636">
        <v>2</v>
      </c>
      <c r="L1302" s="637" t="s">
        <v>52</v>
      </c>
      <c r="M1302" s="637" t="s">
        <v>441</v>
      </c>
      <c r="N1302" s="637" t="s">
        <v>442</v>
      </c>
      <c r="O1302" s="637" t="s">
        <v>442</v>
      </c>
      <c r="P1302" s="637" t="s">
        <v>1156</v>
      </c>
      <c r="Q1302" s="638">
        <v>0</v>
      </c>
      <c r="R1302" s="638">
        <v>0</v>
      </c>
      <c r="S1302" s="638">
        <v>15048</v>
      </c>
      <c r="T1302" s="638">
        <v>15048</v>
      </c>
      <c r="U1302" s="638">
        <v>4410</v>
      </c>
      <c r="V1302" s="636">
        <v>2022</v>
      </c>
      <c r="W1302" s="640"/>
      <c r="X1302" s="641">
        <f t="shared" si="60"/>
        <v>3.4122448979591837</v>
      </c>
      <c r="Y1302" s="642" t="str">
        <f t="shared" si="61"/>
        <v/>
      </c>
      <c r="Z1302" s="642" t="str">
        <f t="shared" si="62"/>
        <v/>
      </c>
    </row>
    <row r="1303" spans="1:26" s="127" customFormat="1" ht="37.5" hidden="1">
      <c r="A1303" s="636">
        <v>58661</v>
      </c>
      <c r="B1303" s="637" t="s">
        <v>33</v>
      </c>
      <c r="C1303" s="636" t="s">
        <v>2725</v>
      </c>
      <c r="D1303" s="637" t="s">
        <v>1678</v>
      </c>
      <c r="E1303" s="637" t="s">
        <v>1679</v>
      </c>
      <c r="F1303" s="636">
        <v>58604</v>
      </c>
      <c r="G1303" s="637" t="s">
        <v>81</v>
      </c>
      <c r="H1303" s="637" t="s">
        <v>1163</v>
      </c>
      <c r="I1303" s="637" t="s">
        <v>58</v>
      </c>
      <c r="J1303" s="636">
        <v>928</v>
      </c>
      <c r="K1303" s="636">
        <v>4</v>
      </c>
      <c r="L1303" s="637" t="s">
        <v>406</v>
      </c>
      <c r="M1303" s="637" t="s">
        <v>71</v>
      </c>
      <c r="N1303" s="637" t="s">
        <v>72</v>
      </c>
      <c r="O1303" s="637" t="s">
        <v>72</v>
      </c>
      <c r="P1303" s="637" t="s">
        <v>1156</v>
      </c>
      <c r="Q1303" s="638">
        <v>0</v>
      </c>
      <c r="R1303" s="638">
        <v>0</v>
      </c>
      <c r="S1303" s="638">
        <v>28134</v>
      </c>
      <c r="T1303" s="638">
        <v>28134</v>
      </c>
      <c r="U1303" s="638">
        <v>8246</v>
      </c>
      <c r="V1303" s="636">
        <v>2022</v>
      </c>
      <c r="W1303" s="640"/>
      <c r="X1303" s="641" t="str">
        <f t="shared" si="60"/>
        <v/>
      </c>
      <c r="Y1303" s="642" t="str">
        <f t="shared" si="61"/>
        <v/>
      </c>
      <c r="Z1303" s="642" t="str">
        <f t="shared" si="62"/>
        <v/>
      </c>
    </row>
    <row r="1304" spans="1:26" s="127" customFormat="1" ht="37.5" hidden="1">
      <c r="A1304" s="636">
        <v>58664</v>
      </c>
      <c r="B1304" s="637" t="s">
        <v>33</v>
      </c>
      <c r="C1304" s="636" t="s">
        <v>2725</v>
      </c>
      <c r="D1304" s="637" t="s">
        <v>1598</v>
      </c>
      <c r="E1304" s="637" t="s">
        <v>1599</v>
      </c>
      <c r="F1304" s="636">
        <v>58607</v>
      </c>
      <c r="G1304" s="637" t="s">
        <v>41</v>
      </c>
      <c r="H1304" s="637" t="s">
        <v>1163</v>
      </c>
      <c r="I1304" s="637" t="s">
        <v>58</v>
      </c>
      <c r="J1304" s="636">
        <v>311</v>
      </c>
      <c r="K1304" s="636">
        <v>6</v>
      </c>
      <c r="L1304" s="637" t="s">
        <v>404</v>
      </c>
      <c r="M1304" s="637" t="s">
        <v>50</v>
      </c>
      <c r="N1304" s="637" t="s">
        <v>39</v>
      </c>
      <c r="O1304" s="637" t="s">
        <v>39</v>
      </c>
      <c r="P1304" s="637" t="s">
        <v>1020</v>
      </c>
      <c r="Q1304" s="638">
        <v>367050</v>
      </c>
      <c r="R1304" s="638">
        <v>367050</v>
      </c>
      <c r="S1304" s="638">
        <v>376834</v>
      </c>
      <c r="T1304" s="638">
        <v>376834</v>
      </c>
      <c r="U1304" s="638">
        <v>23587.62</v>
      </c>
      <c r="V1304" s="636">
        <v>2022</v>
      </c>
      <c r="W1304" s="640"/>
      <c r="X1304" s="641" t="str">
        <f t="shared" si="60"/>
        <v/>
      </c>
      <c r="Y1304" s="642" t="str">
        <f t="shared" si="61"/>
        <v/>
      </c>
      <c r="Z1304" s="642" t="str">
        <f t="shared" si="62"/>
        <v/>
      </c>
    </row>
    <row r="1305" spans="1:26" s="127" customFormat="1" ht="25">
      <c r="A1305" s="636">
        <v>58678</v>
      </c>
      <c r="B1305" s="637" t="s">
        <v>33</v>
      </c>
      <c r="C1305" s="636" t="s">
        <v>2725</v>
      </c>
      <c r="D1305" s="637" t="s">
        <v>1600</v>
      </c>
      <c r="E1305" s="637" t="s">
        <v>118</v>
      </c>
      <c r="F1305" s="636">
        <v>5914</v>
      </c>
      <c r="G1305" s="637" t="s">
        <v>57</v>
      </c>
      <c r="H1305" s="637" t="s">
        <v>1162</v>
      </c>
      <c r="I1305" s="637" t="s">
        <v>58</v>
      </c>
      <c r="J1305" s="636">
        <v>22</v>
      </c>
      <c r="K1305" s="636">
        <v>2</v>
      </c>
      <c r="L1305" s="637" t="s">
        <v>52</v>
      </c>
      <c r="M1305" s="637" t="s">
        <v>35</v>
      </c>
      <c r="N1305" s="637" t="s">
        <v>36</v>
      </c>
      <c r="O1305" s="637" t="s">
        <v>37</v>
      </c>
      <c r="P1305" s="637" t="s">
        <v>1156</v>
      </c>
      <c r="Q1305" s="638">
        <v>0</v>
      </c>
      <c r="R1305" s="638">
        <v>0</v>
      </c>
      <c r="S1305" s="638">
        <v>25962</v>
      </c>
      <c r="T1305" s="638">
        <v>25962</v>
      </c>
      <c r="U1305" s="638">
        <v>7609</v>
      </c>
      <c r="V1305" s="636">
        <v>2022</v>
      </c>
      <c r="W1305" s="640"/>
      <c r="X1305" s="641">
        <f t="shared" si="60"/>
        <v>3.4120120909449336</v>
      </c>
      <c r="Y1305" s="642" t="str">
        <f t="shared" si="61"/>
        <v/>
      </c>
      <c r="Z1305" s="642" t="str">
        <f t="shared" si="62"/>
        <v/>
      </c>
    </row>
    <row r="1306" spans="1:26" s="127" customFormat="1" ht="25">
      <c r="A1306" s="636">
        <v>58679</v>
      </c>
      <c r="B1306" s="637" t="s">
        <v>33</v>
      </c>
      <c r="C1306" s="636" t="s">
        <v>2725</v>
      </c>
      <c r="D1306" s="637" t="s">
        <v>1601</v>
      </c>
      <c r="E1306" s="637" t="s">
        <v>118</v>
      </c>
      <c r="F1306" s="636">
        <v>5914</v>
      </c>
      <c r="G1306" s="637" t="s">
        <v>57</v>
      </c>
      <c r="H1306" s="637" t="s">
        <v>1162</v>
      </c>
      <c r="I1306" s="637" t="s">
        <v>58</v>
      </c>
      <c r="J1306" s="636">
        <v>22</v>
      </c>
      <c r="K1306" s="636">
        <v>2</v>
      </c>
      <c r="L1306" s="637" t="s">
        <v>52</v>
      </c>
      <c r="M1306" s="637" t="s">
        <v>35</v>
      </c>
      <c r="N1306" s="637" t="s">
        <v>36</v>
      </c>
      <c r="O1306" s="637" t="s">
        <v>37</v>
      </c>
      <c r="P1306" s="637" t="s">
        <v>1156</v>
      </c>
      <c r="Q1306" s="638">
        <v>0</v>
      </c>
      <c r="R1306" s="638">
        <v>0</v>
      </c>
      <c r="S1306" s="638">
        <v>21960</v>
      </c>
      <c r="T1306" s="638">
        <v>21960</v>
      </c>
      <c r="U1306" s="638">
        <v>6436</v>
      </c>
      <c r="V1306" s="636">
        <v>2022</v>
      </c>
      <c r="W1306" s="640"/>
      <c r="X1306" s="641">
        <f t="shared" si="60"/>
        <v>3.4120571783716596</v>
      </c>
      <c r="Y1306" s="642" t="str">
        <f t="shared" si="61"/>
        <v/>
      </c>
      <c r="Z1306" s="642" t="str">
        <f t="shared" si="62"/>
        <v/>
      </c>
    </row>
    <row r="1307" spans="1:26" s="127" customFormat="1" ht="25">
      <c r="A1307" s="636">
        <v>58680</v>
      </c>
      <c r="B1307" s="637" t="s">
        <v>33</v>
      </c>
      <c r="C1307" s="636" t="s">
        <v>2725</v>
      </c>
      <c r="D1307" s="637" t="s">
        <v>1813</v>
      </c>
      <c r="E1307" s="637" t="s">
        <v>1677</v>
      </c>
      <c r="F1307" s="636">
        <v>58598</v>
      </c>
      <c r="G1307" s="637" t="s">
        <v>81</v>
      </c>
      <c r="H1307" s="637" t="s">
        <v>1163</v>
      </c>
      <c r="I1307" s="637" t="s">
        <v>58</v>
      </c>
      <c r="J1307" s="636">
        <v>22</v>
      </c>
      <c r="K1307" s="636">
        <v>2</v>
      </c>
      <c r="L1307" s="637" t="s">
        <v>52</v>
      </c>
      <c r="M1307" s="637" t="s">
        <v>441</v>
      </c>
      <c r="N1307" s="637" t="s">
        <v>442</v>
      </c>
      <c r="O1307" s="637" t="s">
        <v>442</v>
      </c>
      <c r="P1307" s="637" t="s">
        <v>1156</v>
      </c>
      <c r="Q1307" s="638">
        <v>0</v>
      </c>
      <c r="R1307" s="638">
        <v>0</v>
      </c>
      <c r="S1307" s="638">
        <v>14053</v>
      </c>
      <c r="T1307" s="638">
        <v>14053</v>
      </c>
      <c r="U1307" s="638">
        <v>4118</v>
      </c>
      <c r="V1307" s="636">
        <v>2022</v>
      </c>
      <c r="W1307" s="640"/>
      <c r="X1307" s="641">
        <f t="shared" si="60"/>
        <v>3.4125789218067024</v>
      </c>
      <c r="Y1307" s="642" t="str">
        <f t="shared" si="61"/>
        <v/>
      </c>
      <c r="Z1307" s="642" t="str">
        <f t="shared" si="62"/>
        <v/>
      </c>
    </row>
    <row r="1308" spans="1:26" s="127" customFormat="1" ht="25">
      <c r="A1308" s="636">
        <v>58682</v>
      </c>
      <c r="B1308" s="637" t="s">
        <v>33</v>
      </c>
      <c r="C1308" s="636" t="s">
        <v>2725</v>
      </c>
      <c r="D1308" s="637" t="s">
        <v>1680</v>
      </c>
      <c r="E1308" s="637" t="s">
        <v>1677</v>
      </c>
      <c r="F1308" s="636">
        <v>58598</v>
      </c>
      <c r="G1308" s="637" t="s">
        <v>81</v>
      </c>
      <c r="H1308" s="637" t="s">
        <v>1163</v>
      </c>
      <c r="I1308" s="637" t="s">
        <v>58</v>
      </c>
      <c r="J1308" s="636">
        <v>22</v>
      </c>
      <c r="K1308" s="636">
        <v>2</v>
      </c>
      <c r="L1308" s="637" t="s">
        <v>52</v>
      </c>
      <c r="M1308" s="637" t="s">
        <v>441</v>
      </c>
      <c r="N1308" s="637" t="s">
        <v>442</v>
      </c>
      <c r="O1308" s="637" t="s">
        <v>442</v>
      </c>
      <c r="P1308" s="637" t="s">
        <v>1156</v>
      </c>
      <c r="Q1308" s="638">
        <v>0</v>
      </c>
      <c r="R1308" s="638">
        <v>0</v>
      </c>
      <c r="S1308" s="638">
        <v>16778</v>
      </c>
      <c r="T1308" s="638">
        <v>16778</v>
      </c>
      <c r="U1308" s="638">
        <v>4917</v>
      </c>
      <c r="V1308" s="636">
        <v>2022</v>
      </c>
      <c r="W1308" s="640"/>
      <c r="X1308" s="641">
        <f t="shared" si="60"/>
        <v>3.4122432377465937</v>
      </c>
      <c r="Y1308" s="642" t="str">
        <f t="shared" si="61"/>
        <v/>
      </c>
      <c r="Z1308" s="642" t="str">
        <f t="shared" si="62"/>
        <v/>
      </c>
    </row>
    <row r="1309" spans="1:26" s="127" customFormat="1" ht="25">
      <c r="A1309" s="636">
        <v>58686</v>
      </c>
      <c r="B1309" s="637" t="s">
        <v>33</v>
      </c>
      <c r="C1309" s="636" t="s">
        <v>2725</v>
      </c>
      <c r="D1309" s="637" t="s">
        <v>1884</v>
      </c>
      <c r="E1309" s="637" t="s">
        <v>3043</v>
      </c>
      <c r="F1309" s="636">
        <v>60453</v>
      </c>
      <c r="G1309" s="637" t="s">
        <v>90</v>
      </c>
      <c r="H1309" s="637" t="s">
        <v>1163</v>
      </c>
      <c r="I1309" s="637" t="s">
        <v>58</v>
      </c>
      <c r="J1309" s="636">
        <v>22</v>
      </c>
      <c r="K1309" s="636">
        <v>2</v>
      </c>
      <c r="L1309" s="637" t="s">
        <v>52</v>
      </c>
      <c r="M1309" s="637" t="s">
        <v>71</v>
      </c>
      <c r="N1309" s="637" t="s">
        <v>72</v>
      </c>
      <c r="O1309" s="637" t="s">
        <v>72</v>
      </c>
      <c r="P1309" s="637" t="s">
        <v>1156</v>
      </c>
      <c r="Q1309" s="638">
        <v>0</v>
      </c>
      <c r="R1309" s="638">
        <v>0</v>
      </c>
      <c r="S1309" s="638">
        <v>428292</v>
      </c>
      <c r="T1309" s="638">
        <v>428292</v>
      </c>
      <c r="U1309" s="638">
        <v>125525</v>
      </c>
      <c r="V1309" s="636">
        <v>2022</v>
      </c>
      <c r="W1309" s="640"/>
      <c r="X1309" s="641">
        <f t="shared" si="60"/>
        <v>3.412005576578371</v>
      </c>
      <c r="Y1309" s="642" t="str">
        <f t="shared" si="61"/>
        <v/>
      </c>
      <c r="Z1309" s="642" t="str">
        <f t="shared" si="62"/>
        <v/>
      </c>
    </row>
    <row r="1310" spans="1:26" s="127" customFormat="1" ht="25">
      <c r="A1310" s="636">
        <v>58702</v>
      </c>
      <c r="B1310" s="637" t="s">
        <v>33</v>
      </c>
      <c r="C1310" s="636" t="s">
        <v>2725</v>
      </c>
      <c r="D1310" s="637" t="s">
        <v>1602</v>
      </c>
      <c r="E1310" s="637" t="s">
        <v>1950</v>
      </c>
      <c r="F1310" s="636">
        <v>60281</v>
      </c>
      <c r="G1310" s="637" t="s">
        <v>81</v>
      </c>
      <c r="H1310" s="637" t="s">
        <v>1163</v>
      </c>
      <c r="I1310" s="637" t="s">
        <v>58</v>
      </c>
      <c r="J1310" s="636">
        <v>22</v>
      </c>
      <c r="K1310" s="636">
        <v>2</v>
      </c>
      <c r="L1310" s="637" t="s">
        <v>52</v>
      </c>
      <c r="M1310" s="637" t="s">
        <v>441</v>
      </c>
      <c r="N1310" s="637" t="s">
        <v>442</v>
      </c>
      <c r="O1310" s="637" t="s">
        <v>442</v>
      </c>
      <c r="P1310" s="637" t="s">
        <v>1156</v>
      </c>
      <c r="Q1310" s="638">
        <v>0</v>
      </c>
      <c r="R1310" s="638">
        <v>0</v>
      </c>
      <c r="S1310" s="638">
        <v>9132</v>
      </c>
      <c r="T1310" s="638">
        <v>9132</v>
      </c>
      <c r="U1310" s="638">
        <v>2676</v>
      </c>
      <c r="V1310" s="636">
        <v>2022</v>
      </c>
      <c r="W1310" s="640"/>
      <c r="X1310" s="641">
        <f t="shared" si="60"/>
        <v>3.4125560538116591</v>
      </c>
      <c r="Y1310" s="642" t="str">
        <f t="shared" si="61"/>
        <v/>
      </c>
      <c r="Z1310" s="642" t="str">
        <f t="shared" si="62"/>
        <v/>
      </c>
    </row>
    <row r="1311" spans="1:26" s="127" customFormat="1" ht="25">
      <c r="A1311" s="636">
        <v>58749</v>
      </c>
      <c r="B1311" s="637" t="s">
        <v>33</v>
      </c>
      <c r="C1311" s="636" t="s">
        <v>2725</v>
      </c>
      <c r="D1311" s="637" t="s">
        <v>1681</v>
      </c>
      <c r="E1311" s="637" t="s">
        <v>3620</v>
      </c>
      <c r="F1311" s="636">
        <v>57365</v>
      </c>
      <c r="G1311" s="637" t="s">
        <v>81</v>
      </c>
      <c r="H1311" s="637" t="s">
        <v>1163</v>
      </c>
      <c r="I1311" s="637" t="s">
        <v>58</v>
      </c>
      <c r="J1311" s="636">
        <v>22</v>
      </c>
      <c r="K1311" s="636">
        <v>2</v>
      </c>
      <c r="L1311" s="637" t="s">
        <v>52</v>
      </c>
      <c r="M1311" s="637" t="s">
        <v>441</v>
      </c>
      <c r="N1311" s="637" t="s">
        <v>442</v>
      </c>
      <c r="O1311" s="637" t="s">
        <v>442</v>
      </c>
      <c r="P1311" s="637" t="s">
        <v>1156</v>
      </c>
      <c r="Q1311" s="638">
        <v>0</v>
      </c>
      <c r="R1311" s="638">
        <v>0</v>
      </c>
      <c r="S1311" s="638">
        <v>6250</v>
      </c>
      <c r="T1311" s="638">
        <v>6250</v>
      </c>
      <c r="U1311" s="638">
        <v>1832</v>
      </c>
      <c r="V1311" s="636">
        <v>2022</v>
      </c>
      <c r="W1311" s="640"/>
      <c r="X1311" s="641">
        <f t="shared" si="60"/>
        <v>3.4115720524017465</v>
      </c>
      <c r="Y1311" s="642" t="str">
        <f t="shared" si="61"/>
        <v/>
      </c>
      <c r="Z1311" s="642" t="str">
        <f t="shared" si="62"/>
        <v/>
      </c>
    </row>
    <row r="1312" spans="1:26" s="127" customFormat="1" ht="25">
      <c r="A1312" s="636">
        <v>58768</v>
      </c>
      <c r="B1312" s="637" t="s">
        <v>33</v>
      </c>
      <c r="C1312" s="636" t="s">
        <v>2725</v>
      </c>
      <c r="D1312" s="637" t="s">
        <v>1682</v>
      </c>
      <c r="E1312" s="637" t="s">
        <v>440</v>
      </c>
      <c r="F1312" s="636">
        <v>49893</v>
      </c>
      <c r="G1312" s="637" t="s">
        <v>57</v>
      </c>
      <c r="H1312" s="637" t="s">
        <v>1162</v>
      </c>
      <c r="I1312" s="637" t="s">
        <v>58</v>
      </c>
      <c r="J1312" s="636">
        <v>22</v>
      </c>
      <c r="K1312" s="636">
        <v>2</v>
      </c>
      <c r="L1312" s="637" t="s">
        <v>52</v>
      </c>
      <c r="M1312" s="637" t="s">
        <v>71</v>
      </c>
      <c r="N1312" s="637" t="s">
        <v>72</v>
      </c>
      <c r="O1312" s="637" t="s">
        <v>72</v>
      </c>
      <c r="P1312" s="637" t="s">
        <v>1156</v>
      </c>
      <c r="Q1312" s="638">
        <v>0</v>
      </c>
      <c r="R1312" s="638">
        <v>0</v>
      </c>
      <c r="S1312" s="638">
        <v>170642</v>
      </c>
      <c r="T1312" s="638">
        <v>170642</v>
      </c>
      <c r="U1312" s="638">
        <v>50012</v>
      </c>
      <c r="V1312" s="636">
        <v>2022</v>
      </c>
      <c r="W1312" s="640"/>
      <c r="X1312" s="641">
        <f t="shared" si="60"/>
        <v>3.4120211149324162</v>
      </c>
      <c r="Y1312" s="642" t="str">
        <f t="shared" si="61"/>
        <v/>
      </c>
      <c r="Z1312" s="642" t="str">
        <f t="shared" si="62"/>
        <v/>
      </c>
    </row>
    <row r="1313" spans="1:26" s="127" customFormat="1" ht="25">
      <c r="A1313" s="636">
        <v>58777</v>
      </c>
      <c r="B1313" s="637" t="s">
        <v>33</v>
      </c>
      <c r="C1313" s="636" t="s">
        <v>2725</v>
      </c>
      <c r="D1313" s="637" t="s">
        <v>3282</v>
      </c>
      <c r="E1313" s="637" t="s">
        <v>3617</v>
      </c>
      <c r="F1313" s="636">
        <v>56215</v>
      </c>
      <c r="G1313" s="637" t="s">
        <v>57</v>
      </c>
      <c r="H1313" s="637" t="s">
        <v>1162</v>
      </c>
      <c r="I1313" s="637" t="s">
        <v>58</v>
      </c>
      <c r="J1313" s="636">
        <v>22</v>
      </c>
      <c r="K1313" s="636">
        <v>2</v>
      </c>
      <c r="L1313" s="637" t="s">
        <v>52</v>
      </c>
      <c r="M1313" s="637" t="s">
        <v>71</v>
      </c>
      <c r="N1313" s="637" t="s">
        <v>72</v>
      </c>
      <c r="O1313" s="637" t="s">
        <v>72</v>
      </c>
      <c r="P1313" s="637" t="s">
        <v>1156</v>
      </c>
      <c r="Q1313" s="638">
        <v>0</v>
      </c>
      <c r="R1313" s="638">
        <v>0</v>
      </c>
      <c r="S1313" s="638">
        <v>913346</v>
      </c>
      <c r="T1313" s="638">
        <v>913346</v>
      </c>
      <c r="U1313" s="638">
        <v>267686</v>
      </c>
      <c r="V1313" s="636">
        <v>2022</v>
      </c>
      <c r="W1313" s="640"/>
      <c r="X1313" s="641">
        <f t="shared" si="60"/>
        <v>3.4120051104652465</v>
      </c>
      <c r="Y1313" s="642" t="str">
        <f t="shared" si="61"/>
        <v/>
      </c>
      <c r="Z1313" s="642" t="str">
        <f t="shared" si="62"/>
        <v/>
      </c>
    </row>
    <row r="1314" spans="1:26" s="127" customFormat="1" ht="25">
      <c r="A1314" s="636">
        <v>58785</v>
      </c>
      <c r="B1314" s="637" t="s">
        <v>33</v>
      </c>
      <c r="C1314" s="636" t="s">
        <v>2725</v>
      </c>
      <c r="D1314" s="637" t="s">
        <v>1603</v>
      </c>
      <c r="E1314" s="637" t="s">
        <v>1604</v>
      </c>
      <c r="F1314" s="636">
        <v>58677</v>
      </c>
      <c r="G1314" s="637" t="s">
        <v>57</v>
      </c>
      <c r="H1314" s="637" t="s">
        <v>1162</v>
      </c>
      <c r="I1314" s="637" t="s">
        <v>58</v>
      </c>
      <c r="J1314" s="636">
        <v>22</v>
      </c>
      <c r="K1314" s="636">
        <v>2</v>
      </c>
      <c r="L1314" s="637" t="s">
        <v>52</v>
      </c>
      <c r="M1314" s="637" t="s">
        <v>441</v>
      </c>
      <c r="N1314" s="637" t="s">
        <v>442</v>
      </c>
      <c r="O1314" s="637" t="s">
        <v>442</v>
      </c>
      <c r="P1314" s="637" t="s">
        <v>1156</v>
      </c>
      <c r="Q1314" s="638">
        <v>0</v>
      </c>
      <c r="R1314" s="638">
        <v>0</v>
      </c>
      <c r="S1314" s="638">
        <v>3116</v>
      </c>
      <c r="T1314" s="638">
        <v>3116</v>
      </c>
      <c r="U1314" s="638">
        <v>913</v>
      </c>
      <c r="V1314" s="636">
        <v>2022</v>
      </c>
      <c r="W1314" s="640"/>
      <c r="X1314" s="641">
        <f t="shared" si="60"/>
        <v>3.4129244249726178</v>
      </c>
      <c r="Y1314" s="642" t="str">
        <f t="shared" si="61"/>
        <v/>
      </c>
      <c r="Z1314" s="642" t="str">
        <f t="shared" si="62"/>
        <v/>
      </c>
    </row>
    <row r="1315" spans="1:26" s="127" customFormat="1" ht="25">
      <c r="A1315" s="636">
        <v>58786</v>
      </c>
      <c r="B1315" s="637" t="s">
        <v>33</v>
      </c>
      <c r="C1315" s="636" t="s">
        <v>2725</v>
      </c>
      <c r="D1315" s="637" t="s">
        <v>1605</v>
      </c>
      <c r="E1315" s="637" t="s">
        <v>1604</v>
      </c>
      <c r="F1315" s="636">
        <v>58677</v>
      </c>
      <c r="G1315" s="637" t="s">
        <v>57</v>
      </c>
      <c r="H1315" s="637" t="s">
        <v>1162</v>
      </c>
      <c r="I1315" s="637" t="s">
        <v>58</v>
      </c>
      <c r="J1315" s="636">
        <v>22</v>
      </c>
      <c r="K1315" s="636">
        <v>2</v>
      </c>
      <c r="L1315" s="637" t="s">
        <v>52</v>
      </c>
      <c r="M1315" s="637" t="s">
        <v>441</v>
      </c>
      <c r="N1315" s="637" t="s">
        <v>442</v>
      </c>
      <c r="O1315" s="637" t="s">
        <v>442</v>
      </c>
      <c r="P1315" s="637" t="s">
        <v>1156</v>
      </c>
      <c r="Q1315" s="638">
        <v>0</v>
      </c>
      <c r="R1315" s="638">
        <v>0</v>
      </c>
      <c r="S1315" s="638">
        <v>12760</v>
      </c>
      <c r="T1315" s="638">
        <v>12760</v>
      </c>
      <c r="U1315" s="638">
        <v>3740</v>
      </c>
      <c r="V1315" s="636">
        <v>2022</v>
      </c>
      <c r="W1315" s="640"/>
      <c r="X1315" s="641">
        <f t="shared" si="60"/>
        <v>3.4117647058823528</v>
      </c>
      <c r="Y1315" s="642" t="str">
        <f t="shared" si="61"/>
        <v/>
      </c>
      <c r="Z1315" s="642" t="str">
        <f t="shared" si="62"/>
        <v/>
      </c>
    </row>
    <row r="1316" spans="1:26" s="127" customFormat="1" ht="25">
      <c r="A1316" s="636">
        <v>58787</v>
      </c>
      <c r="B1316" s="637" t="s">
        <v>33</v>
      </c>
      <c r="C1316" s="636" t="s">
        <v>2725</v>
      </c>
      <c r="D1316" s="637" t="s">
        <v>1606</v>
      </c>
      <c r="E1316" s="637" t="s">
        <v>1604</v>
      </c>
      <c r="F1316" s="636">
        <v>58677</v>
      </c>
      <c r="G1316" s="637" t="s">
        <v>57</v>
      </c>
      <c r="H1316" s="637" t="s">
        <v>1162</v>
      </c>
      <c r="I1316" s="637" t="s">
        <v>58</v>
      </c>
      <c r="J1316" s="636">
        <v>22</v>
      </c>
      <c r="K1316" s="636">
        <v>2</v>
      </c>
      <c r="L1316" s="637" t="s">
        <v>52</v>
      </c>
      <c r="M1316" s="637" t="s">
        <v>441</v>
      </c>
      <c r="N1316" s="637" t="s">
        <v>442</v>
      </c>
      <c r="O1316" s="637" t="s">
        <v>442</v>
      </c>
      <c r="P1316" s="637" t="s">
        <v>1156</v>
      </c>
      <c r="Q1316" s="638">
        <v>0</v>
      </c>
      <c r="R1316" s="638">
        <v>0</v>
      </c>
      <c r="S1316" s="638">
        <v>7578</v>
      </c>
      <c r="T1316" s="638">
        <v>7578</v>
      </c>
      <c r="U1316" s="638">
        <v>2221</v>
      </c>
      <c r="V1316" s="636">
        <v>2022</v>
      </c>
      <c r="W1316" s="640"/>
      <c r="X1316" s="641">
        <f t="shared" si="60"/>
        <v>3.4119765871229175</v>
      </c>
      <c r="Y1316" s="642" t="str">
        <f t="shared" si="61"/>
        <v/>
      </c>
      <c r="Z1316" s="642" t="str">
        <f t="shared" si="62"/>
        <v/>
      </c>
    </row>
    <row r="1317" spans="1:26" s="127" customFormat="1" ht="25">
      <c r="A1317" s="636">
        <v>58788</v>
      </c>
      <c r="B1317" s="637" t="s">
        <v>33</v>
      </c>
      <c r="C1317" s="636" t="s">
        <v>2725</v>
      </c>
      <c r="D1317" s="637" t="s">
        <v>1607</v>
      </c>
      <c r="E1317" s="637" t="s">
        <v>1604</v>
      </c>
      <c r="F1317" s="636">
        <v>58677</v>
      </c>
      <c r="G1317" s="637" t="s">
        <v>57</v>
      </c>
      <c r="H1317" s="637" t="s">
        <v>1162</v>
      </c>
      <c r="I1317" s="637" t="s">
        <v>58</v>
      </c>
      <c r="J1317" s="636">
        <v>22</v>
      </c>
      <c r="K1317" s="636">
        <v>2</v>
      </c>
      <c r="L1317" s="637" t="s">
        <v>52</v>
      </c>
      <c r="M1317" s="637" t="s">
        <v>441</v>
      </c>
      <c r="N1317" s="637" t="s">
        <v>442</v>
      </c>
      <c r="O1317" s="637" t="s">
        <v>442</v>
      </c>
      <c r="P1317" s="637" t="s">
        <v>1156</v>
      </c>
      <c r="Q1317" s="638">
        <v>0</v>
      </c>
      <c r="R1317" s="638">
        <v>0</v>
      </c>
      <c r="S1317" s="638">
        <v>3361</v>
      </c>
      <c r="T1317" s="638">
        <v>3361</v>
      </c>
      <c r="U1317" s="638">
        <v>985</v>
      </c>
      <c r="V1317" s="636">
        <v>2022</v>
      </c>
      <c r="W1317" s="640"/>
      <c r="X1317" s="641">
        <f t="shared" si="60"/>
        <v>3.4121827411167511</v>
      </c>
      <c r="Y1317" s="642" t="str">
        <f t="shared" si="61"/>
        <v/>
      </c>
      <c r="Z1317" s="642" t="str">
        <f t="shared" si="62"/>
        <v/>
      </c>
    </row>
    <row r="1318" spans="1:26" s="127" customFormat="1" ht="25">
      <c r="A1318" s="636">
        <v>58789</v>
      </c>
      <c r="B1318" s="637" t="s">
        <v>33</v>
      </c>
      <c r="C1318" s="636" t="s">
        <v>2725</v>
      </c>
      <c r="D1318" s="637" t="s">
        <v>1608</v>
      </c>
      <c r="E1318" s="637" t="s">
        <v>1604</v>
      </c>
      <c r="F1318" s="636">
        <v>58677</v>
      </c>
      <c r="G1318" s="637" t="s">
        <v>57</v>
      </c>
      <c r="H1318" s="637" t="s">
        <v>1162</v>
      </c>
      <c r="I1318" s="637" t="s">
        <v>58</v>
      </c>
      <c r="J1318" s="636">
        <v>22</v>
      </c>
      <c r="K1318" s="636">
        <v>2</v>
      </c>
      <c r="L1318" s="637" t="s">
        <v>52</v>
      </c>
      <c r="M1318" s="637" t="s">
        <v>441</v>
      </c>
      <c r="N1318" s="637" t="s">
        <v>442</v>
      </c>
      <c r="O1318" s="637" t="s">
        <v>442</v>
      </c>
      <c r="P1318" s="637" t="s">
        <v>1156</v>
      </c>
      <c r="Q1318" s="638">
        <v>0</v>
      </c>
      <c r="R1318" s="638">
        <v>0</v>
      </c>
      <c r="S1318" s="638">
        <v>6231</v>
      </c>
      <c r="T1318" s="638">
        <v>6231</v>
      </c>
      <c r="U1318" s="638">
        <v>1826</v>
      </c>
      <c r="V1318" s="636">
        <v>2022</v>
      </c>
      <c r="W1318" s="640"/>
      <c r="X1318" s="641">
        <f t="shared" si="60"/>
        <v>3.4123767798466593</v>
      </c>
      <c r="Y1318" s="642" t="str">
        <f t="shared" si="61"/>
        <v/>
      </c>
      <c r="Z1318" s="642" t="str">
        <f t="shared" si="62"/>
        <v/>
      </c>
    </row>
    <row r="1319" spans="1:26" s="127" customFormat="1" ht="25">
      <c r="A1319" s="636">
        <v>58790</v>
      </c>
      <c r="B1319" s="637" t="s">
        <v>33</v>
      </c>
      <c r="C1319" s="636" t="s">
        <v>2725</v>
      </c>
      <c r="D1319" s="637" t="s">
        <v>1609</v>
      </c>
      <c r="E1319" s="637" t="s">
        <v>1604</v>
      </c>
      <c r="F1319" s="636">
        <v>58677</v>
      </c>
      <c r="G1319" s="637" t="s">
        <v>57</v>
      </c>
      <c r="H1319" s="637" t="s">
        <v>1162</v>
      </c>
      <c r="I1319" s="637" t="s">
        <v>58</v>
      </c>
      <c r="J1319" s="636">
        <v>22</v>
      </c>
      <c r="K1319" s="636">
        <v>2</v>
      </c>
      <c r="L1319" s="637" t="s">
        <v>52</v>
      </c>
      <c r="M1319" s="637" t="s">
        <v>441</v>
      </c>
      <c r="N1319" s="637" t="s">
        <v>442</v>
      </c>
      <c r="O1319" s="637" t="s">
        <v>442</v>
      </c>
      <c r="P1319" s="637" t="s">
        <v>1156</v>
      </c>
      <c r="Q1319" s="638">
        <v>0</v>
      </c>
      <c r="R1319" s="638">
        <v>0</v>
      </c>
      <c r="S1319" s="638">
        <v>19219</v>
      </c>
      <c r="T1319" s="638">
        <v>19219</v>
      </c>
      <c r="U1319" s="638">
        <v>5633</v>
      </c>
      <c r="V1319" s="636">
        <v>2022</v>
      </c>
      <c r="W1319" s="640"/>
      <c r="X1319" s="641">
        <f t="shared" si="60"/>
        <v>3.4118586898633056</v>
      </c>
      <c r="Y1319" s="642" t="str">
        <f t="shared" si="61"/>
        <v/>
      </c>
      <c r="Z1319" s="642" t="str">
        <f t="shared" si="62"/>
        <v/>
      </c>
    </row>
    <row r="1320" spans="1:26" s="127" customFormat="1" ht="25">
      <c r="A1320" s="636">
        <v>58815</v>
      </c>
      <c r="B1320" s="637" t="s">
        <v>54</v>
      </c>
      <c r="C1320" s="636" t="s">
        <v>2725</v>
      </c>
      <c r="D1320" s="637" t="s">
        <v>3625</v>
      </c>
      <c r="E1320" s="637" t="s">
        <v>3626</v>
      </c>
      <c r="F1320" s="636">
        <v>61484</v>
      </c>
      <c r="G1320" s="637" t="s">
        <v>57</v>
      </c>
      <c r="H1320" s="637" t="s">
        <v>1162</v>
      </c>
      <c r="I1320" s="637" t="s">
        <v>58</v>
      </c>
      <c r="J1320" s="636">
        <v>22</v>
      </c>
      <c r="K1320" s="636">
        <v>3</v>
      </c>
      <c r="L1320" s="637" t="s">
        <v>55</v>
      </c>
      <c r="M1320" s="637" t="s">
        <v>51</v>
      </c>
      <c r="N1320" s="637" t="s">
        <v>39</v>
      </c>
      <c r="O1320" s="637" t="s">
        <v>39</v>
      </c>
      <c r="P1320" s="637" t="s">
        <v>1020</v>
      </c>
      <c r="Q1320" s="638">
        <v>62831</v>
      </c>
      <c r="R1320" s="638">
        <v>43036</v>
      </c>
      <c r="S1320" s="638">
        <v>62831</v>
      </c>
      <c r="T1320" s="638">
        <v>43036</v>
      </c>
      <c r="U1320" s="638">
        <v>5337</v>
      </c>
      <c r="V1320" s="636">
        <v>2022</v>
      </c>
      <c r="W1320" s="640"/>
      <c r="X1320" s="641">
        <f t="shared" si="60"/>
        <v>8.0637062019861343</v>
      </c>
      <c r="Y1320" s="642" t="str">
        <f t="shared" si="61"/>
        <v/>
      </c>
      <c r="Z1320" s="642" t="str">
        <f t="shared" si="62"/>
        <v/>
      </c>
    </row>
    <row r="1321" spans="1:26" s="127" customFormat="1" ht="25">
      <c r="A1321" s="636">
        <v>58824</v>
      </c>
      <c r="B1321" s="637" t="s">
        <v>33</v>
      </c>
      <c r="C1321" s="636" t="s">
        <v>2725</v>
      </c>
      <c r="D1321" s="637" t="s">
        <v>1610</v>
      </c>
      <c r="E1321" s="637" t="s">
        <v>3283</v>
      </c>
      <c r="F1321" s="636">
        <v>64423</v>
      </c>
      <c r="G1321" s="637" t="s">
        <v>89</v>
      </c>
      <c r="H1321" s="637" t="s">
        <v>1163</v>
      </c>
      <c r="I1321" s="637" t="s">
        <v>58</v>
      </c>
      <c r="J1321" s="636">
        <v>22</v>
      </c>
      <c r="K1321" s="636">
        <v>2</v>
      </c>
      <c r="L1321" s="637" t="s">
        <v>52</v>
      </c>
      <c r="M1321" s="637" t="s">
        <v>441</v>
      </c>
      <c r="N1321" s="637" t="s">
        <v>442</v>
      </c>
      <c r="O1321" s="637" t="s">
        <v>442</v>
      </c>
      <c r="P1321" s="637" t="s">
        <v>1156</v>
      </c>
      <c r="Q1321" s="638">
        <v>0</v>
      </c>
      <c r="R1321" s="638">
        <v>0</v>
      </c>
      <c r="S1321" s="638">
        <v>8339</v>
      </c>
      <c r="T1321" s="638">
        <v>8339</v>
      </c>
      <c r="U1321" s="638">
        <v>2444</v>
      </c>
      <c r="V1321" s="636">
        <v>2022</v>
      </c>
      <c r="W1321" s="640"/>
      <c r="X1321" s="641">
        <f t="shared" si="60"/>
        <v>3.4120294599018002</v>
      </c>
      <c r="Y1321" s="642" t="str">
        <f t="shared" si="61"/>
        <v/>
      </c>
      <c r="Z1321" s="642" t="str">
        <f t="shared" si="62"/>
        <v/>
      </c>
    </row>
    <row r="1322" spans="1:26" s="127" customFormat="1" ht="25">
      <c r="A1322" s="636">
        <v>58839</v>
      </c>
      <c r="B1322" s="637" t="s">
        <v>33</v>
      </c>
      <c r="C1322" s="636" t="s">
        <v>2725</v>
      </c>
      <c r="D1322" s="637" t="s">
        <v>1611</v>
      </c>
      <c r="E1322" s="637" t="s">
        <v>1735</v>
      </c>
      <c r="F1322" s="636">
        <v>59286</v>
      </c>
      <c r="G1322" s="637" t="s">
        <v>81</v>
      </c>
      <c r="H1322" s="637" t="s">
        <v>1163</v>
      </c>
      <c r="I1322" s="637" t="s">
        <v>58</v>
      </c>
      <c r="J1322" s="636">
        <v>22</v>
      </c>
      <c r="K1322" s="636">
        <v>2</v>
      </c>
      <c r="L1322" s="637" t="s">
        <v>52</v>
      </c>
      <c r="M1322" s="637" t="s">
        <v>441</v>
      </c>
      <c r="N1322" s="637" t="s">
        <v>442</v>
      </c>
      <c r="O1322" s="637" t="s">
        <v>442</v>
      </c>
      <c r="P1322" s="637" t="s">
        <v>1156</v>
      </c>
      <c r="Q1322" s="638">
        <v>0</v>
      </c>
      <c r="R1322" s="638">
        <v>0</v>
      </c>
      <c r="S1322" s="638">
        <v>6127</v>
      </c>
      <c r="T1322" s="638">
        <v>6127</v>
      </c>
      <c r="U1322" s="638">
        <v>1796</v>
      </c>
      <c r="V1322" s="636">
        <v>2022</v>
      </c>
      <c r="W1322" s="640"/>
      <c r="X1322" s="641">
        <f t="shared" si="60"/>
        <v>3.411469933184855</v>
      </c>
      <c r="Y1322" s="642" t="str">
        <f t="shared" si="61"/>
        <v/>
      </c>
      <c r="Z1322" s="642" t="str">
        <f t="shared" si="62"/>
        <v/>
      </c>
    </row>
    <row r="1323" spans="1:26" s="127" customFormat="1" ht="25">
      <c r="A1323" s="636">
        <v>58871</v>
      </c>
      <c r="B1323" s="637" t="s">
        <v>33</v>
      </c>
      <c r="C1323" s="636" t="s">
        <v>2725</v>
      </c>
      <c r="D1323" s="637" t="s">
        <v>1612</v>
      </c>
      <c r="E1323" s="637" t="s">
        <v>1882</v>
      </c>
      <c r="F1323" s="636">
        <v>59139</v>
      </c>
      <c r="G1323" s="637" t="s">
        <v>81</v>
      </c>
      <c r="H1323" s="637" t="s">
        <v>1163</v>
      </c>
      <c r="I1323" s="637" t="s">
        <v>58</v>
      </c>
      <c r="J1323" s="636">
        <v>22</v>
      </c>
      <c r="K1323" s="636">
        <v>2</v>
      </c>
      <c r="L1323" s="637" t="s">
        <v>52</v>
      </c>
      <c r="M1323" s="637" t="s">
        <v>441</v>
      </c>
      <c r="N1323" s="637" t="s">
        <v>442</v>
      </c>
      <c r="O1323" s="637" t="s">
        <v>442</v>
      </c>
      <c r="P1323" s="637" t="s">
        <v>1156</v>
      </c>
      <c r="Q1323" s="638">
        <v>0</v>
      </c>
      <c r="R1323" s="638">
        <v>0</v>
      </c>
      <c r="S1323" s="638">
        <v>13276</v>
      </c>
      <c r="T1323" s="638">
        <v>13276</v>
      </c>
      <c r="U1323" s="638">
        <v>3891</v>
      </c>
      <c r="V1323" s="636">
        <v>2022</v>
      </c>
      <c r="W1323" s="640"/>
      <c r="X1323" s="641">
        <f t="shared" si="60"/>
        <v>3.4119763556926239</v>
      </c>
      <c r="Y1323" s="642" t="str">
        <f t="shared" si="61"/>
        <v/>
      </c>
      <c r="Z1323" s="642" t="str">
        <f t="shared" si="62"/>
        <v/>
      </c>
    </row>
    <row r="1324" spans="1:26" s="127" customFormat="1" ht="25">
      <c r="A1324" s="636">
        <v>58873</v>
      </c>
      <c r="B1324" s="637" t="s">
        <v>33</v>
      </c>
      <c r="C1324" s="636" t="s">
        <v>2725</v>
      </c>
      <c r="D1324" s="637" t="s">
        <v>1613</v>
      </c>
      <c r="E1324" s="637" t="s">
        <v>1614</v>
      </c>
      <c r="F1324" s="636">
        <v>58756</v>
      </c>
      <c r="G1324" s="637" t="s">
        <v>57</v>
      </c>
      <c r="H1324" s="637" t="s">
        <v>1162</v>
      </c>
      <c r="I1324" s="637" t="s">
        <v>58</v>
      </c>
      <c r="J1324" s="636">
        <v>22</v>
      </c>
      <c r="K1324" s="636">
        <v>2</v>
      </c>
      <c r="L1324" s="637" t="s">
        <v>52</v>
      </c>
      <c r="M1324" s="637" t="s">
        <v>35</v>
      </c>
      <c r="N1324" s="637" t="s">
        <v>36</v>
      </c>
      <c r="O1324" s="637" t="s">
        <v>37</v>
      </c>
      <c r="P1324" s="637" t="s">
        <v>1156</v>
      </c>
      <c r="Q1324" s="638">
        <v>0</v>
      </c>
      <c r="R1324" s="638">
        <v>0</v>
      </c>
      <c r="S1324" s="638">
        <v>47541</v>
      </c>
      <c r="T1324" s="638">
        <v>47541</v>
      </c>
      <c r="U1324" s="638">
        <v>13933</v>
      </c>
      <c r="V1324" s="636">
        <v>2022</v>
      </c>
      <c r="W1324" s="640"/>
      <c r="X1324" s="641">
        <f t="shared" si="60"/>
        <v>3.4121151223713486</v>
      </c>
      <c r="Y1324" s="642" t="str">
        <f t="shared" si="61"/>
        <v/>
      </c>
      <c r="Z1324" s="642" t="str">
        <f t="shared" si="62"/>
        <v/>
      </c>
    </row>
    <row r="1325" spans="1:26" s="127" customFormat="1" ht="25">
      <c r="A1325" s="636">
        <v>58876</v>
      </c>
      <c r="B1325" s="637" t="s">
        <v>33</v>
      </c>
      <c r="C1325" s="636" t="s">
        <v>2725</v>
      </c>
      <c r="D1325" s="637" t="s">
        <v>2279</v>
      </c>
      <c r="E1325" s="637" t="s">
        <v>2280</v>
      </c>
      <c r="F1325" s="636">
        <v>60556</v>
      </c>
      <c r="G1325" s="637" t="s">
        <v>41</v>
      </c>
      <c r="H1325" s="637" t="s">
        <v>1163</v>
      </c>
      <c r="I1325" s="637" t="s">
        <v>58</v>
      </c>
      <c r="J1325" s="636">
        <v>22</v>
      </c>
      <c r="K1325" s="636">
        <v>2</v>
      </c>
      <c r="L1325" s="637" t="s">
        <v>52</v>
      </c>
      <c r="M1325" s="637" t="s">
        <v>441</v>
      </c>
      <c r="N1325" s="637" t="s">
        <v>442</v>
      </c>
      <c r="O1325" s="637" t="s">
        <v>442</v>
      </c>
      <c r="P1325" s="637" t="s">
        <v>1156</v>
      </c>
      <c r="Q1325" s="638">
        <v>0</v>
      </c>
      <c r="R1325" s="638">
        <v>0</v>
      </c>
      <c r="S1325" s="638">
        <v>140491</v>
      </c>
      <c r="T1325" s="638">
        <v>140491</v>
      </c>
      <c r="U1325" s="638">
        <v>41175</v>
      </c>
      <c r="V1325" s="636">
        <v>2022</v>
      </c>
      <c r="W1325" s="640"/>
      <c r="X1325" s="641">
        <f t="shared" si="60"/>
        <v>3.4120461445051609</v>
      </c>
      <c r="Y1325" s="642" t="str">
        <f t="shared" si="61"/>
        <v/>
      </c>
      <c r="Z1325" s="642" t="str">
        <f t="shared" si="62"/>
        <v/>
      </c>
    </row>
    <row r="1326" spans="1:26" s="127" customFormat="1" ht="25">
      <c r="A1326" s="636">
        <v>58934</v>
      </c>
      <c r="B1326" s="637" t="s">
        <v>33</v>
      </c>
      <c r="C1326" s="636" t="s">
        <v>2725</v>
      </c>
      <c r="D1326" s="637" t="s">
        <v>1615</v>
      </c>
      <c r="E1326" s="637" t="s">
        <v>1616</v>
      </c>
      <c r="F1326" s="636">
        <v>58801</v>
      </c>
      <c r="G1326" s="637" t="s">
        <v>81</v>
      </c>
      <c r="H1326" s="637" t="s">
        <v>1163</v>
      </c>
      <c r="I1326" s="637" t="s">
        <v>58</v>
      </c>
      <c r="J1326" s="636">
        <v>22</v>
      </c>
      <c r="K1326" s="636">
        <v>2</v>
      </c>
      <c r="L1326" s="637" t="s">
        <v>52</v>
      </c>
      <c r="M1326" s="637" t="s">
        <v>441</v>
      </c>
      <c r="N1326" s="637" t="s">
        <v>442</v>
      </c>
      <c r="O1326" s="637" t="s">
        <v>442</v>
      </c>
      <c r="P1326" s="637" t="s">
        <v>1156</v>
      </c>
      <c r="Q1326" s="638">
        <v>0</v>
      </c>
      <c r="R1326" s="638">
        <v>0</v>
      </c>
      <c r="S1326" s="638">
        <v>12619</v>
      </c>
      <c r="T1326" s="638">
        <v>12619</v>
      </c>
      <c r="U1326" s="638">
        <v>3699</v>
      </c>
      <c r="V1326" s="636">
        <v>2022</v>
      </c>
      <c r="W1326" s="640"/>
      <c r="X1326" s="641">
        <f t="shared" si="60"/>
        <v>3.4114625574479591</v>
      </c>
      <c r="Y1326" s="642" t="str">
        <f t="shared" si="61"/>
        <v/>
      </c>
      <c r="Z1326" s="642" t="str">
        <f t="shared" si="62"/>
        <v/>
      </c>
    </row>
    <row r="1327" spans="1:26" s="127" customFormat="1" ht="25">
      <c r="A1327" s="636">
        <v>58935</v>
      </c>
      <c r="B1327" s="637" t="s">
        <v>33</v>
      </c>
      <c r="C1327" s="636" t="s">
        <v>2725</v>
      </c>
      <c r="D1327" s="637" t="s">
        <v>1617</v>
      </c>
      <c r="E1327" s="637" t="s">
        <v>1618</v>
      </c>
      <c r="F1327" s="636">
        <v>58800</v>
      </c>
      <c r="G1327" s="637" t="s">
        <v>89</v>
      </c>
      <c r="H1327" s="637" t="s">
        <v>1163</v>
      </c>
      <c r="I1327" s="637" t="s">
        <v>58</v>
      </c>
      <c r="J1327" s="636">
        <v>22</v>
      </c>
      <c r="K1327" s="636">
        <v>2</v>
      </c>
      <c r="L1327" s="637" t="s">
        <v>52</v>
      </c>
      <c r="M1327" s="637" t="s">
        <v>441</v>
      </c>
      <c r="N1327" s="637" t="s">
        <v>442</v>
      </c>
      <c r="O1327" s="637" t="s">
        <v>442</v>
      </c>
      <c r="P1327" s="637" t="s">
        <v>1156</v>
      </c>
      <c r="Q1327" s="638">
        <v>0</v>
      </c>
      <c r="R1327" s="638">
        <v>0</v>
      </c>
      <c r="S1327" s="638">
        <v>10270</v>
      </c>
      <c r="T1327" s="638">
        <v>10270</v>
      </c>
      <c r="U1327" s="638">
        <v>3010</v>
      </c>
      <c r="V1327" s="636">
        <v>2022</v>
      </c>
      <c r="W1327" s="640"/>
      <c r="X1327" s="641">
        <f t="shared" si="60"/>
        <v>3.4119601328903655</v>
      </c>
      <c r="Y1327" s="642" t="str">
        <f t="shared" si="61"/>
        <v/>
      </c>
      <c r="Z1327" s="642" t="str">
        <f t="shared" si="62"/>
        <v/>
      </c>
    </row>
    <row r="1328" spans="1:26" s="127" customFormat="1" ht="25">
      <c r="A1328" s="636">
        <v>58936</v>
      </c>
      <c r="B1328" s="637" t="s">
        <v>33</v>
      </c>
      <c r="C1328" s="636" t="s">
        <v>2725</v>
      </c>
      <c r="D1328" s="637" t="s">
        <v>1683</v>
      </c>
      <c r="E1328" s="637" t="s">
        <v>1684</v>
      </c>
      <c r="F1328" s="636">
        <v>58802</v>
      </c>
      <c r="G1328" s="637" t="s">
        <v>81</v>
      </c>
      <c r="H1328" s="637" t="s">
        <v>1163</v>
      </c>
      <c r="I1328" s="637" t="s">
        <v>58</v>
      </c>
      <c r="J1328" s="636">
        <v>22</v>
      </c>
      <c r="K1328" s="636">
        <v>2</v>
      </c>
      <c r="L1328" s="637" t="s">
        <v>52</v>
      </c>
      <c r="M1328" s="637" t="s">
        <v>441</v>
      </c>
      <c r="N1328" s="637" t="s">
        <v>442</v>
      </c>
      <c r="O1328" s="637" t="s">
        <v>442</v>
      </c>
      <c r="P1328" s="637" t="s">
        <v>1156</v>
      </c>
      <c r="Q1328" s="638">
        <v>0</v>
      </c>
      <c r="R1328" s="638">
        <v>0</v>
      </c>
      <c r="S1328" s="638">
        <v>12615</v>
      </c>
      <c r="T1328" s="638">
        <v>12615</v>
      </c>
      <c r="U1328" s="638">
        <v>3697</v>
      </c>
      <c r="V1328" s="636">
        <v>2022</v>
      </c>
      <c r="W1328" s="640"/>
      <c r="X1328" s="641">
        <f t="shared" si="60"/>
        <v>3.4122261292940221</v>
      </c>
      <c r="Y1328" s="642" t="str">
        <f t="shared" si="61"/>
        <v/>
      </c>
      <c r="Z1328" s="642" t="str">
        <f t="shared" si="62"/>
        <v/>
      </c>
    </row>
    <row r="1329" spans="1:26" s="127" customFormat="1" ht="25">
      <c r="A1329" s="636">
        <v>58937</v>
      </c>
      <c r="B1329" s="637" t="s">
        <v>33</v>
      </c>
      <c r="C1329" s="636" t="s">
        <v>2725</v>
      </c>
      <c r="D1329" s="637" t="s">
        <v>1685</v>
      </c>
      <c r="E1329" s="637" t="s">
        <v>1686</v>
      </c>
      <c r="F1329" s="636">
        <v>58803</v>
      </c>
      <c r="G1329" s="637" t="s">
        <v>81</v>
      </c>
      <c r="H1329" s="637" t="s">
        <v>1163</v>
      </c>
      <c r="I1329" s="637" t="s">
        <v>58</v>
      </c>
      <c r="J1329" s="636">
        <v>22</v>
      </c>
      <c r="K1329" s="636">
        <v>2</v>
      </c>
      <c r="L1329" s="637" t="s">
        <v>52</v>
      </c>
      <c r="M1329" s="637" t="s">
        <v>441</v>
      </c>
      <c r="N1329" s="637" t="s">
        <v>442</v>
      </c>
      <c r="O1329" s="637" t="s">
        <v>442</v>
      </c>
      <c r="P1329" s="637" t="s">
        <v>1156</v>
      </c>
      <c r="Q1329" s="638">
        <v>0</v>
      </c>
      <c r="R1329" s="638">
        <v>0</v>
      </c>
      <c r="S1329" s="638">
        <v>10809</v>
      </c>
      <c r="T1329" s="638">
        <v>10809</v>
      </c>
      <c r="U1329" s="638">
        <v>3168</v>
      </c>
      <c r="V1329" s="636">
        <v>2022</v>
      </c>
      <c r="W1329" s="640"/>
      <c r="X1329" s="641">
        <f t="shared" si="60"/>
        <v>3.4119318181818183</v>
      </c>
      <c r="Y1329" s="642" t="str">
        <f t="shared" si="61"/>
        <v/>
      </c>
      <c r="Z1329" s="642" t="str">
        <f t="shared" si="62"/>
        <v/>
      </c>
    </row>
    <row r="1330" spans="1:26" s="127" customFormat="1" ht="25">
      <c r="A1330" s="636">
        <v>58958</v>
      </c>
      <c r="B1330" s="637" t="s">
        <v>33</v>
      </c>
      <c r="C1330" s="636" t="s">
        <v>2725</v>
      </c>
      <c r="D1330" s="637" t="s">
        <v>1619</v>
      </c>
      <c r="E1330" s="637" t="s">
        <v>1619</v>
      </c>
      <c r="F1330" s="636">
        <v>58821</v>
      </c>
      <c r="G1330" s="637" t="s">
        <v>81</v>
      </c>
      <c r="H1330" s="637" t="s">
        <v>1163</v>
      </c>
      <c r="I1330" s="637" t="s">
        <v>58</v>
      </c>
      <c r="J1330" s="636">
        <v>22</v>
      </c>
      <c r="K1330" s="636">
        <v>2</v>
      </c>
      <c r="L1330" s="637" t="s">
        <v>52</v>
      </c>
      <c r="M1330" s="637" t="s">
        <v>71</v>
      </c>
      <c r="N1330" s="637" t="s">
        <v>72</v>
      </c>
      <c r="O1330" s="637" t="s">
        <v>72</v>
      </c>
      <c r="P1330" s="637" t="s">
        <v>1156</v>
      </c>
      <c r="Q1330" s="638">
        <v>0</v>
      </c>
      <c r="R1330" s="638">
        <v>0</v>
      </c>
      <c r="S1330" s="638">
        <v>8533</v>
      </c>
      <c r="T1330" s="638">
        <v>8533</v>
      </c>
      <c r="U1330" s="638">
        <v>2501</v>
      </c>
      <c r="V1330" s="636">
        <v>2022</v>
      </c>
      <c r="W1330" s="640"/>
      <c r="X1330" s="641">
        <f t="shared" si="60"/>
        <v>3.4118352658936426</v>
      </c>
      <c r="Y1330" s="642" t="str">
        <f t="shared" si="61"/>
        <v/>
      </c>
      <c r="Z1330" s="642" t="str">
        <f t="shared" si="62"/>
        <v/>
      </c>
    </row>
    <row r="1331" spans="1:26" s="127" customFormat="1" ht="25">
      <c r="A1331" s="636">
        <v>58964</v>
      </c>
      <c r="B1331" s="637" t="s">
        <v>33</v>
      </c>
      <c r="C1331" s="636" t="s">
        <v>2725</v>
      </c>
      <c r="D1331" s="637" t="s">
        <v>1687</v>
      </c>
      <c r="E1331" s="637" t="s">
        <v>1108</v>
      </c>
      <c r="F1331" s="636">
        <v>56769</v>
      </c>
      <c r="G1331" s="637" t="s">
        <v>89</v>
      </c>
      <c r="H1331" s="637" t="s">
        <v>1163</v>
      </c>
      <c r="I1331" s="637" t="s">
        <v>58</v>
      </c>
      <c r="J1331" s="636">
        <v>22</v>
      </c>
      <c r="K1331" s="636">
        <v>2</v>
      </c>
      <c r="L1331" s="637" t="s">
        <v>52</v>
      </c>
      <c r="M1331" s="637" t="s">
        <v>441</v>
      </c>
      <c r="N1331" s="637" t="s">
        <v>442</v>
      </c>
      <c r="O1331" s="637" t="s">
        <v>442</v>
      </c>
      <c r="P1331" s="637" t="s">
        <v>1156</v>
      </c>
      <c r="Q1331" s="638">
        <v>0</v>
      </c>
      <c r="R1331" s="638">
        <v>0</v>
      </c>
      <c r="S1331" s="638">
        <v>10289</v>
      </c>
      <c r="T1331" s="638">
        <v>10289</v>
      </c>
      <c r="U1331" s="638">
        <v>3016</v>
      </c>
      <c r="V1331" s="636">
        <v>2022</v>
      </c>
      <c r="W1331" s="640"/>
      <c r="X1331" s="641">
        <f t="shared" si="60"/>
        <v>3.4114721485411139</v>
      </c>
      <c r="Y1331" s="642" t="str">
        <f t="shared" si="61"/>
        <v/>
      </c>
      <c r="Z1331" s="642" t="str">
        <f t="shared" si="62"/>
        <v/>
      </c>
    </row>
    <row r="1332" spans="1:26" s="127" customFormat="1" ht="25">
      <c r="A1332" s="636">
        <v>58974</v>
      </c>
      <c r="B1332" s="637" t="s">
        <v>33</v>
      </c>
      <c r="C1332" s="636" t="s">
        <v>2725</v>
      </c>
      <c r="D1332" s="637" t="s">
        <v>1688</v>
      </c>
      <c r="E1332" s="637" t="s">
        <v>1731</v>
      </c>
      <c r="F1332" s="636">
        <v>59254</v>
      </c>
      <c r="G1332" s="637" t="s">
        <v>81</v>
      </c>
      <c r="H1332" s="637" t="s">
        <v>1163</v>
      </c>
      <c r="I1332" s="637" t="s">
        <v>58</v>
      </c>
      <c r="J1332" s="636">
        <v>22</v>
      </c>
      <c r="K1332" s="636">
        <v>2</v>
      </c>
      <c r="L1332" s="637" t="s">
        <v>52</v>
      </c>
      <c r="M1332" s="637" t="s">
        <v>441</v>
      </c>
      <c r="N1332" s="637" t="s">
        <v>442</v>
      </c>
      <c r="O1332" s="637" t="s">
        <v>442</v>
      </c>
      <c r="P1332" s="637" t="s">
        <v>1156</v>
      </c>
      <c r="Q1332" s="638">
        <v>0</v>
      </c>
      <c r="R1332" s="638">
        <v>0</v>
      </c>
      <c r="S1332" s="638">
        <v>10430</v>
      </c>
      <c r="T1332" s="638">
        <v>10430</v>
      </c>
      <c r="U1332" s="638">
        <v>3057</v>
      </c>
      <c r="V1332" s="636">
        <v>2022</v>
      </c>
      <c r="W1332" s="640"/>
      <c r="X1332" s="641">
        <f t="shared" si="60"/>
        <v>3.4118416748446188</v>
      </c>
      <c r="Y1332" s="642" t="str">
        <f t="shared" si="61"/>
        <v/>
      </c>
      <c r="Z1332" s="642" t="str">
        <f t="shared" si="62"/>
        <v/>
      </c>
    </row>
    <row r="1333" spans="1:26" s="127" customFormat="1" ht="25">
      <c r="A1333" s="636">
        <v>58979</v>
      </c>
      <c r="B1333" s="637" t="s">
        <v>33</v>
      </c>
      <c r="C1333" s="636" t="s">
        <v>2725</v>
      </c>
      <c r="D1333" s="637" t="s">
        <v>2281</v>
      </c>
      <c r="E1333" s="637" t="s">
        <v>1700</v>
      </c>
      <c r="F1333" s="636">
        <v>57170</v>
      </c>
      <c r="G1333" s="637" t="s">
        <v>57</v>
      </c>
      <c r="H1333" s="637" t="s">
        <v>1162</v>
      </c>
      <c r="I1333" s="637" t="s">
        <v>58</v>
      </c>
      <c r="J1333" s="636">
        <v>22</v>
      </c>
      <c r="K1333" s="636">
        <v>2</v>
      </c>
      <c r="L1333" s="637" t="s">
        <v>52</v>
      </c>
      <c r="M1333" s="637" t="s">
        <v>71</v>
      </c>
      <c r="N1333" s="637" t="s">
        <v>72</v>
      </c>
      <c r="O1333" s="637" t="s">
        <v>72</v>
      </c>
      <c r="P1333" s="637" t="s">
        <v>1156</v>
      </c>
      <c r="Q1333" s="638">
        <v>0</v>
      </c>
      <c r="R1333" s="638">
        <v>0</v>
      </c>
      <c r="S1333" s="638">
        <v>894939</v>
      </c>
      <c r="T1333" s="638">
        <v>894939</v>
      </c>
      <c r="U1333" s="638">
        <v>262292</v>
      </c>
      <c r="V1333" s="636">
        <v>2022</v>
      </c>
      <c r="W1333" s="640"/>
      <c r="X1333" s="641">
        <f t="shared" si="60"/>
        <v>3.4119950284415843</v>
      </c>
      <c r="Y1333" s="642" t="str">
        <f t="shared" si="61"/>
        <v/>
      </c>
      <c r="Z1333" s="642" t="str">
        <f t="shared" si="62"/>
        <v/>
      </c>
    </row>
    <row r="1334" spans="1:26" s="127" customFormat="1" ht="37.5" hidden="1">
      <c r="A1334" s="636">
        <v>58992</v>
      </c>
      <c r="B1334" s="637" t="s">
        <v>33</v>
      </c>
      <c r="C1334" s="636" t="s">
        <v>2725</v>
      </c>
      <c r="D1334" s="637" t="s">
        <v>1620</v>
      </c>
      <c r="E1334" s="637" t="s">
        <v>1620</v>
      </c>
      <c r="F1334" s="636">
        <v>58844</v>
      </c>
      <c r="G1334" s="637" t="s">
        <v>81</v>
      </c>
      <c r="H1334" s="637" t="s">
        <v>1163</v>
      </c>
      <c r="I1334" s="637" t="s">
        <v>58</v>
      </c>
      <c r="J1334" s="636">
        <v>92214</v>
      </c>
      <c r="K1334" s="636">
        <v>4</v>
      </c>
      <c r="L1334" s="637" t="s">
        <v>406</v>
      </c>
      <c r="M1334" s="637" t="s">
        <v>71</v>
      </c>
      <c r="N1334" s="637" t="s">
        <v>72</v>
      </c>
      <c r="O1334" s="637" t="s">
        <v>72</v>
      </c>
      <c r="P1334" s="637" t="s">
        <v>1156</v>
      </c>
      <c r="Q1334" s="638">
        <v>0</v>
      </c>
      <c r="R1334" s="638">
        <v>0</v>
      </c>
      <c r="S1334" s="638">
        <v>23043</v>
      </c>
      <c r="T1334" s="638">
        <v>23043</v>
      </c>
      <c r="U1334" s="638">
        <v>6754</v>
      </c>
      <c r="V1334" s="636">
        <v>2022</v>
      </c>
      <c r="W1334" s="640"/>
      <c r="X1334" s="641" t="str">
        <f t="shared" si="60"/>
        <v/>
      </c>
      <c r="Y1334" s="642" t="str">
        <f t="shared" si="61"/>
        <v/>
      </c>
      <c r="Z1334" s="642" t="str">
        <f t="shared" si="62"/>
        <v/>
      </c>
    </row>
    <row r="1335" spans="1:26" s="127" customFormat="1" ht="25">
      <c r="A1335" s="636">
        <v>59011</v>
      </c>
      <c r="B1335" s="637" t="s">
        <v>33</v>
      </c>
      <c r="C1335" s="636" t="s">
        <v>2725</v>
      </c>
      <c r="D1335" s="637" t="s">
        <v>1621</v>
      </c>
      <c r="E1335" s="637" t="s">
        <v>1885</v>
      </c>
      <c r="F1335" s="636">
        <v>58860</v>
      </c>
      <c r="G1335" s="637" t="s">
        <v>81</v>
      </c>
      <c r="H1335" s="637" t="s">
        <v>1163</v>
      </c>
      <c r="I1335" s="637" t="s">
        <v>58</v>
      </c>
      <c r="J1335" s="636">
        <v>22</v>
      </c>
      <c r="K1335" s="636">
        <v>2</v>
      </c>
      <c r="L1335" s="637" t="s">
        <v>52</v>
      </c>
      <c r="M1335" s="637" t="s">
        <v>51</v>
      </c>
      <c r="N1335" s="637" t="s">
        <v>63</v>
      </c>
      <c r="O1335" s="637" t="s">
        <v>64</v>
      </c>
      <c r="P1335" s="637" t="s">
        <v>1020</v>
      </c>
      <c r="Q1335" s="638">
        <v>257466</v>
      </c>
      <c r="R1335" s="638">
        <v>257466</v>
      </c>
      <c r="S1335" s="638">
        <v>119723</v>
      </c>
      <c r="T1335" s="638">
        <v>119723</v>
      </c>
      <c r="U1335" s="638">
        <v>11723</v>
      </c>
      <c r="V1335" s="636">
        <v>2022</v>
      </c>
      <c r="W1335" s="640"/>
      <c r="X1335" s="641">
        <f t="shared" si="60"/>
        <v>10.212658875714407</v>
      </c>
      <c r="Y1335" s="642" t="str">
        <f t="shared" si="61"/>
        <v/>
      </c>
      <c r="Z1335" s="642" t="str">
        <f t="shared" si="62"/>
        <v/>
      </c>
    </row>
    <row r="1336" spans="1:26" s="127" customFormat="1" ht="25">
      <c r="A1336" s="636">
        <v>59013</v>
      </c>
      <c r="B1336" s="637" t="s">
        <v>33</v>
      </c>
      <c r="C1336" s="636" t="s">
        <v>2725</v>
      </c>
      <c r="D1336" s="637" t="s">
        <v>1622</v>
      </c>
      <c r="E1336" s="637" t="s">
        <v>2166</v>
      </c>
      <c r="F1336" s="636">
        <v>61012</v>
      </c>
      <c r="G1336" s="637" t="s">
        <v>81</v>
      </c>
      <c r="H1336" s="637" t="s">
        <v>1163</v>
      </c>
      <c r="I1336" s="637" t="s">
        <v>58</v>
      </c>
      <c r="J1336" s="636">
        <v>22</v>
      </c>
      <c r="K1336" s="636">
        <v>2</v>
      </c>
      <c r="L1336" s="637" t="s">
        <v>52</v>
      </c>
      <c r="M1336" s="637" t="s">
        <v>441</v>
      </c>
      <c r="N1336" s="637" t="s">
        <v>442</v>
      </c>
      <c r="O1336" s="637" t="s">
        <v>442</v>
      </c>
      <c r="P1336" s="637" t="s">
        <v>1156</v>
      </c>
      <c r="Q1336" s="638">
        <v>0</v>
      </c>
      <c r="R1336" s="638">
        <v>0</v>
      </c>
      <c r="S1336" s="638">
        <v>12673</v>
      </c>
      <c r="T1336" s="638">
        <v>12673</v>
      </c>
      <c r="U1336" s="638">
        <v>3715</v>
      </c>
      <c r="V1336" s="636">
        <v>2022</v>
      </c>
      <c r="W1336" s="640"/>
      <c r="X1336" s="641">
        <f t="shared" si="60"/>
        <v>3.4113055181695828</v>
      </c>
      <c r="Y1336" s="642" t="str">
        <f t="shared" si="61"/>
        <v/>
      </c>
      <c r="Z1336" s="642" t="str">
        <f t="shared" si="62"/>
        <v/>
      </c>
    </row>
    <row r="1337" spans="1:26" s="127" customFormat="1" ht="25">
      <c r="A1337" s="636">
        <v>59014</v>
      </c>
      <c r="B1337" s="637" t="s">
        <v>33</v>
      </c>
      <c r="C1337" s="636" t="s">
        <v>2725</v>
      </c>
      <c r="D1337" s="637" t="s">
        <v>1623</v>
      </c>
      <c r="E1337" s="637" t="s">
        <v>2166</v>
      </c>
      <c r="F1337" s="636">
        <v>61012</v>
      </c>
      <c r="G1337" s="637" t="s">
        <v>81</v>
      </c>
      <c r="H1337" s="637" t="s">
        <v>1163</v>
      </c>
      <c r="I1337" s="637" t="s">
        <v>58</v>
      </c>
      <c r="J1337" s="636">
        <v>22</v>
      </c>
      <c r="K1337" s="636">
        <v>2</v>
      </c>
      <c r="L1337" s="637" t="s">
        <v>52</v>
      </c>
      <c r="M1337" s="637" t="s">
        <v>441</v>
      </c>
      <c r="N1337" s="637" t="s">
        <v>442</v>
      </c>
      <c r="O1337" s="637" t="s">
        <v>442</v>
      </c>
      <c r="P1337" s="637" t="s">
        <v>1156</v>
      </c>
      <c r="Q1337" s="638">
        <v>0</v>
      </c>
      <c r="R1337" s="638">
        <v>0</v>
      </c>
      <c r="S1337" s="638">
        <v>25500</v>
      </c>
      <c r="T1337" s="638">
        <v>25500</v>
      </c>
      <c r="U1337" s="638">
        <v>7474</v>
      </c>
      <c r="V1337" s="636">
        <v>2022</v>
      </c>
      <c r="W1337" s="640"/>
      <c r="X1337" s="641">
        <f t="shared" si="60"/>
        <v>3.411827669253412</v>
      </c>
      <c r="Y1337" s="642" t="str">
        <f t="shared" si="61"/>
        <v/>
      </c>
      <c r="Z1337" s="642" t="str">
        <f t="shared" si="62"/>
        <v/>
      </c>
    </row>
    <row r="1338" spans="1:26" s="127" customFormat="1" ht="25">
      <c r="A1338" s="636">
        <v>59015</v>
      </c>
      <c r="B1338" s="637" t="s">
        <v>33</v>
      </c>
      <c r="C1338" s="636" t="s">
        <v>2725</v>
      </c>
      <c r="D1338" s="637" t="s">
        <v>1624</v>
      </c>
      <c r="E1338" s="637" t="s">
        <v>2166</v>
      </c>
      <c r="F1338" s="636">
        <v>61012</v>
      </c>
      <c r="G1338" s="637" t="s">
        <v>81</v>
      </c>
      <c r="H1338" s="637" t="s">
        <v>1163</v>
      </c>
      <c r="I1338" s="637" t="s">
        <v>58</v>
      </c>
      <c r="J1338" s="636">
        <v>22</v>
      </c>
      <c r="K1338" s="636">
        <v>2</v>
      </c>
      <c r="L1338" s="637" t="s">
        <v>52</v>
      </c>
      <c r="M1338" s="637" t="s">
        <v>441</v>
      </c>
      <c r="N1338" s="637" t="s">
        <v>442</v>
      </c>
      <c r="O1338" s="637" t="s">
        <v>442</v>
      </c>
      <c r="P1338" s="637" t="s">
        <v>1156</v>
      </c>
      <c r="Q1338" s="638">
        <v>0</v>
      </c>
      <c r="R1338" s="638">
        <v>0</v>
      </c>
      <c r="S1338" s="638">
        <v>9194</v>
      </c>
      <c r="T1338" s="638">
        <v>9194</v>
      </c>
      <c r="U1338" s="638">
        <v>2695</v>
      </c>
      <c r="V1338" s="636">
        <v>2022</v>
      </c>
      <c r="W1338" s="640"/>
      <c r="X1338" s="641">
        <f t="shared" si="60"/>
        <v>3.4115027829313544</v>
      </c>
      <c r="Y1338" s="642" t="str">
        <f t="shared" si="61"/>
        <v/>
      </c>
      <c r="Z1338" s="642" t="str">
        <f t="shared" si="62"/>
        <v/>
      </c>
    </row>
    <row r="1339" spans="1:26" s="127" customFormat="1" ht="25">
      <c r="A1339" s="636">
        <v>59028</v>
      </c>
      <c r="B1339" s="637" t="s">
        <v>33</v>
      </c>
      <c r="C1339" s="636" t="s">
        <v>2725</v>
      </c>
      <c r="D1339" s="637" t="s">
        <v>1625</v>
      </c>
      <c r="E1339" s="637" t="s">
        <v>1626</v>
      </c>
      <c r="F1339" s="636">
        <v>58871</v>
      </c>
      <c r="G1339" s="637" t="s">
        <v>81</v>
      </c>
      <c r="H1339" s="637" t="s">
        <v>1163</v>
      </c>
      <c r="I1339" s="637" t="s">
        <v>58</v>
      </c>
      <c r="J1339" s="636">
        <v>22</v>
      </c>
      <c r="K1339" s="636">
        <v>2</v>
      </c>
      <c r="L1339" s="637" t="s">
        <v>52</v>
      </c>
      <c r="M1339" s="637" t="s">
        <v>441</v>
      </c>
      <c r="N1339" s="637" t="s">
        <v>442</v>
      </c>
      <c r="O1339" s="637" t="s">
        <v>442</v>
      </c>
      <c r="P1339" s="637" t="s">
        <v>1156</v>
      </c>
      <c r="Q1339" s="638">
        <v>0</v>
      </c>
      <c r="R1339" s="638">
        <v>0</v>
      </c>
      <c r="S1339" s="638">
        <v>7291</v>
      </c>
      <c r="T1339" s="638">
        <v>7291</v>
      </c>
      <c r="U1339" s="638">
        <v>2137</v>
      </c>
      <c r="V1339" s="636">
        <v>2022</v>
      </c>
      <c r="W1339" s="640"/>
      <c r="X1339" s="641">
        <f t="shared" si="60"/>
        <v>3.4117922321010763</v>
      </c>
      <c r="Y1339" s="642" t="str">
        <f t="shared" si="61"/>
        <v/>
      </c>
      <c r="Z1339" s="642" t="str">
        <f t="shared" si="62"/>
        <v/>
      </c>
    </row>
    <row r="1340" spans="1:26" s="127" customFormat="1" ht="25">
      <c r="A1340" s="636">
        <v>59029</v>
      </c>
      <c r="B1340" s="637" t="s">
        <v>33</v>
      </c>
      <c r="C1340" s="636" t="s">
        <v>2725</v>
      </c>
      <c r="D1340" s="637" t="s">
        <v>1627</v>
      </c>
      <c r="E1340" s="637" t="s">
        <v>1626</v>
      </c>
      <c r="F1340" s="636">
        <v>58871</v>
      </c>
      <c r="G1340" s="637" t="s">
        <v>81</v>
      </c>
      <c r="H1340" s="637" t="s">
        <v>1163</v>
      </c>
      <c r="I1340" s="637" t="s">
        <v>58</v>
      </c>
      <c r="J1340" s="636">
        <v>22</v>
      </c>
      <c r="K1340" s="636">
        <v>2</v>
      </c>
      <c r="L1340" s="637" t="s">
        <v>52</v>
      </c>
      <c r="M1340" s="637" t="s">
        <v>441</v>
      </c>
      <c r="N1340" s="637" t="s">
        <v>442</v>
      </c>
      <c r="O1340" s="637" t="s">
        <v>442</v>
      </c>
      <c r="P1340" s="637" t="s">
        <v>1156</v>
      </c>
      <c r="Q1340" s="638">
        <v>0</v>
      </c>
      <c r="R1340" s="638">
        <v>0</v>
      </c>
      <c r="S1340" s="638">
        <v>11445</v>
      </c>
      <c r="T1340" s="638">
        <v>11445</v>
      </c>
      <c r="U1340" s="638">
        <v>3354</v>
      </c>
      <c r="V1340" s="636">
        <v>2022</v>
      </c>
      <c r="W1340" s="640"/>
      <c r="X1340" s="641">
        <f t="shared" si="60"/>
        <v>3.4123434704830053</v>
      </c>
      <c r="Y1340" s="642" t="str">
        <f t="shared" si="61"/>
        <v/>
      </c>
      <c r="Z1340" s="642" t="str">
        <f t="shared" si="62"/>
        <v/>
      </c>
    </row>
    <row r="1341" spans="1:26" s="127" customFormat="1" ht="25">
      <c r="A1341" s="636">
        <v>59030</v>
      </c>
      <c r="B1341" s="637" t="s">
        <v>33</v>
      </c>
      <c r="C1341" s="636" t="s">
        <v>2725</v>
      </c>
      <c r="D1341" s="637" t="s">
        <v>1628</v>
      </c>
      <c r="E1341" s="637" t="s">
        <v>1626</v>
      </c>
      <c r="F1341" s="636">
        <v>58871</v>
      </c>
      <c r="G1341" s="637" t="s">
        <v>81</v>
      </c>
      <c r="H1341" s="637" t="s">
        <v>1163</v>
      </c>
      <c r="I1341" s="637" t="s">
        <v>58</v>
      </c>
      <c r="J1341" s="636">
        <v>22</v>
      </c>
      <c r="K1341" s="636">
        <v>2</v>
      </c>
      <c r="L1341" s="637" t="s">
        <v>52</v>
      </c>
      <c r="M1341" s="637" t="s">
        <v>441</v>
      </c>
      <c r="N1341" s="637" t="s">
        <v>442</v>
      </c>
      <c r="O1341" s="637" t="s">
        <v>442</v>
      </c>
      <c r="P1341" s="637" t="s">
        <v>1156</v>
      </c>
      <c r="Q1341" s="638">
        <v>0</v>
      </c>
      <c r="R1341" s="638">
        <v>0</v>
      </c>
      <c r="S1341" s="638">
        <v>17231</v>
      </c>
      <c r="T1341" s="638">
        <v>17231</v>
      </c>
      <c r="U1341" s="638">
        <v>5050</v>
      </c>
      <c r="V1341" s="636">
        <v>2022</v>
      </c>
      <c r="W1341" s="640"/>
      <c r="X1341" s="641">
        <f t="shared" si="60"/>
        <v>3.412079207920792</v>
      </c>
      <c r="Y1341" s="642" t="str">
        <f t="shared" si="61"/>
        <v/>
      </c>
      <c r="Z1341" s="642" t="str">
        <f t="shared" si="62"/>
        <v/>
      </c>
    </row>
    <row r="1342" spans="1:26" s="127" customFormat="1" ht="25">
      <c r="A1342" s="636">
        <v>59031</v>
      </c>
      <c r="B1342" s="637" t="s">
        <v>33</v>
      </c>
      <c r="C1342" s="636" t="s">
        <v>2725</v>
      </c>
      <c r="D1342" s="637" t="s">
        <v>1629</v>
      </c>
      <c r="E1342" s="637" t="s">
        <v>1626</v>
      </c>
      <c r="F1342" s="636">
        <v>58871</v>
      </c>
      <c r="G1342" s="637" t="s">
        <v>81</v>
      </c>
      <c r="H1342" s="637" t="s">
        <v>1163</v>
      </c>
      <c r="I1342" s="637" t="s">
        <v>58</v>
      </c>
      <c r="J1342" s="636">
        <v>22</v>
      </c>
      <c r="K1342" s="636">
        <v>2</v>
      </c>
      <c r="L1342" s="637" t="s">
        <v>52</v>
      </c>
      <c r="M1342" s="637" t="s">
        <v>441</v>
      </c>
      <c r="N1342" s="637" t="s">
        <v>442</v>
      </c>
      <c r="O1342" s="637" t="s">
        <v>442</v>
      </c>
      <c r="P1342" s="637" t="s">
        <v>1156</v>
      </c>
      <c r="Q1342" s="638">
        <v>0</v>
      </c>
      <c r="R1342" s="638">
        <v>0</v>
      </c>
      <c r="S1342" s="638">
        <v>8640</v>
      </c>
      <c r="T1342" s="638">
        <v>8640</v>
      </c>
      <c r="U1342" s="638">
        <v>2532</v>
      </c>
      <c r="V1342" s="636">
        <v>2022</v>
      </c>
      <c r="W1342" s="640"/>
      <c r="X1342" s="641">
        <f t="shared" si="60"/>
        <v>3.4123222748815167</v>
      </c>
      <c r="Y1342" s="642" t="str">
        <f t="shared" si="61"/>
        <v/>
      </c>
      <c r="Z1342" s="642" t="str">
        <f t="shared" si="62"/>
        <v/>
      </c>
    </row>
    <row r="1343" spans="1:26" s="127" customFormat="1" ht="25">
      <c r="A1343" s="636">
        <v>59032</v>
      </c>
      <c r="B1343" s="637" t="s">
        <v>33</v>
      </c>
      <c r="C1343" s="636" t="s">
        <v>2725</v>
      </c>
      <c r="D1343" s="637" t="s">
        <v>1630</v>
      </c>
      <c r="E1343" s="637" t="s">
        <v>1626</v>
      </c>
      <c r="F1343" s="636">
        <v>58871</v>
      </c>
      <c r="G1343" s="637" t="s">
        <v>81</v>
      </c>
      <c r="H1343" s="637" t="s">
        <v>1163</v>
      </c>
      <c r="I1343" s="637" t="s">
        <v>58</v>
      </c>
      <c r="J1343" s="636">
        <v>22</v>
      </c>
      <c r="K1343" s="636">
        <v>2</v>
      </c>
      <c r="L1343" s="637" t="s">
        <v>52</v>
      </c>
      <c r="M1343" s="637" t="s">
        <v>441</v>
      </c>
      <c r="N1343" s="637" t="s">
        <v>442</v>
      </c>
      <c r="O1343" s="637" t="s">
        <v>442</v>
      </c>
      <c r="P1343" s="637" t="s">
        <v>1156</v>
      </c>
      <c r="Q1343" s="638">
        <v>0</v>
      </c>
      <c r="R1343" s="638">
        <v>0</v>
      </c>
      <c r="S1343" s="638">
        <v>13656</v>
      </c>
      <c r="T1343" s="638">
        <v>13656</v>
      </c>
      <c r="U1343" s="638">
        <v>4002</v>
      </c>
      <c r="V1343" s="636">
        <v>2022</v>
      </c>
      <c r="W1343" s="640"/>
      <c r="X1343" s="641">
        <f t="shared" si="60"/>
        <v>3.4122938530734634</v>
      </c>
      <c r="Y1343" s="642" t="str">
        <f t="shared" si="61"/>
        <v/>
      </c>
      <c r="Z1343" s="642" t="str">
        <f t="shared" si="62"/>
        <v/>
      </c>
    </row>
    <row r="1344" spans="1:26" s="127" customFormat="1" ht="25">
      <c r="A1344" s="636">
        <v>59033</v>
      </c>
      <c r="B1344" s="637" t="s">
        <v>33</v>
      </c>
      <c r="C1344" s="636" t="s">
        <v>2725</v>
      </c>
      <c r="D1344" s="637" t="s">
        <v>1631</v>
      </c>
      <c r="E1344" s="637" t="s">
        <v>1626</v>
      </c>
      <c r="F1344" s="636">
        <v>58871</v>
      </c>
      <c r="G1344" s="637" t="s">
        <v>81</v>
      </c>
      <c r="H1344" s="637" t="s">
        <v>1163</v>
      </c>
      <c r="I1344" s="637" t="s">
        <v>58</v>
      </c>
      <c r="J1344" s="636">
        <v>22</v>
      </c>
      <c r="K1344" s="636">
        <v>2</v>
      </c>
      <c r="L1344" s="637" t="s">
        <v>52</v>
      </c>
      <c r="M1344" s="637" t="s">
        <v>441</v>
      </c>
      <c r="N1344" s="637" t="s">
        <v>442</v>
      </c>
      <c r="O1344" s="637" t="s">
        <v>442</v>
      </c>
      <c r="P1344" s="637" t="s">
        <v>1156</v>
      </c>
      <c r="Q1344" s="638">
        <v>0</v>
      </c>
      <c r="R1344" s="638">
        <v>0</v>
      </c>
      <c r="S1344" s="638">
        <v>8011</v>
      </c>
      <c r="T1344" s="638">
        <v>8011</v>
      </c>
      <c r="U1344" s="638">
        <v>2348</v>
      </c>
      <c r="V1344" s="636">
        <v>2022</v>
      </c>
      <c r="W1344" s="640"/>
      <c r="X1344" s="641">
        <f t="shared" si="60"/>
        <v>3.4118398637137988</v>
      </c>
      <c r="Y1344" s="642" t="str">
        <f t="shared" si="61"/>
        <v/>
      </c>
      <c r="Z1344" s="642" t="str">
        <f t="shared" si="62"/>
        <v/>
      </c>
    </row>
    <row r="1345" spans="1:26" s="127" customFormat="1" ht="25">
      <c r="A1345" s="636">
        <v>59040</v>
      </c>
      <c r="B1345" s="637" t="s">
        <v>33</v>
      </c>
      <c r="C1345" s="636" t="s">
        <v>2725</v>
      </c>
      <c r="D1345" s="637" t="s">
        <v>1886</v>
      </c>
      <c r="E1345" s="637" t="s">
        <v>3025</v>
      </c>
      <c r="F1345" s="636">
        <v>57280</v>
      </c>
      <c r="G1345" s="637" t="s">
        <v>89</v>
      </c>
      <c r="H1345" s="637" t="s">
        <v>1163</v>
      </c>
      <c r="I1345" s="637" t="s">
        <v>58</v>
      </c>
      <c r="J1345" s="636">
        <v>22</v>
      </c>
      <c r="K1345" s="636">
        <v>2</v>
      </c>
      <c r="L1345" s="637" t="s">
        <v>52</v>
      </c>
      <c r="M1345" s="637" t="s">
        <v>35</v>
      </c>
      <c r="N1345" s="637" t="s">
        <v>36</v>
      </c>
      <c r="O1345" s="637" t="s">
        <v>37</v>
      </c>
      <c r="P1345" s="637" t="s">
        <v>1156</v>
      </c>
      <c r="Q1345" s="638">
        <v>0</v>
      </c>
      <c r="R1345" s="638">
        <v>0</v>
      </c>
      <c r="S1345" s="638">
        <v>11267</v>
      </c>
      <c r="T1345" s="638">
        <v>11267</v>
      </c>
      <c r="U1345" s="638">
        <v>3302</v>
      </c>
      <c r="V1345" s="636">
        <v>2022</v>
      </c>
      <c r="W1345" s="640"/>
      <c r="X1345" s="641">
        <f t="shared" si="60"/>
        <v>3.4121744397334948</v>
      </c>
      <c r="Y1345" s="642" t="str">
        <f t="shared" si="61"/>
        <v/>
      </c>
      <c r="Z1345" s="642" t="str">
        <f t="shared" si="62"/>
        <v/>
      </c>
    </row>
    <row r="1346" spans="1:26" s="127" customFormat="1" ht="25">
      <c r="A1346" s="636">
        <v>59043</v>
      </c>
      <c r="B1346" s="637" t="s">
        <v>33</v>
      </c>
      <c r="C1346" s="636" t="s">
        <v>2725</v>
      </c>
      <c r="D1346" s="637" t="s">
        <v>1632</v>
      </c>
      <c r="E1346" s="637" t="s">
        <v>1950</v>
      </c>
      <c r="F1346" s="636">
        <v>60281</v>
      </c>
      <c r="G1346" s="637" t="s">
        <v>130</v>
      </c>
      <c r="H1346" s="637" t="s">
        <v>1163</v>
      </c>
      <c r="I1346" s="637" t="s">
        <v>58</v>
      </c>
      <c r="J1346" s="636">
        <v>22</v>
      </c>
      <c r="K1346" s="636">
        <v>2</v>
      </c>
      <c r="L1346" s="637" t="s">
        <v>52</v>
      </c>
      <c r="M1346" s="637" t="s">
        <v>441</v>
      </c>
      <c r="N1346" s="637" t="s">
        <v>442</v>
      </c>
      <c r="O1346" s="637" t="s">
        <v>442</v>
      </c>
      <c r="P1346" s="637" t="s">
        <v>1156</v>
      </c>
      <c r="Q1346" s="638">
        <v>0</v>
      </c>
      <c r="R1346" s="638">
        <v>0</v>
      </c>
      <c r="S1346" s="638">
        <v>8752</v>
      </c>
      <c r="T1346" s="638">
        <v>8752</v>
      </c>
      <c r="U1346" s="638">
        <v>2565</v>
      </c>
      <c r="V1346" s="636">
        <v>2022</v>
      </c>
      <c r="W1346" s="640"/>
      <c r="X1346" s="641">
        <f t="shared" si="60"/>
        <v>3.4120857699805067</v>
      </c>
      <c r="Y1346" s="642" t="str">
        <f t="shared" si="61"/>
        <v/>
      </c>
      <c r="Z1346" s="642" t="str">
        <f t="shared" si="62"/>
        <v/>
      </c>
    </row>
    <row r="1347" spans="1:26" s="127" customFormat="1" ht="25">
      <c r="A1347" s="636">
        <v>59046</v>
      </c>
      <c r="B1347" s="637" t="s">
        <v>33</v>
      </c>
      <c r="C1347" s="636" t="s">
        <v>2725</v>
      </c>
      <c r="D1347" s="637" t="s">
        <v>1689</v>
      </c>
      <c r="E1347" s="637" t="s">
        <v>1731</v>
      </c>
      <c r="F1347" s="636">
        <v>59254</v>
      </c>
      <c r="G1347" s="637" t="s">
        <v>81</v>
      </c>
      <c r="H1347" s="637" t="s">
        <v>1163</v>
      </c>
      <c r="I1347" s="637" t="s">
        <v>58</v>
      </c>
      <c r="J1347" s="636">
        <v>22</v>
      </c>
      <c r="K1347" s="636">
        <v>2</v>
      </c>
      <c r="L1347" s="637" t="s">
        <v>52</v>
      </c>
      <c r="M1347" s="637" t="s">
        <v>441</v>
      </c>
      <c r="N1347" s="637" t="s">
        <v>442</v>
      </c>
      <c r="O1347" s="637" t="s">
        <v>442</v>
      </c>
      <c r="P1347" s="637" t="s">
        <v>1156</v>
      </c>
      <c r="Q1347" s="638">
        <v>0</v>
      </c>
      <c r="R1347" s="638">
        <v>0</v>
      </c>
      <c r="S1347" s="638">
        <v>14552</v>
      </c>
      <c r="T1347" s="638">
        <v>14552</v>
      </c>
      <c r="U1347" s="638">
        <v>4265</v>
      </c>
      <c r="V1347" s="636">
        <v>2022</v>
      </c>
      <c r="W1347" s="640"/>
      <c r="X1347" s="641">
        <f t="shared" si="60"/>
        <v>3.4119577960140681</v>
      </c>
      <c r="Y1347" s="642" t="str">
        <f t="shared" si="61"/>
        <v/>
      </c>
      <c r="Z1347" s="642" t="str">
        <f t="shared" si="62"/>
        <v/>
      </c>
    </row>
    <row r="1348" spans="1:26" s="127" customFormat="1" ht="25">
      <c r="A1348" s="636">
        <v>59049</v>
      </c>
      <c r="B1348" s="637" t="s">
        <v>33</v>
      </c>
      <c r="C1348" s="636" t="s">
        <v>2725</v>
      </c>
      <c r="D1348" s="637" t="s">
        <v>1690</v>
      </c>
      <c r="E1348" s="637" t="s">
        <v>1691</v>
      </c>
      <c r="F1348" s="636">
        <v>58883</v>
      </c>
      <c r="G1348" s="637" t="s">
        <v>89</v>
      </c>
      <c r="H1348" s="637" t="s">
        <v>1163</v>
      </c>
      <c r="I1348" s="637" t="s">
        <v>58</v>
      </c>
      <c r="J1348" s="636">
        <v>22</v>
      </c>
      <c r="K1348" s="636">
        <v>2</v>
      </c>
      <c r="L1348" s="637" t="s">
        <v>52</v>
      </c>
      <c r="M1348" s="637" t="s">
        <v>441</v>
      </c>
      <c r="N1348" s="637" t="s">
        <v>442</v>
      </c>
      <c r="O1348" s="637" t="s">
        <v>442</v>
      </c>
      <c r="P1348" s="637" t="s">
        <v>1156</v>
      </c>
      <c r="Q1348" s="638">
        <v>0</v>
      </c>
      <c r="R1348" s="638">
        <v>0</v>
      </c>
      <c r="S1348" s="638">
        <v>12028</v>
      </c>
      <c r="T1348" s="638">
        <v>12028</v>
      </c>
      <c r="U1348" s="638">
        <v>3525</v>
      </c>
      <c r="V1348" s="636">
        <v>2022</v>
      </c>
      <c r="W1348" s="640"/>
      <c r="X1348" s="641">
        <f t="shared" si="60"/>
        <v>3.4121985815602836</v>
      </c>
      <c r="Y1348" s="642" t="str">
        <f t="shared" si="61"/>
        <v/>
      </c>
      <c r="Z1348" s="642" t="str">
        <f t="shared" si="62"/>
        <v/>
      </c>
    </row>
    <row r="1349" spans="1:26" s="127" customFormat="1" ht="25">
      <c r="A1349" s="636">
        <v>59060</v>
      </c>
      <c r="B1349" s="637" t="s">
        <v>33</v>
      </c>
      <c r="C1349" s="636" t="s">
        <v>2725</v>
      </c>
      <c r="D1349" s="637" t="s">
        <v>1633</v>
      </c>
      <c r="E1349" s="637" t="s">
        <v>1634</v>
      </c>
      <c r="F1349" s="636">
        <v>58888</v>
      </c>
      <c r="G1349" s="637" t="s">
        <v>81</v>
      </c>
      <c r="H1349" s="637" t="s">
        <v>1163</v>
      </c>
      <c r="I1349" s="637" t="s">
        <v>58</v>
      </c>
      <c r="J1349" s="636">
        <v>22</v>
      </c>
      <c r="K1349" s="636">
        <v>2</v>
      </c>
      <c r="L1349" s="637" t="s">
        <v>52</v>
      </c>
      <c r="M1349" s="637" t="s">
        <v>441</v>
      </c>
      <c r="N1349" s="637" t="s">
        <v>442</v>
      </c>
      <c r="O1349" s="637" t="s">
        <v>442</v>
      </c>
      <c r="P1349" s="637" t="s">
        <v>1156</v>
      </c>
      <c r="Q1349" s="638">
        <v>0</v>
      </c>
      <c r="R1349" s="638">
        <v>0</v>
      </c>
      <c r="S1349" s="638">
        <v>2604</v>
      </c>
      <c r="T1349" s="638">
        <v>2604</v>
      </c>
      <c r="U1349" s="638">
        <v>763</v>
      </c>
      <c r="V1349" s="636">
        <v>2022</v>
      </c>
      <c r="W1349" s="640"/>
      <c r="X1349" s="641">
        <f t="shared" si="60"/>
        <v>3.4128440366972477</v>
      </c>
      <c r="Y1349" s="642" t="str">
        <f t="shared" si="61"/>
        <v/>
      </c>
      <c r="Z1349" s="642" t="str">
        <f t="shared" si="62"/>
        <v/>
      </c>
    </row>
    <row r="1350" spans="1:26" s="127" customFormat="1" ht="25">
      <c r="A1350" s="636">
        <v>59070</v>
      </c>
      <c r="B1350" s="637" t="s">
        <v>33</v>
      </c>
      <c r="C1350" s="636" t="s">
        <v>2725</v>
      </c>
      <c r="D1350" s="637" t="s">
        <v>1887</v>
      </c>
      <c r="E1350" s="637" t="s">
        <v>1888</v>
      </c>
      <c r="F1350" s="636">
        <v>58891</v>
      </c>
      <c r="G1350" s="637" t="s">
        <v>96</v>
      </c>
      <c r="H1350" s="637" t="s">
        <v>1163</v>
      </c>
      <c r="I1350" s="637" t="s">
        <v>58</v>
      </c>
      <c r="J1350" s="636">
        <v>22</v>
      </c>
      <c r="K1350" s="636">
        <v>2</v>
      </c>
      <c r="L1350" s="637" t="s">
        <v>52</v>
      </c>
      <c r="M1350" s="637" t="s">
        <v>71</v>
      </c>
      <c r="N1350" s="637" t="s">
        <v>72</v>
      </c>
      <c r="O1350" s="637" t="s">
        <v>72</v>
      </c>
      <c r="P1350" s="637" t="s">
        <v>1156</v>
      </c>
      <c r="Q1350" s="638">
        <v>0</v>
      </c>
      <c r="R1350" s="638">
        <v>0</v>
      </c>
      <c r="S1350" s="638">
        <v>65361</v>
      </c>
      <c r="T1350" s="638">
        <v>65361</v>
      </c>
      <c r="U1350" s="638">
        <v>19156</v>
      </c>
      <c r="V1350" s="636">
        <v>2022</v>
      </c>
      <c r="W1350" s="640"/>
      <c r="X1350" s="641">
        <f t="shared" si="60"/>
        <v>3.4120380037586133</v>
      </c>
      <c r="Y1350" s="642" t="str">
        <f t="shared" si="61"/>
        <v/>
      </c>
      <c r="Z1350" s="642" t="str">
        <f t="shared" si="62"/>
        <v/>
      </c>
    </row>
    <row r="1351" spans="1:26" s="127" customFormat="1" ht="25">
      <c r="A1351" s="636">
        <v>59075</v>
      </c>
      <c r="B1351" s="637" t="s">
        <v>33</v>
      </c>
      <c r="C1351" s="636" t="s">
        <v>2725</v>
      </c>
      <c r="D1351" s="637" t="s">
        <v>1692</v>
      </c>
      <c r="E1351" s="637" t="s">
        <v>3627</v>
      </c>
      <c r="F1351" s="636">
        <v>65305</v>
      </c>
      <c r="G1351" s="637" t="s">
        <v>81</v>
      </c>
      <c r="H1351" s="637" t="s">
        <v>1163</v>
      </c>
      <c r="I1351" s="637" t="s">
        <v>58</v>
      </c>
      <c r="J1351" s="636">
        <v>22</v>
      </c>
      <c r="K1351" s="636">
        <v>2</v>
      </c>
      <c r="L1351" s="637" t="s">
        <v>52</v>
      </c>
      <c r="M1351" s="637" t="s">
        <v>441</v>
      </c>
      <c r="N1351" s="637" t="s">
        <v>442</v>
      </c>
      <c r="O1351" s="637" t="s">
        <v>442</v>
      </c>
      <c r="P1351" s="637" t="s">
        <v>1156</v>
      </c>
      <c r="Q1351" s="638">
        <v>0</v>
      </c>
      <c r="R1351" s="638">
        <v>0</v>
      </c>
      <c r="S1351" s="638">
        <v>5480</v>
      </c>
      <c r="T1351" s="638">
        <v>5480</v>
      </c>
      <c r="U1351" s="638">
        <v>1606</v>
      </c>
      <c r="V1351" s="636">
        <v>2022</v>
      </c>
      <c r="W1351" s="640"/>
      <c r="X1351" s="641">
        <f t="shared" si="60"/>
        <v>3.4122042341220422</v>
      </c>
      <c r="Y1351" s="642" t="str">
        <f t="shared" si="61"/>
        <v/>
      </c>
      <c r="Z1351" s="642" t="str">
        <f t="shared" si="62"/>
        <v/>
      </c>
    </row>
    <row r="1352" spans="1:26" s="127" customFormat="1" ht="25">
      <c r="A1352" s="636">
        <v>59077</v>
      </c>
      <c r="B1352" s="637" t="s">
        <v>33</v>
      </c>
      <c r="C1352" s="636" t="s">
        <v>2725</v>
      </c>
      <c r="D1352" s="637" t="s">
        <v>1693</v>
      </c>
      <c r="E1352" s="637" t="s">
        <v>3627</v>
      </c>
      <c r="F1352" s="636">
        <v>65305</v>
      </c>
      <c r="G1352" s="637" t="s">
        <v>81</v>
      </c>
      <c r="H1352" s="637" t="s">
        <v>1163</v>
      </c>
      <c r="I1352" s="637" t="s">
        <v>58</v>
      </c>
      <c r="J1352" s="636">
        <v>22</v>
      </c>
      <c r="K1352" s="636">
        <v>2</v>
      </c>
      <c r="L1352" s="637" t="s">
        <v>52</v>
      </c>
      <c r="M1352" s="637" t="s">
        <v>441</v>
      </c>
      <c r="N1352" s="637" t="s">
        <v>442</v>
      </c>
      <c r="O1352" s="637" t="s">
        <v>442</v>
      </c>
      <c r="P1352" s="637" t="s">
        <v>1156</v>
      </c>
      <c r="Q1352" s="638">
        <v>0</v>
      </c>
      <c r="R1352" s="638">
        <v>0</v>
      </c>
      <c r="S1352" s="638">
        <v>7880</v>
      </c>
      <c r="T1352" s="638">
        <v>7880</v>
      </c>
      <c r="U1352" s="638">
        <v>2310</v>
      </c>
      <c r="V1352" s="636">
        <v>2022</v>
      </c>
      <c r="W1352" s="640"/>
      <c r="X1352" s="641">
        <f t="shared" ref="X1352:X1415" si="63">IF(OR(K1352&gt;3,T1352=0,NOT(U1352&gt;0)),"",T1352/U1352)</f>
        <v>3.4112554112554112</v>
      </c>
      <c r="Y1352" s="642" t="str">
        <f t="shared" ref="Y1352:Y1415" si="64">IF(AND($M1352=$Y$2,$N1352=$Y$3,NOT($Q1352=$R1352),NOT($U1352=0)),IF($K1352=5,$S1352/($U1352+(8/5)*$U1352),IF($K1352=7,$S1352/($U1352+(29/25)*$U1352),"")),"")</f>
        <v/>
      </c>
      <c r="Z1352" s="642" t="str">
        <f t="shared" si="62"/>
        <v/>
      </c>
    </row>
    <row r="1353" spans="1:26" s="127" customFormat="1" ht="25">
      <c r="A1353" s="636">
        <v>59078</v>
      </c>
      <c r="B1353" s="637" t="s">
        <v>33</v>
      </c>
      <c r="C1353" s="636" t="s">
        <v>2725</v>
      </c>
      <c r="D1353" s="637" t="s">
        <v>1694</v>
      </c>
      <c r="E1353" s="637" t="s">
        <v>3627</v>
      </c>
      <c r="F1353" s="636">
        <v>65305</v>
      </c>
      <c r="G1353" s="637" t="s">
        <v>81</v>
      </c>
      <c r="H1353" s="637" t="s">
        <v>1163</v>
      </c>
      <c r="I1353" s="637" t="s">
        <v>58</v>
      </c>
      <c r="J1353" s="636">
        <v>22</v>
      </c>
      <c r="K1353" s="636">
        <v>2</v>
      </c>
      <c r="L1353" s="637" t="s">
        <v>52</v>
      </c>
      <c r="M1353" s="637" t="s">
        <v>441</v>
      </c>
      <c r="N1353" s="637" t="s">
        <v>442</v>
      </c>
      <c r="O1353" s="637" t="s">
        <v>442</v>
      </c>
      <c r="P1353" s="637" t="s">
        <v>1156</v>
      </c>
      <c r="Q1353" s="638">
        <v>0</v>
      </c>
      <c r="R1353" s="638">
        <v>0</v>
      </c>
      <c r="S1353" s="638">
        <v>20011</v>
      </c>
      <c r="T1353" s="638">
        <v>20011</v>
      </c>
      <c r="U1353" s="638">
        <v>5865</v>
      </c>
      <c r="V1353" s="636">
        <v>2022</v>
      </c>
      <c r="W1353" s="640"/>
      <c r="X1353" s="641">
        <f t="shared" si="63"/>
        <v>3.4119352088661552</v>
      </c>
      <c r="Y1353" s="642" t="str">
        <f t="shared" si="64"/>
        <v/>
      </c>
      <c r="Z1353" s="642" t="str">
        <f t="shared" si="62"/>
        <v/>
      </c>
    </row>
    <row r="1354" spans="1:26" s="127" customFormat="1" ht="25">
      <c r="A1354" s="636">
        <v>59079</v>
      </c>
      <c r="B1354" s="637" t="s">
        <v>33</v>
      </c>
      <c r="C1354" s="636" t="s">
        <v>2725</v>
      </c>
      <c r="D1354" s="637" t="s">
        <v>1695</v>
      </c>
      <c r="E1354" s="637" t="s">
        <v>3627</v>
      </c>
      <c r="F1354" s="636">
        <v>65305</v>
      </c>
      <c r="G1354" s="637" t="s">
        <v>81</v>
      </c>
      <c r="H1354" s="637" t="s">
        <v>1163</v>
      </c>
      <c r="I1354" s="637" t="s">
        <v>58</v>
      </c>
      <c r="J1354" s="636">
        <v>22</v>
      </c>
      <c r="K1354" s="636">
        <v>2</v>
      </c>
      <c r="L1354" s="637" t="s">
        <v>52</v>
      </c>
      <c r="M1354" s="637" t="s">
        <v>441</v>
      </c>
      <c r="N1354" s="637" t="s">
        <v>442</v>
      </c>
      <c r="O1354" s="637" t="s">
        <v>442</v>
      </c>
      <c r="P1354" s="637" t="s">
        <v>1156</v>
      </c>
      <c r="Q1354" s="638">
        <v>0</v>
      </c>
      <c r="R1354" s="638">
        <v>0</v>
      </c>
      <c r="S1354" s="638">
        <v>4903</v>
      </c>
      <c r="T1354" s="638">
        <v>4903</v>
      </c>
      <c r="U1354" s="638">
        <v>1437</v>
      </c>
      <c r="V1354" s="636">
        <v>2022</v>
      </c>
      <c r="W1354" s="640"/>
      <c r="X1354" s="641">
        <f t="shared" si="63"/>
        <v>3.4119693806541407</v>
      </c>
      <c r="Y1354" s="642" t="str">
        <f t="shared" si="64"/>
        <v/>
      </c>
      <c r="Z1354" s="642" t="str">
        <f t="shared" si="62"/>
        <v/>
      </c>
    </row>
    <row r="1355" spans="1:26" s="127" customFormat="1" ht="25">
      <c r="A1355" s="636">
        <v>59080</v>
      </c>
      <c r="B1355" s="637" t="s">
        <v>33</v>
      </c>
      <c r="C1355" s="636" t="s">
        <v>2725</v>
      </c>
      <c r="D1355" s="637" t="s">
        <v>1696</v>
      </c>
      <c r="E1355" s="637" t="s">
        <v>3627</v>
      </c>
      <c r="F1355" s="636">
        <v>65305</v>
      </c>
      <c r="G1355" s="637" t="s">
        <v>81</v>
      </c>
      <c r="H1355" s="637" t="s">
        <v>1163</v>
      </c>
      <c r="I1355" s="637" t="s">
        <v>58</v>
      </c>
      <c r="J1355" s="636">
        <v>22</v>
      </c>
      <c r="K1355" s="636">
        <v>2</v>
      </c>
      <c r="L1355" s="637" t="s">
        <v>52</v>
      </c>
      <c r="M1355" s="637" t="s">
        <v>441</v>
      </c>
      <c r="N1355" s="637" t="s">
        <v>442</v>
      </c>
      <c r="O1355" s="637" t="s">
        <v>442</v>
      </c>
      <c r="P1355" s="637" t="s">
        <v>1156</v>
      </c>
      <c r="Q1355" s="638">
        <v>0</v>
      </c>
      <c r="R1355" s="638">
        <v>0</v>
      </c>
      <c r="S1355" s="638">
        <v>5230</v>
      </c>
      <c r="T1355" s="638">
        <v>5230</v>
      </c>
      <c r="U1355" s="638">
        <v>1533</v>
      </c>
      <c r="V1355" s="636">
        <v>2022</v>
      </c>
      <c r="W1355" s="640"/>
      <c r="X1355" s="641">
        <f t="shared" si="63"/>
        <v>3.4116112198303981</v>
      </c>
      <c r="Y1355" s="642" t="str">
        <f t="shared" si="64"/>
        <v/>
      </c>
      <c r="Z1355" s="642" t="str">
        <f t="shared" si="62"/>
        <v/>
      </c>
    </row>
    <row r="1356" spans="1:26" s="127" customFormat="1" ht="25">
      <c r="A1356" s="636">
        <v>59081</v>
      </c>
      <c r="B1356" s="637" t="s">
        <v>33</v>
      </c>
      <c r="C1356" s="636" t="s">
        <v>2725</v>
      </c>
      <c r="D1356" s="637" t="s">
        <v>1697</v>
      </c>
      <c r="E1356" s="637" t="s">
        <v>3627</v>
      </c>
      <c r="F1356" s="636">
        <v>65305</v>
      </c>
      <c r="G1356" s="637" t="s">
        <v>81</v>
      </c>
      <c r="H1356" s="637" t="s">
        <v>1163</v>
      </c>
      <c r="I1356" s="637" t="s">
        <v>58</v>
      </c>
      <c r="J1356" s="636">
        <v>22</v>
      </c>
      <c r="K1356" s="636">
        <v>2</v>
      </c>
      <c r="L1356" s="637" t="s">
        <v>52</v>
      </c>
      <c r="M1356" s="637" t="s">
        <v>441</v>
      </c>
      <c r="N1356" s="637" t="s">
        <v>442</v>
      </c>
      <c r="O1356" s="637" t="s">
        <v>442</v>
      </c>
      <c r="P1356" s="637" t="s">
        <v>1156</v>
      </c>
      <c r="Q1356" s="638">
        <v>0</v>
      </c>
      <c r="R1356" s="638">
        <v>0</v>
      </c>
      <c r="S1356" s="638">
        <v>18986</v>
      </c>
      <c r="T1356" s="638">
        <v>18986</v>
      </c>
      <c r="U1356" s="638">
        <v>5565</v>
      </c>
      <c r="V1356" s="636">
        <v>2022</v>
      </c>
      <c r="W1356" s="640"/>
      <c r="X1356" s="641">
        <f t="shared" si="63"/>
        <v>3.4116801437556155</v>
      </c>
      <c r="Y1356" s="642" t="str">
        <f t="shared" si="64"/>
        <v/>
      </c>
      <c r="Z1356" s="642" t="str">
        <f t="shared" si="62"/>
        <v/>
      </c>
    </row>
    <row r="1357" spans="1:26" s="127" customFormat="1" ht="25">
      <c r="A1357" s="636">
        <v>59082</v>
      </c>
      <c r="B1357" s="637" t="s">
        <v>33</v>
      </c>
      <c r="C1357" s="636" t="s">
        <v>2725</v>
      </c>
      <c r="D1357" s="637" t="s">
        <v>1698</v>
      </c>
      <c r="E1357" s="637" t="s">
        <v>3627</v>
      </c>
      <c r="F1357" s="636">
        <v>65305</v>
      </c>
      <c r="G1357" s="637" t="s">
        <v>81</v>
      </c>
      <c r="H1357" s="637" t="s">
        <v>1163</v>
      </c>
      <c r="I1357" s="637" t="s">
        <v>58</v>
      </c>
      <c r="J1357" s="636">
        <v>22</v>
      </c>
      <c r="K1357" s="636">
        <v>2</v>
      </c>
      <c r="L1357" s="637" t="s">
        <v>52</v>
      </c>
      <c r="M1357" s="637" t="s">
        <v>441</v>
      </c>
      <c r="N1357" s="637" t="s">
        <v>442</v>
      </c>
      <c r="O1357" s="637" t="s">
        <v>442</v>
      </c>
      <c r="P1357" s="637" t="s">
        <v>1156</v>
      </c>
      <c r="Q1357" s="638">
        <v>0</v>
      </c>
      <c r="R1357" s="638">
        <v>0</v>
      </c>
      <c r="S1357" s="638">
        <v>24115</v>
      </c>
      <c r="T1357" s="638">
        <v>24115</v>
      </c>
      <c r="U1357" s="638">
        <v>7068</v>
      </c>
      <c r="V1357" s="636">
        <v>2022</v>
      </c>
      <c r="W1357" s="640"/>
      <c r="X1357" s="641">
        <f t="shared" si="63"/>
        <v>3.4118562535370685</v>
      </c>
      <c r="Y1357" s="642" t="str">
        <f t="shared" si="64"/>
        <v/>
      </c>
      <c r="Z1357" s="642" t="str">
        <f t="shared" si="62"/>
        <v/>
      </c>
    </row>
    <row r="1358" spans="1:26" s="127" customFormat="1" ht="25">
      <c r="A1358" s="636">
        <v>59085</v>
      </c>
      <c r="B1358" s="637" t="s">
        <v>33</v>
      </c>
      <c r="C1358" s="636" t="s">
        <v>2725</v>
      </c>
      <c r="D1358" s="637" t="s">
        <v>1699</v>
      </c>
      <c r="E1358" s="637" t="s">
        <v>3622</v>
      </c>
      <c r="F1358" s="636">
        <v>65164</v>
      </c>
      <c r="G1358" s="637" t="s">
        <v>81</v>
      </c>
      <c r="H1358" s="637" t="s">
        <v>1163</v>
      </c>
      <c r="I1358" s="637" t="s">
        <v>58</v>
      </c>
      <c r="J1358" s="636">
        <v>22</v>
      </c>
      <c r="K1358" s="636">
        <v>2</v>
      </c>
      <c r="L1358" s="637" t="s">
        <v>52</v>
      </c>
      <c r="M1358" s="637" t="s">
        <v>441</v>
      </c>
      <c r="N1358" s="637" t="s">
        <v>442</v>
      </c>
      <c r="O1358" s="637" t="s">
        <v>442</v>
      </c>
      <c r="P1358" s="637" t="s">
        <v>1156</v>
      </c>
      <c r="Q1358" s="638">
        <v>0</v>
      </c>
      <c r="R1358" s="638">
        <v>0</v>
      </c>
      <c r="S1358" s="638">
        <v>26494</v>
      </c>
      <c r="T1358" s="638">
        <v>26494</v>
      </c>
      <c r="U1358" s="638">
        <v>7765</v>
      </c>
      <c r="V1358" s="636">
        <v>2022</v>
      </c>
      <c r="W1358" s="640"/>
      <c r="X1358" s="641">
        <f t="shared" si="63"/>
        <v>3.411976819059884</v>
      </c>
      <c r="Y1358" s="642" t="str">
        <f t="shared" si="64"/>
        <v/>
      </c>
      <c r="Z1358" s="642" t="str">
        <f t="shared" si="62"/>
        <v/>
      </c>
    </row>
    <row r="1359" spans="1:26" s="127" customFormat="1" ht="25">
      <c r="A1359" s="636">
        <v>59090</v>
      </c>
      <c r="B1359" s="637" t="s">
        <v>33</v>
      </c>
      <c r="C1359" s="636" t="s">
        <v>2725</v>
      </c>
      <c r="D1359" s="637" t="s">
        <v>2282</v>
      </c>
      <c r="E1359" s="637" t="s">
        <v>3623</v>
      </c>
      <c r="F1359" s="636">
        <v>61944</v>
      </c>
      <c r="G1359" s="637" t="s">
        <v>81</v>
      </c>
      <c r="H1359" s="637" t="s">
        <v>1163</v>
      </c>
      <c r="I1359" s="637" t="s">
        <v>58</v>
      </c>
      <c r="J1359" s="636">
        <v>22</v>
      </c>
      <c r="K1359" s="636">
        <v>2</v>
      </c>
      <c r="L1359" s="637" t="s">
        <v>52</v>
      </c>
      <c r="M1359" s="637" t="s">
        <v>441</v>
      </c>
      <c r="N1359" s="637" t="s">
        <v>442</v>
      </c>
      <c r="O1359" s="637" t="s">
        <v>442</v>
      </c>
      <c r="P1359" s="637" t="s">
        <v>1156</v>
      </c>
      <c r="Q1359" s="638">
        <v>0</v>
      </c>
      <c r="R1359" s="638">
        <v>0</v>
      </c>
      <c r="S1359" s="638">
        <v>9257</v>
      </c>
      <c r="T1359" s="638">
        <v>9257</v>
      </c>
      <c r="U1359" s="638">
        <v>2713</v>
      </c>
      <c r="V1359" s="636">
        <v>2022</v>
      </c>
      <c r="W1359" s="640"/>
      <c r="X1359" s="641">
        <f t="shared" si="63"/>
        <v>3.4120899373387394</v>
      </c>
      <c r="Y1359" s="642" t="str">
        <f t="shared" si="64"/>
        <v/>
      </c>
      <c r="Z1359" s="642" t="str">
        <f t="shared" si="62"/>
        <v/>
      </c>
    </row>
    <row r="1360" spans="1:26" s="127" customFormat="1" ht="25">
      <c r="A1360" s="636">
        <v>59121</v>
      </c>
      <c r="B1360" s="637" t="s">
        <v>33</v>
      </c>
      <c r="C1360" s="636" t="s">
        <v>2725</v>
      </c>
      <c r="D1360" s="637" t="s">
        <v>1635</v>
      </c>
      <c r="E1360" s="637" t="s">
        <v>3622</v>
      </c>
      <c r="F1360" s="636">
        <v>65164</v>
      </c>
      <c r="G1360" s="637" t="s">
        <v>81</v>
      </c>
      <c r="H1360" s="637" t="s">
        <v>1163</v>
      </c>
      <c r="I1360" s="637" t="s">
        <v>58</v>
      </c>
      <c r="J1360" s="636">
        <v>22</v>
      </c>
      <c r="K1360" s="636">
        <v>2</v>
      </c>
      <c r="L1360" s="637" t="s">
        <v>52</v>
      </c>
      <c r="M1360" s="637" t="s">
        <v>441</v>
      </c>
      <c r="N1360" s="637" t="s">
        <v>442</v>
      </c>
      <c r="O1360" s="637" t="s">
        <v>442</v>
      </c>
      <c r="P1360" s="637" t="s">
        <v>1156</v>
      </c>
      <c r="Q1360" s="638">
        <v>0</v>
      </c>
      <c r="R1360" s="638">
        <v>0</v>
      </c>
      <c r="S1360" s="638">
        <v>8762</v>
      </c>
      <c r="T1360" s="638">
        <v>8762</v>
      </c>
      <c r="U1360" s="638">
        <v>2568</v>
      </c>
      <c r="V1360" s="636">
        <v>2022</v>
      </c>
      <c r="W1360" s="640"/>
      <c r="X1360" s="641">
        <f t="shared" si="63"/>
        <v>3.411993769470405</v>
      </c>
      <c r="Y1360" s="642" t="str">
        <f t="shared" si="64"/>
        <v/>
      </c>
      <c r="Z1360" s="642" t="str">
        <f t="shared" ref="Z1360:Z1423" si="65">IF(AND($M1360=$Y$2,$N1360=$Y$4,NOT($Q1360=$R1360),NOT($U1360=0)),IF($K1360=5,$S1360/($U1360+(8/5)*$U1360),IF($K1360=7,$S1360/($U1360+(29/25)*$U1360),"")),"")</f>
        <v/>
      </c>
    </row>
    <row r="1361" spans="1:26" s="127" customFormat="1" ht="25">
      <c r="A1361" s="636">
        <v>59128</v>
      </c>
      <c r="B1361" s="637" t="s">
        <v>33</v>
      </c>
      <c r="C1361" s="636" t="s">
        <v>2725</v>
      </c>
      <c r="D1361" s="637" t="s">
        <v>1636</v>
      </c>
      <c r="E1361" s="637" t="s">
        <v>3622</v>
      </c>
      <c r="F1361" s="636">
        <v>65164</v>
      </c>
      <c r="G1361" s="637" t="s">
        <v>81</v>
      </c>
      <c r="H1361" s="637" t="s">
        <v>1163</v>
      </c>
      <c r="I1361" s="637" t="s">
        <v>58</v>
      </c>
      <c r="J1361" s="636">
        <v>22</v>
      </c>
      <c r="K1361" s="636">
        <v>2</v>
      </c>
      <c r="L1361" s="637" t="s">
        <v>52</v>
      </c>
      <c r="M1361" s="637" t="s">
        <v>441</v>
      </c>
      <c r="N1361" s="637" t="s">
        <v>442</v>
      </c>
      <c r="O1361" s="637" t="s">
        <v>442</v>
      </c>
      <c r="P1361" s="637" t="s">
        <v>1156</v>
      </c>
      <c r="Q1361" s="638">
        <v>0</v>
      </c>
      <c r="R1361" s="638">
        <v>0</v>
      </c>
      <c r="S1361" s="638">
        <v>13693</v>
      </c>
      <c r="T1361" s="638">
        <v>13693</v>
      </c>
      <c r="U1361" s="638">
        <v>4013</v>
      </c>
      <c r="V1361" s="636">
        <v>2022</v>
      </c>
      <c r="W1361" s="640"/>
      <c r="X1361" s="641">
        <f t="shared" si="63"/>
        <v>3.4121604784450534</v>
      </c>
      <c r="Y1361" s="642" t="str">
        <f t="shared" si="64"/>
        <v/>
      </c>
      <c r="Z1361" s="642" t="str">
        <f t="shared" si="65"/>
        <v/>
      </c>
    </row>
    <row r="1362" spans="1:26" s="127" customFormat="1" ht="25">
      <c r="A1362" s="636">
        <v>59131</v>
      </c>
      <c r="B1362" s="637" t="s">
        <v>33</v>
      </c>
      <c r="C1362" s="636" t="s">
        <v>2725</v>
      </c>
      <c r="D1362" s="637" t="s">
        <v>1637</v>
      </c>
      <c r="E1362" s="637" t="s">
        <v>3622</v>
      </c>
      <c r="F1362" s="636">
        <v>65164</v>
      </c>
      <c r="G1362" s="637" t="s">
        <v>81</v>
      </c>
      <c r="H1362" s="637" t="s">
        <v>1163</v>
      </c>
      <c r="I1362" s="637" t="s">
        <v>1638</v>
      </c>
      <c r="J1362" s="636">
        <v>22</v>
      </c>
      <c r="K1362" s="636">
        <v>2</v>
      </c>
      <c r="L1362" s="637" t="s">
        <v>52</v>
      </c>
      <c r="M1362" s="637" t="s">
        <v>441</v>
      </c>
      <c r="N1362" s="637" t="s">
        <v>442</v>
      </c>
      <c r="O1362" s="637" t="s">
        <v>442</v>
      </c>
      <c r="P1362" s="637" t="s">
        <v>1156</v>
      </c>
      <c r="Q1362" s="638">
        <v>0</v>
      </c>
      <c r="R1362" s="638">
        <v>0</v>
      </c>
      <c r="S1362" s="638">
        <v>5282</v>
      </c>
      <c r="T1362" s="638">
        <v>5282</v>
      </c>
      <c r="U1362" s="638">
        <v>1548</v>
      </c>
      <c r="V1362" s="636">
        <v>2022</v>
      </c>
      <c r="W1362" s="640"/>
      <c r="X1362" s="641">
        <f t="shared" si="63"/>
        <v>3.4121447028423773</v>
      </c>
      <c r="Y1362" s="642" t="str">
        <f t="shared" si="64"/>
        <v/>
      </c>
      <c r="Z1362" s="642" t="str">
        <f t="shared" si="65"/>
        <v/>
      </c>
    </row>
    <row r="1363" spans="1:26" s="127" customFormat="1" ht="25">
      <c r="A1363" s="636">
        <v>59134</v>
      </c>
      <c r="B1363" s="637" t="s">
        <v>33</v>
      </c>
      <c r="C1363" s="636" t="s">
        <v>2725</v>
      </c>
      <c r="D1363" s="637" t="s">
        <v>1639</v>
      </c>
      <c r="E1363" s="637" t="s">
        <v>3622</v>
      </c>
      <c r="F1363" s="636">
        <v>65164</v>
      </c>
      <c r="G1363" s="637" t="s">
        <v>81</v>
      </c>
      <c r="H1363" s="637" t="s">
        <v>1163</v>
      </c>
      <c r="I1363" s="637" t="s">
        <v>58</v>
      </c>
      <c r="J1363" s="636">
        <v>22</v>
      </c>
      <c r="K1363" s="636">
        <v>2</v>
      </c>
      <c r="L1363" s="637" t="s">
        <v>52</v>
      </c>
      <c r="M1363" s="637" t="s">
        <v>441</v>
      </c>
      <c r="N1363" s="637" t="s">
        <v>442</v>
      </c>
      <c r="O1363" s="637" t="s">
        <v>442</v>
      </c>
      <c r="P1363" s="637" t="s">
        <v>1156</v>
      </c>
      <c r="Q1363" s="638">
        <v>0</v>
      </c>
      <c r="R1363" s="638">
        <v>0</v>
      </c>
      <c r="S1363" s="638">
        <v>8509</v>
      </c>
      <c r="T1363" s="638">
        <v>8509</v>
      </c>
      <c r="U1363" s="638">
        <v>2494</v>
      </c>
      <c r="V1363" s="636">
        <v>2022</v>
      </c>
      <c r="W1363" s="640"/>
      <c r="X1363" s="641">
        <f t="shared" si="63"/>
        <v>3.4117882919005615</v>
      </c>
      <c r="Y1363" s="642" t="str">
        <f t="shared" si="64"/>
        <v/>
      </c>
      <c r="Z1363" s="642" t="str">
        <f t="shared" si="65"/>
        <v/>
      </c>
    </row>
    <row r="1364" spans="1:26" s="127" customFormat="1" ht="25">
      <c r="A1364" s="636">
        <v>59135</v>
      </c>
      <c r="B1364" s="637" t="s">
        <v>33</v>
      </c>
      <c r="C1364" s="636" t="s">
        <v>2725</v>
      </c>
      <c r="D1364" s="637" t="s">
        <v>1640</v>
      </c>
      <c r="E1364" s="637" t="s">
        <v>3622</v>
      </c>
      <c r="F1364" s="636">
        <v>65164</v>
      </c>
      <c r="G1364" s="637" t="s">
        <v>81</v>
      </c>
      <c r="H1364" s="637" t="s">
        <v>1163</v>
      </c>
      <c r="I1364" s="637" t="s">
        <v>58</v>
      </c>
      <c r="J1364" s="636">
        <v>22</v>
      </c>
      <c r="K1364" s="636">
        <v>2</v>
      </c>
      <c r="L1364" s="637" t="s">
        <v>52</v>
      </c>
      <c r="M1364" s="637" t="s">
        <v>441</v>
      </c>
      <c r="N1364" s="637" t="s">
        <v>442</v>
      </c>
      <c r="O1364" s="637" t="s">
        <v>442</v>
      </c>
      <c r="P1364" s="637" t="s">
        <v>1156</v>
      </c>
      <c r="Q1364" s="638">
        <v>0</v>
      </c>
      <c r="R1364" s="638">
        <v>0</v>
      </c>
      <c r="S1364" s="638">
        <v>11381</v>
      </c>
      <c r="T1364" s="638">
        <v>11381</v>
      </c>
      <c r="U1364" s="638">
        <v>3335</v>
      </c>
      <c r="V1364" s="636">
        <v>2022</v>
      </c>
      <c r="W1364" s="640"/>
      <c r="X1364" s="641">
        <f t="shared" si="63"/>
        <v>3.4125937031484259</v>
      </c>
      <c r="Y1364" s="642" t="str">
        <f t="shared" si="64"/>
        <v/>
      </c>
      <c r="Z1364" s="642" t="str">
        <f t="shared" si="65"/>
        <v/>
      </c>
    </row>
    <row r="1365" spans="1:26" s="127" customFormat="1" ht="25">
      <c r="A1365" s="636">
        <v>59136</v>
      </c>
      <c r="B1365" s="637" t="s">
        <v>33</v>
      </c>
      <c r="C1365" s="636" t="s">
        <v>2725</v>
      </c>
      <c r="D1365" s="637" t="s">
        <v>1641</v>
      </c>
      <c r="E1365" s="637" t="s">
        <v>3622</v>
      </c>
      <c r="F1365" s="636">
        <v>65164</v>
      </c>
      <c r="G1365" s="637" t="s">
        <v>81</v>
      </c>
      <c r="H1365" s="637" t="s">
        <v>1163</v>
      </c>
      <c r="I1365" s="637" t="s">
        <v>58</v>
      </c>
      <c r="J1365" s="636">
        <v>22</v>
      </c>
      <c r="K1365" s="636">
        <v>2</v>
      </c>
      <c r="L1365" s="637" t="s">
        <v>52</v>
      </c>
      <c r="M1365" s="637" t="s">
        <v>441</v>
      </c>
      <c r="N1365" s="637" t="s">
        <v>442</v>
      </c>
      <c r="O1365" s="637" t="s">
        <v>442</v>
      </c>
      <c r="P1365" s="637" t="s">
        <v>1156</v>
      </c>
      <c r="Q1365" s="638">
        <v>0</v>
      </c>
      <c r="R1365" s="638">
        <v>0</v>
      </c>
      <c r="S1365" s="638">
        <v>5939</v>
      </c>
      <c r="T1365" s="638">
        <v>5939</v>
      </c>
      <c r="U1365" s="638">
        <v>1741</v>
      </c>
      <c r="V1365" s="636">
        <v>2022</v>
      </c>
      <c r="W1365" s="640"/>
      <c r="X1365" s="641">
        <f t="shared" si="63"/>
        <v>3.4112578977599082</v>
      </c>
      <c r="Y1365" s="642" t="str">
        <f t="shared" si="64"/>
        <v/>
      </c>
      <c r="Z1365" s="642" t="str">
        <f t="shared" si="65"/>
        <v/>
      </c>
    </row>
    <row r="1366" spans="1:26" s="127" customFormat="1" ht="25">
      <c r="A1366" s="636">
        <v>59137</v>
      </c>
      <c r="B1366" s="637" t="s">
        <v>33</v>
      </c>
      <c r="C1366" s="636" t="s">
        <v>2725</v>
      </c>
      <c r="D1366" s="637" t="s">
        <v>1642</v>
      </c>
      <c r="E1366" s="637" t="s">
        <v>3622</v>
      </c>
      <c r="F1366" s="636">
        <v>65164</v>
      </c>
      <c r="G1366" s="637" t="s">
        <v>81</v>
      </c>
      <c r="H1366" s="637" t="s">
        <v>1163</v>
      </c>
      <c r="I1366" s="637" t="s">
        <v>58</v>
      </c>
      <c r="J1366" s="636">
        <v>22</v>
      </c>
      <c r="K1366" s="636">
        <v>2</v>
      </c>
      <c r="L1366" s="637" t="s">
        <v>52</v>
      </c>
      <c r="M1366" s="637" t="s">
        <v>441</v>
      </c>
      <c r="N1366" s="637" t="s">
        <v>442</v>
      </c>
      <c r="O1366" s="637" t="s">
        <v>442</v>
      </c>
      <c r="P1366" s="637" t="s">
        <v>1156</v>
      </c>
      <c r="Q1366" s="638">
        <v>0</v>
      </c>
      <c r="R1366" s="638">
        <v>0</v>
      </c>
      <c r="S1366" s="638">
        <v>22841</v>
      </c>
      <c r="T1366" s="638">
        <v>22841</v>
      </c>
      <c r="U1366" s="638">
        <v>6694</v>
      </c>
      <c r="V1366" s="636">
        <v>2022</v>
      </c>
      <c r="W1366" s="640"/>
      <c r="X1366" s="641">
        <f t="shared" si="63"/>
        <v>3.4121601434120108</v>
      </c>
      <c r="Y1366" s="642" t="str">
        <f t="shared" si="64"/>
        <v/>
      </c>
      <c r="Z1366" s="642" t="str">
        <f t="shared" si="65"/>
        <v/>
      </c>
    </row>
    <row r="1367" spans="1:26" s="127" customFormat="1" ht="25">
      <c r="A1367" s="636">
        <v>59140</v>
      </c>
      <c r="B1367" s="637" t="s">
        <v>33</v>
      </c>
      <c r="C1367" s="636" t="s">
        <v>2725</v>
      </c>
      <c r="D1367" s="637" t="s">
        <v>1701</v>
      </c>
      <c r="E1367" s="637" t="s">
        <v>3622</v>
      </c>
      <c r="F1367" s="636">
        <v>65164</v>
      </c>
      <c r="G1367" s="637" t="s">
        <v>81</v>
      </c>
      <c r="H1367" s="637" t="s">
        <v>1163</v>
      </c>
      <c r="I1367" s="637" t="s">
        <v>58</v>
      </c>
      <c r="J1367" s="636">
        <v>22</v>
      </c>
      <c r="K1367" s="636">
        <v>2</v>
      </c>
      <c r="L1367" s="637" t="s">
        <v>52</v>
      </c>
      <c r="M1367" s="637" t="s">
        <v>441</v>
      </c>
      <c r="N1367" s="637" t="s">
        <v>442</v>
      </c>
      <c r="O1367" s="637" t="s">
        <v>442</v>
      </c>
      <c r="P1367" s="637" t="s">
        <v>1156</v>
      </c>
      <c r="Q1367" s="638">
        <v>0</v>
      </c>
      <c r="R1367" s="638">
        <v>0</v>
      </c>
      <c r="S1367" s="638">
        <v>22791</v>
      </c>
      <c r="T1367" s="638">
        <v>22791</v>
      </c>
      <c r="U1367" s="638">
        <v>6680</v>
      </c>
      <c r="V1367" s="636">
        <v>2022</v>
      </c>
      <c r="W1367" s="640"/>
      <c r="X1367" s="641">
        <f t="shared" si="63"/>
        <v>3.4118263473053894</v>
      </c>
      <c r="Y1367" s="642" t="str">
        <f t="shared" si="64"/>
        <v/>
      </c>
      <c r="Z1367" s="642" t="str">
        <f t="shared" si="65"/>
        <v/>
      </c>
    </row>
    <row r="1368" spans="1:26" s="127" customFormat="1" ht="25">
      <c r="A1368" s="636">
        <v>59178</v>
      </c>
      <c r="B1368" s="637" t="s">
        <v>33</v>
      </c>
      <c r="C1368" s="636" t="s">
        <v>2725</v>
      </c>
      <c r="D1368" s="637" t="s">
        <v>1643</v>
      </c>
      <c r="E1368" s="637" t="s">
        <v>1644</v>
      </c>
      <c r="F1368" s="636">
        <v>58440</v>
      </c>
      <c r="G1368" s="637" t="s">
        <v>81</v>
      </c>
      <c r="H1368" s="637" t="s">
        <v>1163</v>
      </c>
      <c r="I1368" s="637" t="s">
        <v>58</v>
      </c>
      <c r="J1368" s="636">
        <v>22</v>
      </c>
      <c r="K1368" s="636">
        <v>2</v>
      </c>
      <c r="L1368" s="637" t="s">
        <v>52</v>
      </c>
      <c r="M1368" s="637" t="s">
        <v>441</v>
      </c>
      <c r="N1368" s="637" t="s">
        <v>442</v>
      </c>
      <c r="O1368" s="637" t="s">
        <v>442</v>
      </c>
      <c r="P1368" s="637" t="s">
        <v>1156</v>
      </c>
      <c r="Q1368" s="638">
        <v>0</v>
      </c>
      <c r="R1368" s="638">
        <v>0</v>
      </c>
      <c r="S1368" s="638">
        <v>12367</v>
      </c>
      <c r="T1368" s="638">
        <v>12367</v>
      </c>
      <c r="U1368" s="638">
        <v>3625</v>
      </c>
      <c r="V1368" s="636">
        <v>2022</v>
      </c>
      <c r="W1368" s="640"/>
      <c r="X1368" s="641">
        <f t="shared" si="63"/>
        <v>3.4115862068965517</v>
      </c>
      <c r="Y1368" s="642" t="str">
        <f t="shared" si="64"/>
        <v/>
      </c>
      <c r="Z1368" s="642" t="str">
        <f t="shared" si="65"/>
        <v/>
      </c>
    </row>
    <row r="1369" spans="1:26" s="127" customFormat="1" ht="25">
      <c r="A1369" s="636">
        <v>59179</v>
      </c>
      <c r="B1369" s="637" t="s">
        <v>33</v>
      </c>
      <c r="C1369" s="636" t="s">
        <v>2725</v>
      </c>
      <c r="D1369" s="637" t="s">
        <v>1645</v>
      </c>
      <c r="E1369" s="637" t="s">
        <v>1644</v>
      </c>
      <c r="F1369" s="636">
        <v>58440</v>
      </c>
      <c r="G1369" s="637" t="s">
        <v>81</v>
      </c>
      <c r="H1369" s="637" t="s">
        <v>1163</v>
      </c>
      <c r="I1369" s="637" t="s">
        <v>58</v>
      </c>
      <c r="J1369" s="636">
        <v>22</v>
      </c>
      <c r="K1369" s="636">
        <v>2</v>
      </c>
      <c r="L1369" s="637" t="s">
        <v>52</v>
      </c>
      <c r="M1369" s="637" t="s">
        <v>441</v>
      </c>
      <c r="N1369" s="637" t="s">
        <v>442</v>
      </c>
      <c r="O1369" s="637" t="s">
        <v>442</v>
      </c>
      <c r="P1369" s="637" t="s">
        <v>1156</v>
      </c>
      <c r="Q1369" s="638">
        <v>0</v>
      </c>
      <c r="R1369" s="638">
        <v>0</v>
      </c>
      <c r="S1369" s="638">
        <v>18771</v>
      </c>
      <c r="T1369" s="638">
        <v>18771</v>
      </c>
      <c r="U1369" s="638">
        <v>5502</v>
      </c>
      <c r="V1369" s="636">
        <v>2022</v>
      </c>
      <c r="W1369" s="640"/>
      <c r="X1369" s="641">
        <f t="shared" si="63"/>
        <v>3.411668484187568</v>
      </c>
      <c r="Y1369" s="642" t="str">
        <f t="shared" si="64"/>
        <v/>
      </c>
      <c r="Z1369" s="642" t="str">
        <f t="shared" si="65"/>
        <v/>
      </c>
    </row>
    <row r="1370" spans="1:26" s="127" customFormat="1" ht="25">
      <c r="A1370" s="636">
        <v>59222</v>
      </c>
      <c r="B1370" s="637" t="s">
        <v>33</v>
      </c>
      <c r="C1370" s="636" t="s">
        <v>2725</v>
      </c>
      <c r="D1370" s="637" t="s">
        <v>1889</v>
      </c>
      <c r="E1370" s="637" t="s">
        <v>1890</v>
      </c>
      <c r="F1370" s="636">
        <v>17650</v>
      </c>
      <c r="G1370" s="637" t="s">
        <v>90</v>
      </c>
      <c r="H1370" s="637" t="s">
        <v>1163</v>
      </c>
      <c r="I1370" s="637" t="s">
        <v>58</v>
      </c>
      <c r="J1370" s="636">
        <v>22</v>
      </c>
      <c r="K1370" s="636">
        <v>2</v>
      </c>
      <c r="L1370" s="637" t="s">
        <v>52</v>
      </c>
      <c r="M1370" s="637" t="s">
        <v>71</v>
      </c>
      <c r="N1370" s="637" t="s">
        <v>72</v>
      </c>
      <c r="O1370" s="637" t="s">
        <v>72</v>
      </c>
      <c r="P1370" s="637" t="s">
        <v>1156</v>
      </c>
      <c r="Q1370" s="638">
        <v>0</v>
      </c>
      <c r="R1370" s="638">
        <v>0</v>
      </c>
      <c r="S1370" s="638">
        <v>495562</v>
      </c>
      <c r="T1370" s="638">
        <v>495562</v>
      </c>
      <c r="U1370" s="638">
        <v>145241</v>
      </c>
      <c r="V1370" s="636">
        <v>2022</v>
      </c>
      <c r="W1370" s="640"/>
      <c r="X1370" s="641">
        <f t="shared" si="63"/>
        <v>3.4119979895484058</v>
      </c>
      <c r="Y1370" s="642" t="str">
        <f t="shared" si="64"/>
        <v/>
      </c>
      <c r="Z1370" s="642" t="str">
        <f t="shared" si="65"/>
        <v/>
      </c>
    </row>
    <row r="1371" spans="1:26" s="127" customFormat="1" ht="25">
      <c r="A1371" s="636">
        <v>59241</v>
      </c>
      <c r="B1371" s="637" t="s">
        <v>33</v>
      </c>
      <c r="C1371" s="636" t="s">
        <v>2725</v>
      </c>
      <c r="D1371" s="637" t="s">
        <v>1646</v>
      </c>
      <c r="E1371" s="637" t="s">
        <v>1616</v>
      </c>
      <c r="F1371" s="636">
        <v>58801</v>
      </c>
      <c r="G1371" s="637" t="s">
        <v>81</v>
      </c>
      <c r="H1371" s="637" t="s">
        <v>1163</v>
      </c>
      <c r="I1371" s="637" t="s">
        <v>58</v>
      </c>
      <c r="J1371" s="636">
        <v>22</v>
      </c>
      <c r="K1371" s="636">
        <v>2</v>
      </c>
      <c r="L1371" s="637" t="s">
        <v>52</v>
      </c>
      <c r="M1371" s="637" t="s">
        <v>441</v>
      </c>
      <c r="N1371" s="637" t="s">
        <v>442</v>
      </c>
      <c r="O1371" s="637" t="s">
        <v>442</v>
      </c>
      <c r="P1371" s="637" t="s">
        <v>1156</v>
      </c>
      <c r="Q1371" s="638">
        <v>0</v>
      </c>
      <c r="R1371" s="638">
        <v>0</v>
      </c>
      <c r="S1371" s="638">
        <v>15992</v>
      </c>
      <c r="T1371" s="638">
        <v>15992</v>
      </c>
      <c r="U1371" s="638">
        <v>4687</v>
      </c>
      <c r="V1371" s="636">
        <v>2022</v>
      </c>
      <c r="W1371" s="640"/>
      <c r="X1371" s="641">
        <f t="shared" si="63"/>
        <v>3.4119906123319819</v>
      </c>
      <c r="Y1371" s="642" t="str">
        <f t="shared" si="64"/>
        <v/>
      </c>
      <c r="Z1371" s="642" t="str">
        <f t="shared" si="65"/>
        <v/>
      </c>
    </row>
    <row r="1372" spans="1:26" s="127" customFormat="1" ht="25">
      <c r="A1372" s="636">
        <v>59242</v>
      </c>
      <c r="B1372" s="637" t="s">
        <v>33</v>
      </c>
      <c r="C1372" s="636" t="s">
        <v>2725</v>
      </c>
      <c r="D1372" s="637" t="s">
        <v>1702</v>
      </c>
      <c r="E1372" s="637" t="s">
        <v>1616</v>
      </c>
      <c r="F1372" s="636">
        <v>58801</v>
      </c>
      <c r="G1372" s="637" t="s">
        <v>81</v>
      </c>
      <c r="H1372" s="637" t="s">
        <v>1163</v>
      </c>
      <c r="I1372" s="637" t="s">
        <v>58</v>
      </c>
      <c r="J1372" s="636">
        <v>22</v>
      </c>
      <c r="K1372" s="636">
        <v>2</v>
      </c>
      <c r="L1372" s="637" t="s">
        <v>52</v>
      </c>
      <c r="M1372" s="637" t="s">
        <v>441</v>
      </c>
      <c r="N1372" s="637" t="s">
        <v>442</v>
      </c>
      <c r="O1372" s="637" t="s">
        <v>442</v>
      </c>
      <c r="P1372" s="637" t="s">
        <v>1156</v>
      </c>
      <c r="Q1372" s="638">
        <v>0</v>
      </c>
      <c r="R1372" s="638">
        <v>0</v>
      </c>
      <c r="S1372" s="638">
        <v>8469</v>
      </c>
      <c r="T1372" s="638">
        <v>8469</v>
      </c>
      <c r="U1372" s="638">
        <v>2482</v>
      </c>
      <c r="V1372" s="636">
        <v>2022</v>
      </c>
      <c r="W1372" s="640"/>
      <c r="X1372" s="641">
        <f t="shared" si="63"/>
        <v>3.412167606768735</v>
      </c>
      <c r="Y1372" s="642" t="str">
        <f t="shared" si="64"/>
        <v/>
      </c>
      <c r="Z1372" s="642" t="str">
        <f t="shared" si="65"/>
        <v/>
      </c>
    </row>
    <row r="1373" spans="1:26" s="127" customFormat="1" ht="25">
      <c r="A1373" s="636">
        <v>59254</v>
      </c>
      <c r="B1373" s="637" t="s">
        <v>33</v>
      </c>
      <c r="C1373" s="636" t="s">
        <v>2725</v>
      </c>
      <c r="D1373" s="637" t="s">
        <v>1647</v>
      </c>
      <c r="E1373" s="637" t="s">
        <v>1040</v>
      </c>
      <c r="F1373" s="636">
        <v>56889</v>
      </c>
      <c r="G1373" s="637" t="s">
        <v>130</v>
      </c>
      <c r="H1373" s="637" t="s">
        <v>1163</v>
      </c>
      <c r="I1373" s="637" t="s">
        <v>58</v>
      </c>
      <c r="J1373" s="636">
        <v>22</v>
      </c>
      <c r="K1373" s="636">
        <v>2</v>
      </c>
      <c r="L1373" s="637" t="s">
        <v>52</v>
      </c>
      <c r="M1373" s="637" t="s">
        <v>38</v>
      </c>
      <c r="N1373" s="637" t="s">
        <v>63</v>
      </c>
      <c r="O1373" s="637" t="s">
        <v>64</v>
      </c>
      <c r="P1373" s="637" t="s">
        <v>1020</v>
      </c>
      <c r="Q1373" s="638">
        <v>0</v>
      </c>
      <c r="R1373" s="638">
        <v>0</v>
      </c>
      <c r="S1373" s="638">
        <v>0</v>
      </c>
      <c r="T1373" s="638">
        <v>0</v>
      </c>
      <c r="U1373" s="638">
        <v>57586.96</v>
      </c>
      <c r="V1373" s="636">
        <v>2022</v>
      </c>
      <c r="W1373" s="640"/>
      <c r="X1373" s="641" t="str">
        <f t="shared" si="63"/>
        <v/>
      </c>
      <c r="Y1373" s="642" t="str">
        <f t="shared" si="64"/>
        <v/>
      </c>
      <c r="Z1373" s="642" t="str">
        <f t="shared" si="65"/>
        <v/>
      </c>
    </row>
    <row r="1374" spans="1:26" s="127" customFormat="1" ht="25">
      <c r="A1374" s="636">
        <v>59254</v>
      </c>
      <c r="B1374" s="637" t="s">
        <v>33</v>
      </c>
      <c r="C1374" s="636" t="s">
        <v>2725</v>
      </c>
      <c r="D1374" s="637" t="s">
        <v>1647</v>
      </c>
      <c r="E1374" s="637" t="s">
        <v>1040</v>
      </c>
      <c r="F1374" s="636">
        <v>56889</v>
      </c>
      <c r="G1374" s="637" t="s">
        <v>130</v>
      </c>
      <c r="H1374" s="637" t="s">
        <v>1163</v>
      </c>
      <c r="I1374" s="637" t="s">
        <v>58</v>
      </c>
      <c r="J1374" s="636">
        <v>22</v>
      </c>
      <c r="K1374" s="636">
        <v>2</v>
      </c>
      <c r="L1374" s="637" t="s">
        <v>52</v>
      </c>
      <c r="M1374" s="637" t="s">
        <v>41</v>
      </c>
      <c r="N1374" s="637" t="s">
        <v>63</v>
      </c>
      <c r="O1374" s="637" t="s">
        <v>64</v>
      </c>
      <c r="P1374" s="637" t="s">
        <v>1020</v>
      </c>
      <c r="Q1374" s="638">
        <v>4281074</v>
      </c>
      <c r="R1374" s="638">
        <v>4281074</v>
      </c>
      <c r="S1374" s="638">
        <v>2106996</v>
      </c>
      <c r="T1374" s="638">
        <v>2106996</v>
      </c>
      <c r="U1374" s="638">
        <v>156874.22</v>
      </c>
      <c r="V1374" s="636">
        <v>2022</v>
      </c>
      <c r="W1374" s="640"/>
      <c r="X1374" s="641">
        <f t="shared" si="63"/>
        <v>13.431116980215105</v>
      </c>
      <c r="Y1374" s="642" t="str">
        <f t="shared" si="64"/>
        <v/>
      </c>
      <c r="Z1374" s="642" t="str">
        <f t="shared" si="65"/>
        <v/>
      </c>
    </row>
    <row r="1375" spans="1:26" s="127" customFormat="1" ht="25">
      <c r="A1375" s="636">
        <v>59274</v>
      </c>
      <c r="B1375" s="637" t="s">
        <v>33</v>
      </c>
      <c r="C1375" s="636" t="s">
        <v>2725</v>
      </c>
      <c r="D1375" s="637" t="s">
        <v>2283</v>
      </c>
      <c r="E1375" s="637" t="s">
        <v>2166</v>
      </c>
      <c r="F1375" s="636">
        <v>61012</v>
      </c>
      <c r="G1375" s="637" t="s">
        <v>57</v>
      </c>
      <c r="H1375" s="637" t="s">
        <v>1162</v>
      </c>
      <c r="I1375" s="637" t="s">
        <v>58</v>
      </c>
      <c r="J1375" s="636">
        <v>22</v>
      </c>
      <c r="K1375" s="636">
        <v>2</v>
      </c>
      <c r="L1375" s="637" t="s">
        <v>52</v>
      </c>
      <c r="M1375" s="637" t="s">
        <v>441</v>
      </c>
      <c r="N1375" s="637" t="s">
        <v>442</v>
      </c>
      <c r="O1375" s="637" t="s">
        <v>442</v>
      </c>
      <c r="P1375" s="637" t="s">
        <v>1156</v>
      </c>
      <c r="Q1375" s="638">
        <v>0</v>
      </c>
      <c r="R1375" s="638">
        <v>0</v>
      </c>
      <c r="S1375" s="638">
        <v>28153</v>
      </c>
      <c r="T1375" s="638">
        <v>28153</v>
      </c>
      <c r="U1375" s="638">
        <v>8251</v>
      </c>
      <c r="V1375" s="636">
        <v>2022</v>
      </c>
      <c r="W1375" s="640"/>
      <c r="X1375" s="641">
        <f t="shared" si="63"/>
        <v>3.4120712640892013</v>
      </c>
      <c r="Y1375" s="642" t="str">
        <f t="shared" si="64"/>
        <v/>
      </c>
      <c r="Z1375" s="642" t="str">
        <f t="shared" si="65"/>
        <v/>
      </c>
    </row>
    <row r="1376" spans="1:26" s="127" customFormat="1" ht="25">
      <c r="A1376" s="636">
        <v>59275</v>
      </c>
      <c r="B1376" s="637" t="s">
        <v>33</v>
      </c>
      <c r="C1376" s="636" t="s">
        <v>2725</v>
      </c>
      <c r="D1376" s="637" t="s">
        <v>1814</v>
      </c>
      <c r="E1376" s="637" t="s">
        <v>2166</v>
      </c>
      <c r="F1376" s="636">
        <v>61012</v>
      </c>
      <c r="G1376" s="637" t="s">
        <v>57</v>
      </c>
      <c r="H1376" s="637" t="s">
        <v>1162</v>
      </c>
      <c r="I1376" s="637" t="s">
        <v>58</v>
      </c>
      <c r="J1376" s="636">
        <v>22</v>
      </c>
      <c r="K1376" s="636">
        <v>2</v>
      </c>
      <c r="L1376" s="637" t="s">
        <v>52</v>
      </c>
      <c r="M1376" s="637" t="s">
        <v>441</v>
      </c>
      <c r="N1376" s="637" t="s">
        <v>442</v>
      </c>
      <c r="O1376" s="637" t="s">
        <v>442</v>
      </c>
      <c r="P1376" s="637" t="s">
        <v>1156</v>
      </c>
      <c r="Q1376" s="638">
        <v>0</v>
      </c>
      <c r="R1376" s="638">
        <v>0</v>
      </c>
      <c r="S1376" s="638">
        <v>6013</v>
      </c>
      <c r="T1376" s="638">
        <v>6013</v>
      </c>
      <c r="U1376" s="638">
        <v>1762</v>
      </c>
      <c r="V1376" s="636">
        <v>2022</v>
      </c>
      <c r="W1376" s="640"/>
      <c r="X1376" s="641">
        <f t="shared" si="63"/>
        <v>3.4125993189557322</v>
      </c>
      <c r="Y1376" s="642" t="str">
        <f t="shared" si="64"/>
        <v/>
      </c>
      <c r="Z1376" s="642" t="str">
        <f t="shared" si="65"/>
        <v/>
      </c>
    </row>
    <row r="1377" spans="1:26" s="127" customFormat="1" ht="25">
      <c r="A1377" s="636">
        <v>59276</v>
      </c>
      <c r="B1377" s="637" t="s">
        <v>33</v>
      </c>
      <c r="C1377" s="636" t="s">
        <v>2725</v>
      </c>
      <c r="D1377" s="637" t="s">
        <v>1891</v>
      </c>
      <c r="E1377" s="637" t="s">
        <v>2166</v>
      </c>
      <c r="F1377" s="636">
        <v>61012</v>
      </c>
      <c r="G1377" s="637" t="s">
        <v>57</v>
      </c>
      <c r="H1377" s="637" t="s">
        <v>1162</v>
      </c>
      <c r="I1377" s="637" t="s">
        <v>58</v>
      </c>
      <c r="J1377" s="636">
        <v>22</v>
      </c>
      <c r="K1377" s="636">
        <v>2</v>
      </c>
      <c r="L1377" s="637" t="s">
        <v>52</v>
      </c>
      <c r="M1377" s="637" t="s">
        <v>441</v>
      </c>
      <c r="N1377" s="637" t="s">
        <v>442</v>
      </c>
      <c r="O1377" s="637" t="s">
        <v>442</v>
      </c>
      <c r="P1377" s="637" t="s">
        <v>1156</v>
      </c>
      <c r="Q1377" s="638">
        <v>0</v>
      </c>
      <c r="R1377" s="638">
        <v>0</v>
      </c>
      <c r="S1377" s="638">
        <v>57014</v>
      </c>
      <c r="T1377" s="638">
        <v>57014</v>
      </c>
      <c r="U1377" s="638">
        <v>16710</v>
      </c>
      <c r="V1377" s="636">
        <v>2022</v>
      </c>
      <c r="W1377" s="640"/>
      <c r="X1377" s="641">
        <f t="shared" si="63"/>
        <v>3.4119688809096349</v>
      </c>
      <c r="Y1377" s="642" t="str">
        <f t="shared" si="64"/>
        <v/>
      </c>
      <c r="Z1377" s="642" t="str">
        <f t="shared" si="65"/>
        <v/>
      </c>
    </row>
    <row r="1378" spans="1:26" s="127" customFormat="1" ht="25">
      <c r="A1378" s="636">
        <v>59295</v>
      </c>
      <c r="B1378" s="637" t="s">
        <v>33</v>
      </c>
      <c r="C1378" s="636" t="s">
        <v>2725</v>
      </c>
      <c r="D1378" s="637" t="s">
        <v>1648</v>
      </c>
      <c r="E1378" s="637" t="s">
        <v>1649</v>
      </c>
      <c r="F1378" s="636">
        <v>59097</v>
      </c>
      <c r="G1378" s="637" t="s">
        <v>130</v>
      </c>
      <c r="H1378" s="637" t="s">
        <v>1163</v>
      </c>
      <c r="I1378" s="637" t="s">
        <v>58</v>
      </c>
      <c r="J1378" s="636">
        <v>22</v>
      </c>
      <c r="K1378" s="636">
        <v>2</v>
      </c>
      <c r="L1378" s="637" t="s">
        <v>52</v>
      </c>
      <c r="M1378" s="637" t="s">
        <v>71</v>
      </c>
      <c r="N1378" s="637" t="s">
        <v>72</v>
      </c>
      <c r="O1378" s="637" t="s">
        <v>72</v>
      </c>
      <c r="P1378" s="637" t="s">
        <v>1156</v>
      </c>
      <c r="Q1378" s="638">
        <v>0</v>
      </c>
      <c r="R1378" s="638">
        <v>0</v>
      </c>
      <c r="S1378" s="638">
        <v>9387</v>
      </c>
      <c r="T1378" s="638">
        <v>9387</v>
      </c>
      <c r="U1378" s="638">
        <v>2751</v>
      </c>
      <c r="V1378" s="636">
        <v>2022</v>
      </c>
      <c r="W1378" s="640"/>
      <c r="X1378" s="641">
        <f t="shared" si="63"/>
        <v>3.4122137404580153</v>
      </c>
      <c r="Y1378" s="642" t="str">
        <f t="shared" si="64"/>
        <v/>
      </c>
      <c r="Z1378" s="642" t="str">
        <f t="shared" si="65"/>
        <v/>
      </c>
    </row>
    <row r="1379" spans="1:26" s="127" customFormat="1" ht="25">
      <c r="A1379" s="636">
        <v>59301</v>
      </c>
      <c r="B1379" s="637" t="s">
        <v>33</v>
      </c>
      <c r="C1379" s="636" t="s">
        <v>2725</v>
      </c>
      <c r="D1379" s="637" t="s">
        <v>1892</v>
      </c>
      <c r="E1379" s="637" t="s">
        <v>1893</v>
      </c>
      <c r="F1379" s="636">
        <v>59105</v>
      </c>
      <c r="G1379" s="637" t="s">
        <v>130</v>
      </c>
      <c r="H1379" s="637" t="s">
        <v>1163</v>
      </c>
      <c r="I1379" s="637" t="s">
        <v>58</v>
      </c>
      <c r="J1379" s="636">
        <v>22</v>
      </c>
      <c r="K1379" s="636">
        <v>2</v>
      </c>
      <c r="L1379" s="637" t="s">
        <v>52</v>
      </c>
      <c r="M1379" s="637" t="s">
        <v>71</v>
      </c>
      <c r="N1379" s="637" t="s">
        <v>72</v>
      </c>
      <c r="O1379" s="637" t="s">
        <v>72</v>
      </c>
      <c r="P1379" s="637" t="s">
        <v>1156</v>
      </c>
      <c r="Q1379" s="638">
        <v>0</v>
      </c>
      <c r="R1379" s="638">
        <v>0</v>
      </c>
      <c r="S1379" s="638">
        <v>9279</v>
      </c>
      <c r="T1379" s="638">
        <v>9279</v>
      </c>
      <c r="U1379" s="638">
        <v>2719</v>
      </c>
      <c r="V1379" s="636">
        <v>2022</v>
      </c>
      <c r="W1379" s="640"/>
      <c r="X1379" s="641">
        <f t="shared" si="63"/>
        <v>3.4126517101875691</v>
      </c>
      <c r="Y1379" s="642" t="str">
        <f t="shared" si="64"/>
        <v/>
      </c>
      <c r="Z1379" s="642" t="str">
        <f t="shared" si="65"/>
        <v/>
      </c>
    </row>
    <row r="1380" spans="1:26" s="127" customFormat="1" ht="25">
      <c r="A1380" s="636">
        <v>59302</v>
      </c>
      <c r="B1380" s="637" t="s">
        <v>33</v>
      </c>
      <c r="C1380" s="636" t="s">
        <v>2725</v>
      </c>
      <c r="D1380" s="637" t="s">
        <v>1894</v>
      </c>
      <c r="E1380" s="637" t="s">
        <v>1895</v>
      </c>
      <c r="F1380" s="636">
        <v>59106</v>
      </c>
      <c r="G1380" s="637" t="s">
        <v>130</v>
      </c>
      <c r="H1380" s="637" t="s">
        <v>1163</v>
      </c>
      <c r="I1380" s="637" t="s">
        <v>58</v>
      </c>
      <c r="J1380" s="636">
        <v>22</v>
      </c>
      <c r="K1380" s="636">
        <v>2</v>
      </c>
      <c r="L1380" s="637" t="s">
        <v>52</v>
      </c>
      <c r="M1380" s="637" t="s">
        <v>71</v>
      </c>
      <c r="N1380" s="637" t="s">
        <v>72</v>
      </c>
      <c r="O1380" s="637" t="s">
        <v>72</v>
      </c>
      <c r="P1380" s="637" t="s">
        <v>1156</v>
      </c>
      <c r="Q1380" s="638">
        <v>0</v>
      </c>
      <c r="R1380" s="638">
        <v>0</v>
      </c>
      <c r="S1380" s="638">
        <v>35032</v>
      </c>
      <c r="T1380" s="638">
        <v>35032</v>
      </c>
      <c r="U1380" s="638">
        <v>10267</v>
      </c>
      <c r="V1380" s="636">
        <v>2022</v>
      </c>
      <c r="W1380" s="640"/>
      <c r="X1380" s="641">
        <f t="shared" si="63"/>
        <v>3.4120970098373431</v>
      </c>
      <c r="Y1380" s="642" t="str">
        <f t="shared" si="64"/>
        <v/>
      </c>
      <c r="Z1380" s="642" t="str">
        <f t="shared" si="65"/>
        <v/>
      </c>
    </row>
    <row r="1381" spans="1:26" s="127" customFormat="1" ht="25">
      <c r="A1381" s="636">
        <v>59305</v>
      </c>
      <c r="B1381" s="637" t="s">
        <v>33</v>
      </c>
      <c r="C1381" s="636" t="s">
        <v>2725</v>
      </c>
      <c r="D1381" s="637" t="s">
        <v>1896</v>
      </c>
      <c r="E1381" s="637" t="s">
        <v>1897</v>
      </c>
      <c r="F1381" s="636">
        <v>59107</v>
      </c>
      <c r="G1381" s="637" t="s">
        <v>130</v>
      </c>
      <c r="H1381" s="637" t="s">
        <v>1163</v>
      </c>
      <c r="I1381" s="637" t="s">
        <v>58</v>
      </c>
      <c r="J1381" s="636">
        <v>22</v>
      </c>
      <c r="K1381" s="636">
        <v>2</v>
      </c>
      <c r="L1381" s="637" t="s">
        <v>52</v>
      </c>
      <c r="M1381" s="637" t="s">
        <v>71</v>
      </c>
      <c r="N1381" s="637" t="s">
        <v>72</v>
      </c>
      <c r="O1381" s="637" t="s">
        <v>72</v>
      </c>
      <c r="P1381" s="637" t="s">
        <v>1156</v>
      </c>
      <c r="Q1381" s="638">
        <v>0</v>
      </c>
      <c r="R1381" s="638">
        <v>0</v>
      </c>
      <c r="S1381" s="638">
        <v>6316</v>
      </c>
      <c r="T1381" s="638">
        <v>6316</v>
      </c>
      <c r="U1381" s="638">
        <v>1851</v>
      </c>
      <c r="V1381" s="636">
        <v>2022</v>
      </c>
      <c r="W1381" s="640"/>
      <c r="X1381" s="641">
        <f t="shared" si="63"/>
        <v>3.4122096164235547</v>
      </c>
      <c r="Y1381" s="642" t="str">
        <f t="shared" si="64"/>
        <v/>
      </c>
      <c r="Z1381" s="642" t="str">
        <f t="shared" si="65"/>
        <v/>
      </c>
    </row>
    <row r="1382" spans="1:26" s="127" customFormat="1" ht="25">
      <c r="A1382" s="636">
        <v>59306</v>
      </c>
      <c r="B1382" s="637" t="s">
        <v>33</v>
      </c>
      <c r="C1382" s="636" t="s">
        <v>2725</v>
      </c>
      <c r="D1382" s="637" t="s">
        <v>1898</v>
      </c>
      <c r="E1382" s="637" t="s">
        <v>1899</v>
      </c>
      <c r="F1382" s="636">
        <v>59108</v>
      </c>
      <c r="G1382" s="637" t="s">
        <v>130</v>
      </c>
      <c r="H1382" s="637" t="s">
        <v>1163</v>
      </c>
      <c r="I1382" s="637" t="s">
        <v>58</v>
      </c>
      <c r="J1382" s="636">
        <v>22</v>
      </c>
      <c r="K1382" s="636">
        <v>2</v>
      </c>
      <c r="L1382" s="637" t="s">
        <v>52</v>
      </c>
      <c r="M1382" s="637" t="s">
        <v>71</v>
      </c>
      <c r="N1382" s="637" t="s">
        <v>72</v>
      </c>
      <c r="O1382" s="637" t="s">
        <v>72</v>
      </c>
      <c r="P1382" s="637" t="s">
        <v>1156</v>
      </c>
      <c r="Q1382" s="638">
        <v>0</v>
      </c>
      <c r="R1382" s="638">
        <v>0</v>
      </c>
      <c r="S1382" s="638">
        <v>8441</v>
      </c>
      <c r="T1382" s="638">
        <v>8441</v>
      </c>
      <c r="U1382" s="638">
        <v>2474</v>
      </c>
      <c r="V1382" s="636">
        <v>2022</v>
      </c>
      <c r="W1382" s="640"/>
      <c r="X1382" s="641">
        <f t="shared" si="63"/>
        <v>3.411883589329022</v>
      </c>
      <c r="Y1382" s="642" t="str">
        <f t="shared" si="64"/>
        <v/>
      </c>
      <c r="Z1382" s="642" t="str">
        <f t="shared" si="65"/>
        <v/>
      </c>
    </row>
    <row r="1383" spans="1:26" s="127" customFormat="1" ht="25">
      <c r="A1383" s="636">
        <v>59313</v>
      </c>
      <c r="B1383" s="637" t="s">
        <v>33</v>
      </c>
      <c r="C1383" s="636" t="s">
        <v>2725</v>
      </c>
      <c r="D1383" s="637" t="s">
        <v>2093</v>
      </c>
      <c r="E1383" s="637" t="s">
        <v>2094</v>
      </c>
      <c r="F1383" s="636">
        <v>59116</v>
      </c>
      <c r="G1383" s="637" t="s">
        <v>130</v>
      </c>
      <c r="H1383" s="637" t="s">
        <v>1163</v>
      </c>
      <c r="I1383" s="637" t="s">
        <v>58</v>
      </c>
      <c r="J1383" s="636">
        <v>22</v>
      </c>
      <c r="K1383" s="636">
        <v>2</v>
      </c>
      <c r="L1383" s="637" t="s">
        <v>52</v>
      </c>
      <c r="M1383" s="637" t="s">
        <v>71</v>
      </c>
      <c r="N1383" s="637" t="s">
        <v>72</v>
      </c>
      <c r="O1383" s="637" t="s">
        <v>72</v>
      </c>
      <c r="P1383" s="637" t="s">
        <v>1156</v>
      </c>
      <c r="Q1383" s="638">
        <v>0</v>
      </c>
      <c r="R1383" s="638">
        <v>0</v>
      </c>
      <c r="S1383" s="638">
        <v>11053</v>
      </c>
      <c r="T1383" s="638">
        <v>11053</v>
      </c>
      <c r="U1383" s="638">
        <v>3239</v>
      </c>
      <c r="V1383" s="636">
        <v>2022</v>
      </c>
      <c r="W1383" s="640"/>
      <c r="X1383" s="641">
        <f t="shared" si="63"/>
        <v>3.4124729854893485</v>
      </c>
      <c r="Y1383" s="642" t="str">
        <f t="shared" si="64"/>
        <v/>
      </c>
      <c r="Z1383" s="642" t="str">
        <f t="shared" si="65"/>
        <v/>
      </c>
    </row>
    <row r="1384" spans="1:26" s="127" customFormat="1" ht="25">
      <c r="A1384" s="636">
        <v>59314</v>
      </c>
      <c r="B1384" s="637" t="s">
        <v>33</v>
      </c>
      <c r="C1384" s="636" t="s">
        <v>2725</v>
      </c>
      <c r="D1384" s="637" t="s">
        <v>1900</v>
      </c>
      <c r="E1384" s="637" t="s">
        <v>1901</v>
      </c>
      <c r="F1384" s="636">
        <v>59117</v>
      </c>
      <c r="G1384" s="637" t="s">
        <v>130</v>
      </c>
      <c r="H1384" s="637" t="s">
        <v>1163</v>
      </c>
      <c r="I1384" s="637" t="s">
        <v>58</v>
      </c>
      <c r="J1384" s="636">
        <v>22</v>
      </c>
      <c r="K1384" s="636">
        <v>2</v>
      </c>
      <c r="L1384" s="637" t="s">
        <v>52</v>
      </c>
      <c r="M1384" s="637" t="s">
        <v>71</v>
      </c>
      <c r="N1384" s="637" t="s">
        <v>72</v>
      </c>
      <c r="O1384" s="637" t="s">
        <v>72</v>
      </c>
      <c r="P1384" s="637" t="s">
        <v>1156</v>
      </c>
      <c r="Q1384" s="638">
        <v>0</v>
      </c>
      <c r="R1384" s="638">
        <v>0</v>
      </c>
      <c r="S1384" s="638">
        <v>29500</v>
      </c>
      <c r="T1384" s="638">
        <v>29500</v>
      </c>
      <c r="U1384" s="638">
        <v>8646</v>
      </c>
      <c r="V1384" s="636">
        <v>2022</v>
      </c>
      <c r="W1384" s="640"/>
      <c r="X1384" s="641">
        <f t="shared" si="63"/>
        <v>3.4119824196160073</v>
      </c>
      <c r="Y1384" s="642" t="str">
        <f t="shared" si="64"/>
        <v/>
      </c>
      <c r="Z1384" s="642" t="str">
        <f t="shared" si="65"/>
        <v/>
      </c>
    </row>
    <row r="1385" spans="1:26" s="127" customFormat="1" ht="25">
      <c r="A1385" s="636">
        <v>59358</v>
      </c>
      <c r="B1385" s="637" t="s">
        <v>33</v>
      </c>
      <c r="C1385" s="636" t="s">
        <v>2725</v>
      </c>
      <c r="D1385" s="637" t="s">
        <v>1703</v>
      </c>
      <c r="E1385" s="637" t="s">
        <v>1950</v>
      </c>
      <c r="F1385" s="636">
        <v>60281</v>
      </c>
      <c r="G1385" s="637" t="s">
        <v>81</v>
      </c>
      <c r="H1385" s="637" t="s">
        <v>1163</v>
      </c>
      <c r="I1385" s="637" t="s">
        <v>58</v>
      </c>
      <c r="J1385" s="636">
        <v>22</v>
      </c>
      <c r="K1385" s="636">
        <v>2</v>
      </c>
      <c r="L1385" s="637" t="s">
        <v>52</v>
      </c>
      <c r="M1385" s="637" t="s">
        <v>441</v>
      </c>
      <c r="N1385" s="637" t="s">
        <v>442</v>
      </c>
      <c r="O1385" s="637" t="s">
        <v>442</v>
      </c>
      <c r="P1385" s="637" t="s">
        <v>1156</v>
      </c>
      <c r="Q1385" s="638">
        <v>0</v>
      </c>
      <c r="R1385" s="638">
        <v>0</v>
      </c>
      <c r="S1385" s="638">
        <v>16678</v>
      </c>
      <c r="T1385" s="638">
        <v>16678</v>
      </c>
      <c r="U1385" s="638">
        <v>4888</v>
      </c>
      <c r="V1385" s="636">
        <v>2022</v>
      </c>
      <c r="W1385" s="640"/>
      <c r="X1385" s="641">
        <f t="shared" si="63"/>
        <v>3.4120294599018002</v>
      </c>
      <c r="Y1385" s="642" t="str">
        <f t="shared" si="64"/>
        <v/>
      </c>
      <c r="Z1385" s="642" t="str">
        <f t="shared" si="65"/>
        <v/>
      </c>
    </row>
    <row r="1386" spans="1:26" s="127" customFormat="1" ht="25">
      <c r="A1386" s="636">
        <v>59361</v>
      </c>
      <c r="B1386" s="637" t="s">
        <v>33</v>
      </c>
      <c r="C1386" s="636" t="s">
        <v>2725</v>
      </c>
      <c r="D1386" s="637" t="s">
        <v>1704</v>
      </c>
      <c r="E1386" s="637" t="s">
        <v>3621</v>
      </c>
      <c r="F1386" s="636">
        <v>65432</v>
      </c>
      <c r="G1386" s="637" t="s">
        <v>81</v>
      </c>
      <c r="H1386" s="637" t="s">
        <v>1163</v>
      </c>
      <c r="I1386" s="637" t="s">
        <v>58</v>
      </c>
      <c r="J1386" s="636">
        <v>22</v>
      </c>
      <c r="K1386" s="636">
        <v>2</v>
      </c>
      <c r="L1386" s="637" t="s">
        <v>52</v>
      </c>
      <c r="M1386" s="637" t="s">
        <v>441</v>
      </c>
      <c r="N1386" s="637" t="s">
        <v>442</v>
      </c>
      <c r="O1386" s="637" t="s">
        <v>442</v>
      </c>
      <c r="P1386" s="637" t="s">
        <v>1156</v>
      </c>
      <c r="Q1386" s="638">
        <v>0</v>
      </c>
      <c r="R1386" s="638">
        <v>0</v>
      </c>
      <c r="S1386" s="638">
        <v>4998</v>
      </c>
      <c r="T1386" s="638">
        <v>4998</v>
      </c>
      <c r="U1386" s="638">
        <v>1465</v>
      </c>
      <c r="V1386" s="636">
        <v>2022</v>
      </c>
      <c r="W1386" s="640"/>
      <c r="X1386" s="641">
        <f t="shared" si="63"/>
        <v>3.4116040955631401</v>
      </c>
      <c r="Y1386" s="642" t="str">
        <f t="shared" si="64"/>
        <v/>
      </c>
      <c r="Z1386" s="642" t="str">
        <f t="shared" si="65"/>
        <v/>
      </c>
    </row>
    <row r="1387" spans="1:26" s="127" customFormat="1" ht="25">
      <c r="A1387" s="636">
        <v>59362</v>
      </c>
      <c r="B1387" s="637" t="s">
        <v>33</v>
      </c>
      <c r="C1387" s="636" t="s">
        <v>2725</v>
      </c>
      <c r="D1387" s="637" t="s">
        <v>1706</v>
      </c>
      <c r="E1387" s="637" t="s">
        <v>3621</v>
      </c>
      <c r="F1387" s="636">
        <v>65432</v>
      </c>
      <c r="G1387" s="637" t="s">
        <v>81</v>
      </c>
      <c r="H1387" s="637" t="s">
        <v>1163</v>
      </c>
      <c r="I1387" s="637" t="s">
        <v>58</v>
      </c>
      <c r="J1387" s="636">
        <v>22</v>
      </c>
      <c r="K1387" s="636">
        <v>2</v>
      </c>
      <c r="L1387" s="637" t="s">
        <v>52</v>
      </c>
      <c r="M1387" s="637" t="s">
        <v>441</v>
      </c>
      <c r="N1387" s="637" t="s">
        <v>442</v>
      </c>
      <c r="O1387" s="637" t="s">
        <v>442</v>
      </c>
      <c r="P1387" s="637" t="s">
        <v>1156</v>
      </c>
      <c r="Q1387" s="638">
        <v>0</v>
      </c>
      <c r="R1387" s="638">
        <v>0</v>
      </c>
      <c r="S1387" s="638">
        <v>5174</v>
      </c>
      <c r="T1387" s="638">
        <v>5174</v>
      </c>
      <c r="U1387" s="638">
        <v>1517</v>
      </c>
      <c r="V1387" s="636">
        <v>2022</v>
      </c>
      <c r="W1387" s="640"/>
      <c r="X1387" s="641">
        <f t="shared" si="63"/>
        <v>3.4106789716545816</v>
      </c>
      <c r="Y1387" s="642" t="str">
        <f t="shared" si="64"/>
        <v/>
      </c>
      <c r="Z1387" s="642" t="str">
        <f t="shared" si="65"/>
        <v/>
      </c>
    </row>
    <row r="1388" spans="1:26" s="127" customFormat="1" ht="25">
      <c r="A1388" s="636">
        <v>59363</v>
      </c>
      <c r="B1388" s="637" t="s">
        <v>33</v>
      </c>
      <c r="C1388" s="636" t="s">
        <v>2725</v>
      </c>
      <c r="D1388" s="637" t="s">
        <v>1707</v>
      </c>
      <c r="E1388" s="637" t="s">
        <v>3621</v>
      </c>
      <c r="F1388" s="636">
        <v>65432</v>
      </c>
      <c r="G1388" s="637" t="s">
        <v>81</v>
      </c>
      <c r="H1388" s="637" t="s">
        <v>1163</v>
      </c>
      <c r="I1388" s="637" t="s">
        <v>58</v>
      </c>
      <c r="J1388" s="636">
        <v>22</v>
      </c>
      <c r="K1388" s="636">
        <v>2</v>
      </c>
      <c r="L1388" s="637" t="s">
        <v>52</v>
      </c>
      <c r="M1388" s="637" t="s">
        <v>441</v>
      </c>
      <c r="N1388" s="637" t="s">
        <v>442</v>
      </c>
      <c r="O1388" s="637" t="s">
        <v>442</v>
      </c>
      <c r="P1388" s="637" t="s">
        <v>1156</v>
      </c>
      <c r="Q1388" s="638">
        <v>0</v>
      </c>
      <c r="R1388" s="638">
        <v>0</v>
      </c>
      <c r="S1388" s="638">
        <v>4388</v>
      </c>
      <c r="T1388" s="638">
        <v>4388</v>
      </c>
      <c r="U1388" s="638">
        <v>1286</v>
      </c>
      <c r="V1388" s="636">
        <v>2022</v>
      </c>
      <c r="W1388" s="640"/>
      <c r="X1388" s="641">
        <f t="shared" si="63"/>
        <v>3.4121306376360807</v>
      </c>
      <c r="Y1388" s="642" t="str">
        <f t="shared" si="64"/>
        <v/>
      </c>
      <c r="Z1388" s="642" t="str">
        <f t="shared" si="65"/>
        <v/>
      </c>
    </row>
    <row r="1389" spans="1:26" s="127" customFormat="1" ht="25">
      <c r="A1389" s="636">
        <v>59368</v>
      </c>
      <c r="B1389" s="637" t="s">
        <v>33</v>
      </c>
      <c r="C1389" s="636" t="s">
        <v>2725</v>
      </c>
      <c r="D1389" s="637" t="s">
        <v>1708</v>
      </c>
      <c r="E1389" s="637" t="s">
        <v>1705</v>
      </c>
      <c r="F1389" s="636">
        <v>58258</v>
      </c>
      <c r="G1389" s="637" t="s">
        <v>81</v>
      </c>
      <c r="H1389" s="637" t="s">
        <v>1163</v>
      </c>
      <c r="I1389" s="637" t="s">
        <v>58</v>
      </c>
      <c r="J1389" s="636">
        <v>22</v>
      </c>
      <c r="K1389" s="636">
        <v>2</v>
      </c>
      <c r="L1389" s="637" t="s">
        <v>52</v>
      </c>
      <c r="M1389" s="637" t="s">
        <v>441</v>
      </c>
      <c r="N1389" s="637" t="s">
        <v>442</v>
      </c>
      <c r="O1389" s="637" t="s">
        <v>442</v>
      </c>
      <c r="P1389" s="637" t="s">
        <v>1156</v>
      </c>
      <c r="Q1389" s="638">
        <v>0</v>
      </c>
      <c r="R1389" s="638">
        <v>0</v>
      </c>
      <c r="S1389" s="638">
        <v>8889</v>
      </c>
      <c r="T1389" s="638">
        <v>8889</v>
      </c>
      <c r="U1389" s="638">
        <v>2605</v>
      </c>
      <c r="V1389" s="636">
        <v>2022</v>
      </c>
      <c r="W1389" s="640"/>
      <c r="X1389" s="641">
        <f t="shared" si="63"/>
        <v>3.4122840690978888</v>
      </c>
      <c r="Y1389" s="642" t="str">
        <f t="shared" si="64"/>
        <v/>
      </c>
      <c r="Z1389" s="642" t="str">
        <f t="shared" si="65"/>
        <v/>
      </c>
    </row>
    <row r="1390" spans="1:26" s="127" customFormat="1" ht="25">
      <c r="A1390" s="636">
        <v>59390</v>
      </c>
      <c r="B1390" s="637" t="s">
        <v>33</v>
      </c>
      <c r="C1390" s="636" t="s">
        <v>2725</v>
      </c>
      <c r="D1390" s="637" t="s">
        <v>1709</v>
      </c>
      <c r="E1390" s="637" t="s">
        <v>1604</v>
      </c>
      <c r="F1390" s="636">
        <v>58677</v>
      </c>
      <c r="G1390" s="637" t="s">
        <v>81</v>
      </c>
      <c r="H1390" s="637" t="s">
        <v>1163</v>
      </c>
      <c r="I1390" s="637" t="s">
        <v>58</v>
      </c>
      <c r="J1390" s="636">
        <v>22</v>
      </c>
      <c r="K1390" s="636">
        <v>2</v>
      </c>
      <c r="L1390" s="637" t="s">
        <v>52</v>
      </c>
      <c r="M1390" s="637" t="s">
        <v>441</v>
      </c>
      <c r="N1390" s="637" t="s">
        <v>442</v>
      </c>
      <c r="O1390" s="637" t="s">
        <v>442</v>
      </c>
      <c r="P1390" s="637" t="s">
        <v>1156</v>
      </c>
      <c r="Q1390" s="638">
        <v>0</v>
      </c>
      <c r="R1390" s="638">
        <v>0</v>
      </c>
      <c r="S1390" s="638">
        <v>23354</v>
      </c>
      <c r="T1390" s="638">
        <v>23354</v>
      </c>
      <c r="U1390" s="638">
        <v>6845</v>
      </c>
      <c r="V1390" s="636">
        <v>2022</v>
      </c>
      <c r="W1390" s="640"/>
      <c r="X1390" s="641">
        <f t="shared" si="63"/>
        <v>3.4118334550766982</v>
      </c>
      <c r="Y1390" s="642" t="str">
        <f t="shared" si="64"/>
        <v/>
      </c>
      <c r="Z1390" s="642" t="str">
        <f t="shared" si="65"/>
        <v/>
      </c>
    </row>
    <row r="1391" spans="1:26" s="127" customFormat="1" ht="25">
      <c r="A1391" s="636">
        <v>59394</v>
      </c>
      <c r="B1391" s="637" t="s">
        <v>33</v>
      </c>
      <c r="C1391" s="636" t="s">
        <v>2725</v>
      </c>
      <c r="D1391" s="637" t="s">
        <v>1710</v>
      </c>
      <c r="E1391" s="637" t="s">
        <v>1644</v>
      </c>
      <c r="F1391" s="636">
        <v>58440</v>
      </c>
      <c r="G1391" s="637" t="s">
        <v>81</v>
      </c>
      <c r="H1391" s="637" t="s">
        <v>1163</v>
      </c>
      <c r="I1391" s="637" t="s">
        <v>58</v>
      </c>
      <c r="J1391" s="636">
        <v>22</v>
      </c>
      <c r="K1391" s="636">
        <v>2</v>
      </c>
      <c r="L1391" s="637" t="s">
        <v>52</v>
      </c>
      <c r="M1391" s="637" t="s">
        <v>441</v>
      </c>
      <c r="N1391" s="637" t="s">
        <v>442</v>
      </c>
      <c r="O1391" s="637" t="s">
        <v>442</v>
      </c>
      <c r="P1391" s="637" t="s">
        <v>1156</v>
      </c>
      <c r="Q1391" s="638">
        <v>0</v>
      </c>
      <c r="R1391" s="638">
        <v>0</v>
      </c>
      <c r="S1391" s="638">
        <v>5762</v>
      </c>
      <c r="T1391" s="638">
        <v>5762</v>
      </c>
      <c r="U1391" s="638">
        <v>1689</v>
      </c>
      <c r="V1391" s="636">
        <v>2022</v>
      </c>
      <c r="W1391" s="640"/>
      <c r="X1391" s="641">
        <f t="shared" si="63"/>
        <v>3.4114860864416814</v>
      </c>
      <c r="Y1391" s="642" t="str">
        <f t="shared" si="64"/>
        <v/>
      </c>
      <c r="Z1391" s="642" t="str">
        <f t="shared" si="65"/>
        <v/>
      </c>
    </row>
    <row r="1392" spans="1:26" s="127" customFormat="1" ht="25">
      <c r="A1392" s="636">
        <v>59396</v>
      </c>
      <c r="B1392" s="637" t="s">
        <v>33</v>
      </c>
      <c r="C1392" s="636" t="s">
        <v>2725</v>
      </c>
      <c r="D1392" s="637" t="s">
        <v>1711</v>
      </c>
      <c r="E1392" s="637" t="s">
        <v>1712</v>
      </c>
      <c r="F1392" s="636">
        <v>59174</v>
      </c>
      <c r="G1392" s="637" t="s">
        <v>81</v>
      </c>
      <c r="H1392" s="637" t="s">
        <v>1163</v>
      </c>
      <c r="I1392" s="637" t="s">
        <v>58</v>
      </c>
      <c r="J1392" s="636">
        <v>22</v>
      </c>
      <c r="K1392" s="636">
        <v>2</v>
      </c>
      <c r="L1392" s="637" t="s">
        <v>52</v>
      </c>
      <c r="M1392" s="637" t="s">
        <v>441</v>
      </c>
      <c r="N1392" s="637" t="s">
        <v>442</v>
      </c>
      <c r="O1392" s="637" t="s">
        <v>442</v>
      </c>
      <c r="P1392" s="637" t="s">
        <v>1156</v>
      </c>
      <c r="Q1392" s="638">
        <v>0</v>
      </c>
      <c r="R1392" s="638">
        <v>0</v>
      </c>
      <c r="S1392" s="638">
        <v>20598</v>
      </c>
      <c r="T1392" s="638">
        <v>20598</v>
      </c>
      <c r="U1392" s="638">
        <v>6037</v>
      </c>
      <c r="V1392" s="636">
        <v>2022</v>
      </c>
      <c r="W1392" s="640"/>
      <c r="X1392" s="641">
        <f t="shared" si="63"/>
        <v>3.4119595825741262</v>
      </c>
      <c r="Y1392" s="642" t="str">
        <f t="shared" si="64"/>
        <v/>
      </c>
      <c r="Z1392" s="642" t="str">
        <f t="shared" si="65"/>
        <v/>
      </c>
    </row>
    <row r="1393" spans="1:26" s="127" customFormat="1" ht="25">
      <c r="A1393" s="636">
        <v>59415</v>
      </c>
      <c r="B1393" s="637" t="s">
        <v>33</v>
      </c>
      <c r="C1393" s="636" t="s">
        <v>2725</v>
      </c>
      <c r="D1393" s="637" t="s">
        <v>1713</v>
      </c>
      <c r="E1393" s="637" t="s">
        <v>371</v>
      </c>
      <c r="F1393" s="636">
        <v>4180</v>
      </c>
      <c r="G1393" s="637" t="s">
        <v>41</v>
      </c>
      <c r="H1393" s="637" t="s">
        <v>1163</v>
      </c>
      <c r="I1393" s="637" t="s">
        <v>58</v>
      </c>
      <c r="J1393" s="636">
        <v>22</v>
      </c>
      <c r="K1393" s="636">
        <v>1</v>
      </c>
      <c r="L1393" s="637" t="s">
        <v>34</v>
      </c>
      <c r="M1393" s="637" t="s">
        <v>51</v>
      </c>
      <c r="N1393" s="637" t="s">
        <v>46</v>
      </c>
      <c r="O1393" s="637" t="s">
        <v>46</v>
      </c>
      <c r="P1393" s="637" t="s">
        <v>47</v>
      </c>
      <c r="Q1393" s="638">
        <v>1366</v>
      </c>
      <c r="R1393" s="638">
        <v>1366</v>
      </c>
      <c r="S1393" s="638">
        <v>7950</v>
      </c>
      <c r="T1393" s="638">
        <v>7950</v>
      </c>
      <c r="U1393" s="638">
        <v>796</v>
      </c>
      <c r="V1393" s="636">
        <v>2022</v>
      </c>
      <c r="W1393" s="640"/>
      <c r="X1393" s="641">
        <f t="shared" si="63"/>
        <v>9.9874371859296485</v>
      </c>
      <c r="Y1393" s="642" t="str">
        <f t="shared" si="64"/>
        <v/>
      </c>
      <c r="Z1393" s="642" t="str">
        <f t="shared" si="65"/>
        <v/>
      </c>
    </row>
    <row r="1394" spans="1:26" s="127" customFormat="1" ht="25">
      <c r="A1394" s="636">
        <v>59437</v>
      </c>
      <c r="B1394" s="637" t="s">
        <v>33</v>
      </c>
      <c r="C1394" s="636" t="s">
        <v>2725</v>
      </c>
      <c r="D1394" s="637" t="s">
        <v>1714</v>
      </c>
      <c r="E1394" s="637" t="s">
        <v>1541</v>
      </c>
      <c r="F1394" s="636">
        <v>59178</v>
      </c>
      <c r="G1394" s="637" t="s">
        <v>90</v>
      </c>
      <c r="H1394" s="637" t="s">
        <v>1163</v>
      </c>
      <c r="I1394" s="637" t="s">
        <v>58</v>
      </c>
      <c r="J1394" s="636">
        <v>22</v>
      </c>
      <c r="K1394" s="636">
        <v>2</v>
      </c>
      <c r="L1394" s="637" t="s">
        <v>52</v>
      </c>
      <c r="M1394" s="637" t="s">
        <v>35</v>
      </c>
      <c r="N1394" s="637" t="s">
        <v>36</v>
      </c>
      <c r="O1394" s="637" t="s">
        <v>37</v>
      </c>
      <c r="P1394" s="637" t="s">
        <v>1156</v>
      </c>
      <c r="Q1394" s="638">
        <v>0</v>
      </c>
      <c r="R1394" s="638">
        <v>0</v>
      </c>
      <c r="S1394" s="638">
        <v>48254</v>
      </c>
      <c r="T1394" s="638">
        <v>48254</v>
      </c>
      <c r="U1394" s="638">
        <v>14143</v>
      </c>
      <c r="V1394" s="636">
        <v>2022</v>
      </c>
      <c r="W1394" s="640"/>
      <c r="X1394" s="641">
        <f t="shared" si="63"/>
        <v>3.4118645266209433</v>
      </c>
      <c r="Y1394" s="642" t="str">
        <f t="shared" si="64"/>
        <v/>
      </c>
      <c r="Z1394" s="642" t="str">
        <f t="shared" si="65"/>
        <v/>
      </c>
    </row>
    <row r="1395" spans="1:26" s="127" customFormat="1" ht="25">
      <c r="A1395" s="636">
        <v>59438</v>
      </c>
      <c r="B1395" s="637" t="s">
        <v>33</v>
      </c>
      <c r="C1395" s="636" t="s">
        <v>2725</v>
      </c>
      <c r="D1395" s="637" t="s">
        <v>1715</v>
      </c>
      <c r="E1395" s="637" t="s">
        <v>1541</v>
      </c>
      <c r="F1395" s="636">
        <v>59178</v>
      </c>
      <c r="G1395" s="637" t="s">
        <v>90</v>
      </c>
      <c r="H1395" s="637" t="s">
        <v>1163</v>
      </c>
      <c r="I1395" s="637" t="s">
        <v>58</v>
      </c>
      <c r="J1395" s="636">
        <v>22</v>
      </c>
      <c r="K1395" s="636">
        <v>2</v>
      </c>
      <c r="L1395" s="637" t="s">
        <v>52</v>
      </c>
      <c r="M1395" s="637" t="s">
        <v>35</v>
      </c>
      <c r="N1395" s="637" t="s">
        <v>36</v>
      </c>
      <c r="O1395" s="637" t="s">
        <v>37</v>
      </c>
      <c r="P1395" s="637" t="s">
        <v>1156</v>
      </c>
      <c r="Q1395" s="638">
        <v>0</v>
      </c>
      <c r="R1395" s="638">
        <v>0</v>
      </c>
      <c r="S1395" s="638">
        <v>88851</v>
      </c>
      <c r="T1395" s="638">
        <v>88851</v>
      </c>
      <c r="U1395" s="638">
        <v>26041</v>
      </c>
      <c r="V1395" s="636">
        <v>2022</v>
      </c>
      <c r="W1395" s="640"/>
      <c r="X1395" s="641">
        <f t="shared" si="63"/>
        <v>3.4119657463231059</v>
      </c>
      <c r="Y1395" s="642" t="str">
        <f t="shared" si="64"/>
        <v/>
      </c>
      <c r="Z1395" s="642" t="str">
        <f t="shared" si="65"/>
        <v/>
      </c>
    </row>
    <row r="1396" spans="1:26" s="127" customFormat="1" ht="25">
      <c r="A1396" s="636">
        <v>59445</v>
      </c>
      <c r="B1396" s="637" t="s">
        <v>33</v>
      </c>
      <c r="C1396" s="636" t="s">
        <v>2725</v>
      </c>
      <c r="D1396" s="637" t="s">
        <v>1716</v>
      </c>
      <c r="E1396" s="637" t="s">
        <v>2284</v>
      </c>
      <c r="F1396" s="636">
        <v>59215</v>
      </c>
      <c r="G1396" s="637" t="s">
        <v>89</v>
      </c>
      <c r="H1396" s="637" t="s">
        <v>1163</v>
      </c>
      <c r="I1396" s="637" t="s">
        <v>58</v>
      </c>
      <c r="J1396" s="636">
        <v>22</v>
      </c>
      <c r="K1396" s="636">
        <v>2</v>
      </c>
      <c r="L1396" s="637" t="s">
        <v>52</v>
      </c>
      <c r="M1396" s="637" t="s">
        <v>441</v>
      </c>
      <c r="N1396" s="637" t="s">
        <v>442</v>
      </c>
      <c r="O1396" s="637" t="s">
        <v>442</v>
      </c>
      <c r="P1396" s="637" t="s">
        <v>1156</v>
      </c>
      <c r="Q1396" s="638">
        <v>0</v>
      </c>
      <c r="R1396" s="638">
        <v>0</v>
      </c>
      <c r="S1396" s="638">
        <v>8060</v>
      </c>
      <c r="T1396" s="638">
        <v>8060</v>
      </c>
      <c r="U1396" s="638">
        <v>2362</v>
      </c>
      <c r="V1396" s="636">
        <v>2022</v>
      </c>
      <c r="W1396" s="640"/>
      <c r="X1396" s="641">
        <f t="shared" si="63"/>
        <v>3.4123624047417445</v>
      </c>
      <c r="Y1396" s="642" t="str">
        <f t="shared" si="64"/>
        <v/>
      </c>
      <c r="Z1396" s="642" t="str">
        <f t="shared" si="65"/>
        <v/>
      </c>
    </row>
    <row r="1397" spans="1:26" s="127" customFormat="1" ht="37.5" hidden="1">
      <c r="A1397" s="636">
        <v>59453</v>
      </c>
      <c r="B1397" s="637" t="s">
        <v>54</v>
      </c>
      <c r="C1397" s="636" t="s">
        <v>2725</v>
      </c>
      <c r="D1397" s="637" t="s">
        <v>1717</v>
      </c>
      <c r="E1397" s="637" t="s">
        <v>1718</v>
      </c>
      <c r="F1397" s="636">
        <v>59219</v>
      </c>
      <c r="G1397" s="637" t="s">
        <v>57</v>
      </c>
      <c r="H1397" s="637" t="s">
        <v>1162</v>
      </c>
      <c r="I1397" s="637" t="s">
        <v>58</v>
      </c>
      <c r="J1397" s="636">
        <v>622</v>
      </c>
      <c r="K1397" s="636">
        <v>5</v>
      </c>
      <c r="L1397" s="637" t="s">
        <v>407</v>
      </c>
      <c r="M1397" s="637" t="s">
        <v>50</v>
      </c>
      <c r="N1397" s="637" t="s">
        <v>39</v>
      </c>
      <c r="O1397" s="637" t="s">
        <v>39</v>
      </c>
      <c r="P1397" s="637" t="s">
        <v>1020</v>
      </c>
      <c r="Q1397" s="638">
        <v>570835</v>
      </c>
      <c r="R1397" s="638">
        <v>191891</v>
      </c>
      <c r="S1397" s="638">
        <v>586819</v>
      </c>
      <c r="T1397" s="638">
        <v>197264</v>
      </c>
      <c r="U1397" s="638">
        <v>33232</v>
      </c>
      <c r="V1397" s="636">
        <v>2022</v>
      </c>
      <c r="W1397" s="640"/>
      <c r="X1397" s="641" t="str">
        <f t="shared" si="63"/>
        <v/>
      </c>
      <c r="Y1397" s="642">
        <f t="shared" si="64"/>
        <v>6.7916350320358498</v>
      </c>
      <c r="Z1397" s="642" t="str">
        <f t="shared" si="65"/>
        <v/>
      </c>
    </row>
    <row r="1398" spans="1:26" s="127" customFormat="1" ht="25">
      <c r="A1398" s="636">
        <v>59463</v>
      </c>
      <c r="B1398" s="637" t="s">
        <v>33</v>
      </c>
      <c r="C1398" s="636" t="s">
        <v>2725</v>
      </c>
      <c r="D1398" s="637" t="s">
        <v>1719</v>
      </c>
      <c r="E1398" s="637" t="s">
        <v>1950</v>
      </c>
      <c r="F1398" s="636">
        <v>60281</v>
      </c>
      <c r="G1398" s="637" t="s">
        <v>81</v>
      </c>
      <c r="H1398" s="637" t="s">
        <v>1163</v>
      </c>
      <c r="I1398" s="637" t="s">
        <v>58</v>
      </c>
      <c r="J1398" s="636">
        <v>22</v>
      </c>
      <c r="K1398" s="636">
        <v>2</v>
      </c>
      <c r="L1398" s="637" t="s">
        <v>52</v>
      </c>
      <c r="M1398" s="637" t="s">
        <v>441</v>
      </c>
      <c r="N1398" s="637" t="s">
        <v>442</v>
      </c>
      <c r="O1398" s="637" t="s">
        <v>442</v>
      </c>
      <c r="P1398" s="637" t="s">
        <v>1156</v>
      </c>
      <c r="Q1398" s="638">
        <v>0</v>
      </c>
      <c r="R1398" s="638">
        <v>0</v>
      </c>
      <c r="S1398" s="638">
        <v>8906</v>
      </c>
      <c r="T1398" s="638">
        <v>8906</v>
      </c>
      <c r="U1398" s="638">
        <v>2610</v>
      </c>
      <c r="V1398" s="636">
        <v>2022</v>
      </c>
      <c r="W1398" s="640"/>
      <c r="X1398" s="641">
        <f t="shared" si="63"/>
        <v>3.4122605363984673</v>
      </c>
      <c r="Y1398" s="642" t="str">
        <f t="shared" si="64"/>
        <v/>
      </c>
      <c r="Z1398" s="642" t="str">
        <f t="shared" si="65"/>
        <v/>
      </c>
    </row>
    <row r="1399" spans="1:26" s="127" customFormat="1" ht="25">
      <c r="A1399" s="636">
        <v>59464</v>
      </c>
      <c r="B1399" s="637" t="s">
        <v>33</v>
      </c>
      <c r="C1399" s="636" t="s">
        <v>2725</v>
      </c>
      <c r="D1399" s="637" t="s">
        <v>1720</v>
      </c>
      <c r="E1399" s="637" t="s">
        <v>1950</v>
      </c>
      <c r="F1399" s="636">
        <v>60281</v>
      </c>
      <c r="G1399" s="637" t="s">
        <v>81</v>
      </c>
      <c r="H1399" s="637" t="s">
        <v>1163</v>
      </c>
      <c r="I1399" s="637" t="s">
        <v>58</v>
      </c>
      <c r="J1399" s="636">
        <v>22</v>
      </c>
      <c r="K1399" s="636">
        <v>2</v>
      </c>
      <c r="L1399" s="637" t="s">
        <v>52</v>
      </c>
      <c r="M1399" s="637" t="s">
        <v>441</v>
      </c>
      <c r="N1399" s="637" t="s">
        <v>442</v>
      </c>
      <c r="O1399" s="637" t="s">
        <v>442</v>
      </c>
      <c r="P1399" s="637" t="s">
        <v>1156</v>
      </c>
      <c r="Q1399" s="638">
        <v>0</v>
      </c>
      <c r="R1399" s="638">
        <v>0</v>
      </c>
      <c r="S1399" s="638">
        <v>14883</v>
      </c>
      <c r="T1399" s="638">
        <v>14883</v>
      </c>
      <c r="U1399" s="638">
        <v>4362</v>
      </c>
      <c r="V1399" s="636">
        <v>2022</v>
      </c>
      <c r="W1399" s="640"/>
      <c r="X1399" s="641">
        <f t="shared" si="63"/>
        <v>3.4119669876203575</v>
      </c>
      <c r="Y1399" s="642" t="str">
        <f t="shared" si="64"/>
        <v/>
      </c>
      <c r="Z1399" s="642" t="str">
        <f t="shared" si="65"/>
        <v/>
      </c>
    </row>
    <row r="1400" spans="1:26" s="127" customFormat="1" ht="25">
      <c r="A1400" s="636">
        <v>59465</v>
      </c>
      <c r="B1400" s="637" t="s">
        <v>33</v>
      </c>
      <c r="C1400" s="636" t="s">
        <v>2725</v>
      </c>
      <c r="D1400" s="637" t="s">
        <v>1721</v>
      </c>
      <c r="E1400" s="637" t="s">
        <v>1950</v>
      </c>
      <c r="F1400" s="636">
        <v>60281</v>
      </c>
      <c r="G1400" s="637" t="s">
        <v>81</v>
      </c>
      <c r="H1400" s="637" t="s">
        <v>1163</v>
      </c>
      <c r="I1400" s="637" t="s">
        <v>58</v>
      </c>
      <c r="J1400" s="636">
        <v>22</v>
      </c>
      <c r="K1400" s="636">
        <v>2</v>
      </c>
      <c r="L1400" s="637" t="s">
        <v>52</v>
      </c>
      <c r="M1400" s="637" t="s">
        <v>441</v>
      </c>
      <c r="N1400" s="637" t="s">
        <v>442</v>
      </c>
      <c r="O1400" s="637" t="s">
        <v>442</v>
      </c>
      <c r="P1400" s="637" t="s">
        <v>1156</v>
      </c>
      <c r="Q1400" s="638">
        <v>0</v>
      </c>
      <c r="R1400" s="638">
        <v>0</v>
      </c>
      <c r="S1400" s="638">
        <v>7783</v>
      </c>
      <c r="T1400" s="638">
        <v>7783</v>
      </c>
      <c r="U1400" s="638">
        <v>2281</v>
      </c>
      <c r="V1400" s="636">
        <v>2022</v>
      </c>
      <c r="W1400" s="640"/>
      <c r="X1400" s="641">
        <f t="shared" si="63"/>
        <v>3.4120999561595791</v>
      </c>
      <c r="Y1400" s="642" t="str">
        <f t="shared" si="64"/>
        <v/>
      </c>
      <c r="Z1400" s="642" t="str">
        <f t="shared" si="65"/>
        <v/>
      </c>
    </row>
    <row r="1401" spans="1:26" s="127" customFormat="1" ht="25">
      <c r="A1401" s="636">
        <v>59466</v>
      </c>
      <c r="B1401" s="637" t="s">
        <v>33</v>
      </c>
      <c r="C1401" s="636" t="s">
        <v>2725</v>
      </c>
      <c r="D1401" s="637" t="s">
        <v>1722</v>
      </c>
      <c r="E1401" s="637" t="s">
        <v>1950</v>
      </c>
      <c r="F1401" s="636">
        <v>60281</v>
      </c>
      <c r="G1401" s="637" t="s">
        <v>81</v>
      </c>
      <c r="H1401" s="637" t="s">
        <v>1163</v>
      </c>
      <c r="I1401" s="637" t="s">
        <v>58</v>
      </c>
      <c r="J1401" s="636">
        <v>22</v>
      </c>
      <c r="K1401" s="636">
        <v>2</v>
      </c>
      <c r="L1401" s="637" t="s">
        <v>52</v>
      </c>
      <c r="M1401" s="637" t="s">
        <v>441</v>
      </c>
      <c r="N1401" s="637" t="s">
        <v>442</v>
      </c>
      <c r="O1401" s="637" t="s">
        <v>442</v>
      </c>
      <c r="P1401" s="637" t="s">
        <v>1156</v>
      </c>
      <c r="Q1401" s="638">
        <v>0</v>
      </c>
      <c r="R1401" s="638">
        <v>0</v>
      </c>
      <c r="S1401" s="638">
        <v>9863</v>
      </c>
      <c r="T1401" s="638">
        <v>9863</v>
      </c>
      <c r="U1401" s="638">
        <v>2891</v>
      </c>
      <c r="V1401" s="636">
        <v>2022</v>
      </c>
      <c r="W1401" s="640"/>
      <c r="X1401" s="641">
        <f t="shared" si="63"/>
        <v>3.4116222760290555</v>
      </c>
      <c r="Y1401" s="642" t="str">
        <f t="shared" si="64"/>
        <v/>
      </c>
      <c r="Z1401" s="642" t="str">
        <f t="shared" si="65"/>
        <v/>
      </c>
    </row>
    <row r="1402" spans="1:26" s="127" customFormat="1" ht="25">
      <c r="A1402" s="636">
        <v>59468</v>
      </c>
      <c r="B1402" s="637" t="s">
        <v>33</v>
      </c>
      <c r="C1402" s="636" t="s">
        <v>2725</v>
      </c>
      <c r="D1402" s="637" t="s">
        <v>1723</v>
      </c>
      <c r="E1402" s="637" t="s">
        <v>1724</v>
      </c>
      <c r="F1402" s="636">
        <v>59232</v>
      </c>
      <c r="G1402" s="637" t="s">
        <v>81</v>
      </c>
      <c r="H1402" s="637" t="s">
        <v>1163</v>
      </c>
      <c r="I1402" s="637" t="s">
        <v>58</v>
      </c>
      <c r="J1402" s="636">
        <v>22</v>
      </c>
      <c r="K1402" s="636">
        <v>2</v>
      </c>
      <c r="L1402" s="637" t="s">
        <v>52</v>
      </c>
      <c r="M1402" s="637" t="s">
        <v>441</v>
      </c>
      <c r="N1402" s="637" t="s">
        <v>442</v>
      </c>
      <c r="O1402" s="637" t="s">
        <v>442</v>
      </c>
      <c r="P1402" s="637" t="s">
        <v>1156</v>
      </c>
      <c r="Q1402" s="638">
        <v>0</v>
      </c>
      <c r="R1402" s="638">
        <v>0</v>
      </c>
      <c r="S1402" s="638">
        <v>10570</v>
      </c>
      <c r="T1402" s="638">
        <v>10570</v>
      </c>
      <c r="U1402" s="638">
        <v>3098</v>
      </c>
      <c r="V1402" s="636">
        <v>2022</v>
      </c>
      <c r="W1402" s="640"/>
      <c r="X1402" s="641">
        <f t="shared" si="63"/>
        <v>3.4118786313750809</v>
      </c>
      <c r="Y1402" s="642" t="str">
        <f t="shared" si="64"/>
        <v/>
      </c>
      <c r="Z1402" s="642" t="str">
        <f t="shared" si="65"/>
        <v/>
      </c>
    </row>
    <row r="1403" spans="1:26" s="127" customFormat="1" ht="25">
      <c r="A1403" s="636">
        <v>59470</v>
      </c>
      <c r="B1403" s="637" t="s">
        <v>33</v>
      </c>
      <c r="C1403" s="636" t="s">
        <v>2725</v>
      </c>
      <c r="D1403" s="637" t="s">
        <v>1725</v>
      </c>
      <c r="E1403" s="637" t="s">
        <v>1726</v>
      </c>
      <c r="F1403" s="636">
        <v>59237</v>
      </c>
      <c r="G1403" s="637" t="s">
        <v>57</v>
      </c>
      <c r="H1403" s="637" t="s">
        <v>1162</v>
      </c>
      <c r="I1403" s="637" t="s">
        <v>58</v>
      </c>
      <c r="J1403" s="636">
        <v>22</v>
      </c>
      <c r="K1403" s="636">
        <v>2</v>
      </c>
      <c r="L1403" s="637" t="s">
        <v>52</v>
      </c>
      <c r="M1403" s="637" t="s">
        <v>441</v>
      </c>
      <c r="N1403" s="637" t="s">
        <v>442</v>
      </c>
      <c r="O1403" s="637" t="s">
        <v>442</v>
      </c>
      <c r="P1403" s="637" t="s">
        <v>1156</v>
      </c>
      <c r="Q1403" s="638">
        <v>0</v>
      </c>
      <c r="R1403" s="638">
        <v>0</v>
      </c>
      <c r="S1403" s="638">
        <v>5443</v>
      </c>
      <c r="T1403" s="638">
        <v>5443</v>
      </c>
      <c r="U1403" s="638">
        <v>1595</v>
      </c>
      <c r="V1403" s="636">
        <v>2022</v>
      </c>
      <c r="W1403" s="640"/>
      <c r="X1403" s="641">
        <f t="shared" si="63"/>
        <v>3.412539184952978</v>
      </c>
      <c r="Y1403" s="642" t="str">
        <f t="shared" si="64"/>
        <v/>
      </c>
      <c r="Z1403" s="642" t="str">
        <f t="shared" si="65"/>
        <v/>
      </c>
    </row>
    <row r="1404" spans="1:26" s="127" customFormat="1" ht="25">
      <c r="A1404" s="636">
        <v>59476</v>
      </c>
      <c r="B1404" s="637" t="s">
        <v>33</v>
      </c>
      <c r="C1404" s="636" t="s">
        <v>2725</v>
      </c>
      <c r="D1404" s="637" t="s">
        <v>1727</v>
      </c>
      <c r="E1404" s="637" t="s">
        <v>1728</v>
      </c>
      <c r="F1404" s="636">
        <v>59240</v>
      </c>
      <c r="G1404" s="637" t="s">
        <v>89</v>
      </c>
      <c r="H1404" s="637" t="s">
        <v>1163</v>
      </c>
      <c r="I1404" s="637" t="s">
        <v>58</v>
      </c>
      <c r="J1404" s="636">
        <v>22</v>
      </c>
      <c r="K1404" s="636">
        <v>2</v>
      </c>
      <c r="L1404" s="637" t="s">
        <v>52</v>
      </c>
      <c r="M1404" s="637" t="s">
        <v>441</v>
      </c>
      <c r="N1404" s="637" t="s">
        <v>442</v>
      </c>
      <c r="O1404" s="637" t="s">
        <v>442</v>
      </c>
      <c r="P1404" s="637" t="s">
        <v>1156</v>
      </c>
      <c r="Q1404" s="638">
        <v>0</v>
      </c>
      <c r="R1404" s="638">
        <v>0</v>
      </c>
      <c r="S1404" s="638">
        <v>10256</v>
      </c>
      <c r="T1404" s="638">
        <v>10256</v>
      </c>
      <c r="U1404" s="638">
        <v>3006</v>
      </c>
      <c r="V1404" s="636">
        <v>2022</v>
      </c>
      <c r="W1404" s="640"/>
      <c r="X1404" s="641">
        <f t="shared" si="63"/>
        <v>3.4118429807052562</v>
      </c>
      <c r="Y1404" s="642" t="str">
        <f t="shared" si="64"/>
        <v/>
      </c>
      <c r="Z1404" s="642" t="str">
        <f t="shared" si="65"/>
        <v/>
      </c>
    </row>
    <row r="1405" spans="1:26" s="127" customFormat="1" ht="25">
      <c r="A1405" s="636">
        <v>59477</v>
      </c>
      <c r="B1405" s="637" t="s">
        <v>33</v>
      </c>
      <c r="C1405" s="636" t="s">
        <v>2725</v>
      </c>
      <c r="D1405" s="637" t="s">
        <v>1729</v>
      </c>
      <c r="E1405" s="637" t="s">
        <v>1730</v>
      </c>
      <c r="F1405" s="636">
        <v>59241</v>
      </c>
      <c r="G1405" s="637" t="s">
        <v>89</v>
      </c>
      <c r="H1405" s="637" t="s">
        <v>1163</v>
      </c>
      <c r="I1405" s="637" t="s">
        <v>58</v>
      </c>
      <c r="J1405" s="636">
        <v>22</v>
      </c>
      <c r="K1405" s="636">
        <v>2</v>
      </c>
      <c r="L1405" s="637" t="s">
        <v>52</v>
      </c>
      <c r="M1405" s="637" t="s">
        <v>441</v>
      </c>
      <c r="N1405" s="637" t="s">
        <v>442</v>
      </c>
      <c r="O1405" s="637" t="s">
        <v>442</v>
      </c>
      <c r="P1405" s="637" t="s">
        <v>1156</v>
      </c>
      <c r="Q1405" s="638">
        <v>0</v>
      </c>
      <c r="R1405" s="638">
        <v>0</v>
      </c>
      <c r="S1405" s="638">
        <v>11786</v>
      </c>
      <c r="T1405" s="638">
        <v>11786</v>
      </c>
      <c r="U1405" s="638">
        <v>3455</v>
      </c>
      <c r="V1405" s="636">
        <v>2022</v>
      </c>
      <c r="W1405" s="640"/>
      <c r="X1405" s="641">
        <f t="shared" si="63"/>
        <v>3.411287988422576</v>
      </c>
      <c r="Y1405" s="642" t="str">
        <f t="shared" si="64"/>
        <v/>
      </c>
      <c r="Z1405" s="642" t="str">
        <f t="shared" si="65"/>
        <v/>
      </c>
    </row>
    <row r="1406" spans="1:26" s="127" customFormat="1" ht="25">
      <c r="A1406" s="636">
        <v>59484</v>
      </c>
      <c r="B1406" s="637" t="s">
        <v>33</v>
      </c>
      <c r="C1406" s="636" t="s">
        <v>2725</v>
      </c>
      <c r="D1406" s="637" t="s">
        <v>2095</v>
      </c>
      <c r="E1406" s="637" t="s">
        <v>1731</v>
      </c>
      <c r="F1406" s="636">
        <v>59254</v>
      </c>
      <c r="G1406" s="637" t="s">
        <v>81</v>
      </c>
      <c r="H1406" s="637" t="s">
        <v>1163</v>
      </c>
      <c r="I1406" s="637" t="s">
        <v>58</v>
      </c>
      <c r="J1406" s="636">
        <v>22</v>
      </c>
      <c r="K1406" s="636">
        <v>2</v>
      </c>
      <c r="L1406" s="637" t="s">
        <v>52</v>
      </c>
      <c r="M1406" s="637" t="s">
        <v>441</v>
      </c>
      <c r="N1406" s="637" t="s">
        <v>442</v>
      </c>
      <c r="O1406" s="637" t="s">
        <v>442</v>
      </c>
      <c r="P1406" s="637" t="s">
        <v>1156</v>
      </c>
      <c r="Q1406" s="638">
        <v>0</v>
      </c>
      <c r="R1406" s="638">
        <v>0</v>
      </c>
      <c r="S1406" s="638">
        <v>12887</v>
      </c>
      <c r="T1406" s="638">
        <v>12887</v>
      </c>
      <c r="U1406" s="638">
        <v>3777</v>
      </c>
      <c r="V1406" s="636">
        <v>2022</v>
      </c>
      <c r="W1406" s="640"/>
      <c r="X1406" s="641">
        <f t="shared" si="63"/>
        <v>3.4119671697114113</v>
      </c>
      <c r="Y1406" s="642" t="str">
        <f t="shared" si="64"/>
        <v/>
      </c>
      <c r="Z1406" s="642" t="str">
        <f t="shared" si="65"/>
        <v/>
      </c>
    </row>
    <row r="1407" spans="1:26" s="127" customFormat="1" ht="25">
      <c r="A1407" s="636">
        <v>59485</v>
      </c>
      <c r="B1407" s="637" t="s">
        <v>33</v>
      </c>
      <c r="C1407" s="636" t="s">
        <v>2725</v>
      </c>
      <c r="D1407" s="637" t="s">
        <v>1732</v>
      </c>
      <c r="E1407" s="637" t="s">
        <v>1731</v>
      </c>
      <c r="F1407" s="636">
        <v>59254</v>
      </c>
      <c r="G1407" s="637" t="s">
        <v>81</v>
      </c>
      <c r="H1407" s="637" t="s">
        <v>1163</v>
      </c>
      <c r="I1407" s="637" t="s">
        <v>58</v>
      </c>
      <c r="J1407" s="636">
        <v>22</v>
      </c>
      <c r="K1407" s="636">
        <v>2</v>
      </c>
      <c r="L1407" s="637" t="s">
        <v>52</v>
      </c>
      <c r="M1407" s="637" t="s">
        <v>441</v>
      </c>
      <c r="N1407" s="637" t="s">
        <v>442</v>
      </c>
      <c r="O1407" s="637" t="s">
        <v>442</v>
      </c>
      <c r="P1407" s="637" t="s">
        <v>1156</v>
      </c>
      <c r="Q1407" s="638">
        <v>0</v>
      </c>
      <c r="R1407" s="638">
        <v>0</v>
      </c>
      <c r="S1407" s="638">
        <v>5016</v>
      </c>
      <c r="T1407" s="638">
        <v>5016</v>
      </c>
      <c r="U1407" s="638">
        <v>1470</v>
      </c>
      <c r="V1407" s="636">
        <v>2022</v>
      </c>
      <c r="W1407" s="640"/>
      <c r="X1407" s="641">
        <f t="shared" si="63"/>
        <v>3.4122448979591837</v>
      </c>
      <c r="Y1407" s="642" t="str">
        <f t="shared" si="64"/>
        <v/>
      </c>
      <c r="Z1407" s="642" t="str">
        <f t="shared" si="65"/>
        <v/>
      </c>
    </row>
    <row r="1408" spans="1:26" s="127" customFormat="1" ht="25">
      <c r="A1408" s="636">
        <v>59495</v>
      </c>
      <c r="B1408" s="637" t="s">
        <v>33</v>
      </c>
      <c r="C1408" s="636" t="s">
        <v>2725</v>
      </c>
      <c r="D1408" s="637" t="s">
        <v>1733</v>
      </c>
      <c r="E1408" s="637" t="s">
        <v>3623</v>
      </c>
      <c r="F1408" s="636">
        <v>61944</v>
      </c>
      <c r="G1408" s="637" t="s">
        <v>41</v>
      </c>
      <c r="H1408" s="637" t="s">
        <v>1163</v>
      </c>
      <c r="I1408" s="637" t="s">
        <v>58</v>
      </c>
      <c r="J1408" s="636">
        <v>22</v>
      </c>
      <c r="K1408" s="636">
        <v>2</v>
      </c>
      <c r="L1408" s="637" t="s">
        <v>52</v>
      </c>
      <c r="M1408" s="637" t="s">
        <v>441</v>
      </c>
      <c r="N1408" s="637" t="s">
        <v>442</v>
      </c>
      <c r="O1408" s="637" t="s">
        <v>442</v>
      </c>
      <c r="P1408" s="637" t="s">
        <v>1156</v>
      </c>
      <c r="Q1408" s="638">
        <v>0</v>
      </c>
      <c r="R1408" s="638">
        <v>0</v>
      </c>
      <c r="S1408" s="638">
        <v>13748</v>
      </c>
      <c r="T1408" s="638">
        <v>13748</v>
      </c>
      <c r="U1408" s="638">
        <v>4030</v>
      </c>
      <c r="V1408" s="636">
        <v>2022</v>
      </c>
      <c r="W1408" s="640"/>
      <c r="X1408" s="641">
        <f t="shared" si="63"/>
        <v>3.4114143920595534</v>
      </c>
      <c r="Y1408" s="642" t="str">
        <f t="shared" si="64"/>
        <v/>
      </c>
      <c r="Z1408" s="642" t="str">
        <f t="shared" si="65"/>
        <v/>
      </c>
    </row>
    <row r="1409" spans="1:26" s="127" customFormat="1" ht="37.5" hidden="1">
      <c r="A1409" s="636">
        <v>59543</v>
      </c>
      <c r="B1409" s="637" t="s">
        <v>33</v>
      </c>
      <c r="C1409" s="636" t="s">
        <v>2725</v>
      </c>
      <c r="D1409" s="637" t="s">
        <v>1734</v>
      </c>
      <c r="E1409" s="637" t="s">
        <v>1735</v>
      </c>
      <c r="F1409" s="636">
        <v>59286</v>
      </c>
      <c r="G1409" s="637" t="s">
        <v>81</v>
      </c>
      <c r="H1409" s="637" t="s">
        <v>1163</v>
      </c>
      <c r="I1409" s="637" t="s">
        <v>58</v>
      </c>
      <c r="J1409" s="636">
        <v>92</v>
      </c>
      <c r="K1409" s="636">
        <v>4</v>
      </c>
      <c r="L1409" s="637" t="s">
        <v>406</v>
      </c>
      <c r="M1409" s="637" t="s">
        <v>441</v>
      </c>
      <c r="N1409" s="637" t="s">
        <v>442</v>
      </c>
      <c r="O1409" s="637" t="s">
        <v>442</v>
      </c>
      <c r="P1409" s="637" t="s">
        <v>1156</v>
      </c>
      <c r="Q1409" s="638">
        <v>0</v>
      </c>
      <c r="R1409" s="638">
        <v>0</v>
      </c>
      <c r="S1409" s="638">
        <v>5762</v>
      </c>
      <c r="T1409" s="638">
        <v>5762</v>
      </c>
      <c r="U1409" s="638">
        <v>1689</v>
      </c>
      <c r="V1409" s="636">
        <v>2022</v>
      </c>
      <c r="W1409" s="640"/>
      <c r="X1409" s="641" t="str">
        <f t="shared" si="63"/>
        <v/>
      </c>
      <c r="Y1409" s="642" t="str">
        <f t="shared" si="64"/>
        <v/>
      </c>
      <c r="Z1409" s="642" t="str">
        <f t="shared" si="65"/>
        <v/>
      </c>
    </row>
    <row r="1410" spans="1:26" s="127" customFormat="1" ht="25">
      <c r="A1410" s="636">
        <v>59573</v>
      </c>
      <c r="B1410" s="637" t="s">
        <v>33</v>
      </c>
      <c r="C1410" s="636" t="s">
        <v>2725</v>
      </c>
      <c r="D1410" s="637" t="s">
        <v>1736</v>
      </c>
      <c r="E1410" s="637" t="s">
        <v>3627</v>
      </c>
      <c r="F1410" s="636">
        <v>65305</v>
      </c>
      <c r="G1410" s="637" t="s">
        <v>81</v>
      </c>
      <c r="H1410" s="637" t="s">
        <v>1163</v>
      </c>
      <c r="I1410" s="637" t="s">
        <v>58</v>
      </c>
      <c r="J1410" s="636">
        <v>22</v>
      </c>
      <c r="K1410" s="636">
        <v>2</v>
      </c>
      <c r="L1410" s="637" t="s">
        <v>52</v>
      </c>
      <c r="M1410" s="637" t="s">
        <v>441</v>
      </c>
      <c r="N1410" s="637" t="s">
        <v>442</v>
      </c>
      <c r="O1410" s="637" t="s">
        <v>442</v>
      </c>
      <c r="P1410" s="637" t="s">
        <v>1156</v>
      </c>
      <c r="Q1410" s="638">
        <v>0</v>
      </c>
      <c r="R1410" s="638">
        <v>0</v>
      </c>
      <c r="S1410" s="638">
        <v>5387</v>
      </c>
      <c r="T1410" s="638">
        <v>5387</v>
      </c>
      <c r="U1410" s="638">
        <v>1579</v>
      </c>
      <c r="V1410" s="636">
        <v>2022</v>
      </c>
      <c r="W1410" s="640"/>
      <c r="X1410" s="641">
        <f t="shared" si="63"/>
        <v>3.4116529449018365</v>
      </c>
      <c r="Y1410" s="642" t="str">
        <f t="shared" si="64"/>
        <v/>
      </c>
      <c r="Z1410" s="642" t="str">
        <f t="shared" si="65"/>
        <v/>
      </c>
    </row>
    <row r="1411" spans="1:26" s="127" customFormat="1" ht="37.5" hidden="1">
      <c r="A1411" s="636">
        <v>59613</v>
      </c>
      <c r="B1411" s="637" t="s">
        <v>33</v>
      </c>
      <c r="C1411" s="636" t="s">
        <v>2725</v>
      </c>
      <c r="D1411" s="637" t="s">
        <v>1737</v>
      </c>
      <c r="E1411" s="637" t="s">
        <v>3623</v>
      </c>
      <c r="F1411" s="636">
        <v>61944</v>
      </c>
      <c r="G1411" s="637" t="s">
        <v>57</v>
      </c>
      <c r="H1411" s="637" t="s">
        <v>1162</v>
      </c>
      <c r="I1411" s="637" t="s">
        <v>58</v>
      </c>
      <c r="J1411" s="636">
        <v>562212</v>
      </c>
      <c r="K1411" s="636">
        <v>4</v>
      </c>
      <c r="L1411" s="637" t="s">
        <v>406</v>
      </c>
      <c r="M1411" s="637" t="s">
        <v>441</v>
      </c>
      <c r="N1411" s="637" t="s">
        <v>442</v>
      </c>
      <c r="O1411" s="637" t="s">
        <v>442</v>
      </c>
      <c r="P1411" s="637" t="s">
        <v>1156</v>
      </c>
      <c r="Q1411" s="638">
        <v>0</v>
      </c>
      <c r="R1411" s="638">
        <v>0</v>
      </c>
      <c r="S1411" s="638">
        <v>5739</v>
      </c>
      <c r="T1411" s="638">
        <v>5739</v>
      </c>
      <c r="U1411" s="638">
        <v>1682</v>
      </c>
      <c r="V1411" s="636">
        <v>2022</v>
      </c>
      <c r="W1411" s="640"/>
      <c r="X1411" s="641" t="str">
        <f t="shared" si="63"/>
        <v/>
      </c>
      <c r="Y1411" s="642" t="str">
        <f t="shared" si="64"/>
        <v/>
      </c>
      <c r="Z1411" s="642" t="str">
        <f t="shared" si="65"/>
        <v/>
      </c>
    </row>
    <row r="1412" spans="1:26" s="127" customFormat="1" ht="25">
      <c r="A1412" s="636">
        <v>59622</v>
      </c>
      <c r="B1412" s="637" t="s">
        <v>33</v>
      </c>
      <c r="C1412" s="636" t="s">
        <v>2725</v>
      </c>
      <c r="D1412" s="637" t="s">
        <v>1902</v>
      </c>
      <c r="E1412" s="637" t="s">
        <v>3620</v>
      </c>
      <c r="F1412" s="636">
        <v>57365</v>
      </c>
      <c r="G1412" s="637" t="s">
        <v>81</v>
      </c>
      <c r="H1412" s="637" t="s">
        <v>1163</v>
      </c>
      <c r="I1412" s="637" t="s">
        <v>58</v>
      </c>
      <c r="J1412" s="636">
        <v>22</v>
      </c>
      <c r="K1412" s="636">
        <v>2</v>
      </c>
      <c r="L1412" s="637" t="s">
        <v>52</v>
      </c>
      <c r="M1412" s="637" t="s">
        <v>71</v>
      </c>
      <c r="N1412" s="637" t="s">
        <v>72</v>
      </c>
      <c r="O1412" s="637" t="s">
        <v>72</v>
      </c>
      <c r="P1412" s="637" t="s">
        <v>1156</v>
      </c>
      <c r="Q1412" s="638">
        <v>0</v>
      </c>
      <c r="R1412" s="638">
        <v>0</v>
      </c>
      <c r="S1412" s="638">
        <v>49059</v>
      </c>
      <c r="T1412" s="638">
        <v>49059</v>
      </c>
      <c r="U1412" s="638">
        <v>14378</v>
      </c>
      <c r="V1412" s="636">
        <v>2022</v>
      </c>
      <c r="W1412" s="640"/>
      <c r="X1412" s="641">
        <f t="shared" si="63"/>
        <v>3.412087912087912</v>
      </c>
      <c r="Y1412" s="642" t="str">
        <f t="shared" si="64"/>
        <v/>
      </c>
      <c r="Z1412" s="642" t="str">
        <f t="shared" si="65"/>
        <v/>
      </c>
    </row>
    <row r="1413" spans="1:26" s="127" customFormat="1" ht="25">
      <c r="A1413" s="636">
        <v>59623</v>
      </c>
      <c r="B1413" s="637" t="s">
        <v>33</v>
      </c>
      <c r="C1413" s="636" t="s">
        <v>2725</v>
      </c>
      <c r="D1413" s="637" t="s">
        <v>1738</v>
      </c>
      <c r="E1413" s="637" t="s">
        <v>2166</v>
      </c>
      <c r="F1413" s="636">
        <v>61012</v>
      </c>
      <c r="G1413" s="637" t="s">
        <v>57</v>
      </c>
      <c r="H1413" s="637" t="s">
        <v>1162</v>
      </c>
      <c r="I1413" s="637" t="s">
        <v>58</v>
      </c>
      <c r="J1413" s="636">
        <v>22</v>
      </c>
      <c r="K1413" s="636">
        <v>2</v>
      </c>
      <c r="L1413" s="637" t="s">
        <v>52</v>
      </c>
      <c r="M1413" s="637" t="s">
        <v>441</v>
      </c>
      <c r="N1413" s="637" t="s">
        <v>442</v>
      </c>
      <c r="O1413" s="637" t="s">
        <v>442</v>
      </c>
      <c r="P1413" s="637" t="s">
        <v>1156</v>
      </c>
      <c r="Q1413" s="638">
        <v>0</v>
      </c>
      <c r="R1413" s="638">
        <v>0</v>
      </c>
      <c r="S1413" s="638">
        <v>5782</v>
      </c>
      <c r="T1413" s="638">
        <v>5782</v>
      </c>
      <c r="U1413" s="638">
        <v>1695</v>
      </c>
      <c r="V1413" s="636">
        <v>2022</v>
      </c>
      <c r="W1413" s="640"/>
      <c r="X1413" s="641">
        <f t="shared" si="63"/>
        <v>3.4112094395280237</v>
      </c>
      <c r="Y1413" s="642" t="str">
        <f t="shared" si="64"/>
        <v/>
      </c>
      <c r="Z1413" s="642" t="str">
        <f t="shared" si="65"/>
        <v/>
      </c>
    </row>
    <row r="1414" spans="1:26" s="127" customFormat="1" ht="25">
      <c r="A1414" s="636">
        <v>59624</v>
      </c>
      <c r="B1414" s="637" t="s">
        <v>33</v>
      </c>
      <c r="C1414" s="636" t="s">
        <v>2725</v>
      </c>
      <c r="D1414" s="637" t="s">
        <v>1815</v>
      </c>
      <c r="E1414" s="637" t="s">
        <v>1626</v>
      </c>
      <c r="F1414" s="636">
        <v>58871</v>
      </c>
      <c r="G1414" s="637" t="s">
        <v>81</v>
      </c>
      <c r="H1414" s="637" t="s">
        <v>1163</v>
      </c>
      <c r="I1414" s="637" t="s">
        <v>58</v>
      </c>
      <c r="J1414" s="636">
        <v>22</v>
      </c>
      <c r="K1414" s="636">
        <v>2</v>
      </c>
      <c r="L1414" s="637" t="s">
        <v>52</v>
      </c>
      <c r="M1414" s="637" t="s">
        <v>441</v>
      </c>
      <c r="N1414" s="637" t="s">
        <v>442</v>
      </c>
      <c r="O1414" s="637" t="s">
        <v>442</v>
      </c>
      <c r="P1414" s="637" t="s">
        <v>1156</v>
      </c>
      <c r="Q1414" s="638">
        <v>0</v>
      </c>
      <c r="R1414" s="638">
        <v>0</v>
      </c>
      <c r="S1414" s="638">
        <v>8803</v>
      </c>
      <c r="T1414" s="638">
        <v>8803</v>
      </c>
      <c r="U1414" s="638">
        <v>2580</v>
      </c>
      <c r="V1414" s="636">
        <v>2022</v>
      </c>
      <c r="W1414" s="640"/>
      <c r="X1414" s="641">
        <f t="shared" si="63"/>
        <v>3.4120155038759692</v>
      </c>
      <c r="Y1414" s="642" t="str">
        <f t="shared" si="64"/>
        <v/>
      </c>
      <c r="Z1414" s="642" t="str">
        <f t="shared" si="65"/>
        <v/>
      </c>
    </row>
    <row r="1415" spans="1:26" s="127" customFormat="1" ht="25">
      <c r="A1415" s="636">
        <v>59625</v>
      </c>
      <c r="B1415" s="637" t="s">
        <v>33</v>
      </c>
      <c r="C1415" s="636" t="s">
        <v>2725</v>
      </c>
      <c r="D1415" s="637" t="s">
        <v>1816</v>
      </c>
      <c r="E1415" s="637" t="s">
        <v>1626</v>
      </c>
      <c r="F1415" s="636">
        <v>58871</v>
      </c>
      <c r="G1415" s="637" t="s">
        <v>81</v>
      </c>
      <c r="H1415" s="637" t="s">
        <v>1163</v>
      </c>
      <c r="I1415" s="637" t="s">
        <v>58</v>
      </c>
      <c r="J1415" s="636">
        <v>22</v>
      </c>
      <c r="K1415" s="636">
        <v>2</v>
      </c>
      <c r="L1415" s="637" t="s">
        <v>52</v>
      </c>
      <c r="M1415" s="637" t="s">
        <v>441</v>
      </c>
      <c r="N1415" s="637" t="s">
        <v>442</v>
      </c>
      <c r="O1415" s="637" t="s">
        <v>442</v>
      </c>
      <c r="P1415" s="637" t="s">
        <v>1156</v>
      </c>
      <c r="Q1415" s="638">
        <v>0</v>
      </c>
      <c r="R1415" s="638">
        <v>0</v>
      </c>
      <c r="S1415" s="638">
        <v>10215</v>
      </c>
      <c r="T1415" s="638">
        <v>10215</v>
      </c>
      <c r="U1415" s="638">
        <v>2994</v>
      </c>
      <c r="V1415" s="636">
        <v>2022</v>
      </c>
      <c r="W1415" s="640"/>
      <c r="X1415" s="641">
        <f t="shared" si="63"/>
        <v>3.4118236472945891</v>
      </c>
      <c r="Y1415" s="642" t="str">
        <f t="shared" si="64"/>
        <v/>
      </c>
      <c r="Z1415" s="642" t="str">
        <f t="shared" si="65"/>
        <v/>
      </c>
    </row>
    <row r="1416" spans="1:26" s="127" customFormat="1" ht="25">
      <c r="A1416" s="636">
        <v>59626</v>
      </c>
      <c r="B1416" s="637" t="s">
        <v>33</v>
      </c>
      <c r="C1416" s="636" t="s">
        <v>2725</v>
      </c>
      <c r="D1416" s="637" t="s">
        <v>1817</v>
      </c>
      <c r="E1416" s="637" t="s">
        <v>1626</v>
      </c>
      <c r="F1416" s="636">
        <v>58871</v>
      </c>
      <c r="G1416" s="637" t="s">
        <v>81</v>
      </c>
      <c r="H1416" s="637" t="s">
        <v>1163</v>
      </c>
      <c r="I1416" s="637" t="s">
        <v>58</v>
      </c>
      <c r="J1416" s="636">
        <v>22</v>
      </c>
      <c r="K1416" s="636">
        <v>2</v>
      </c>
      <c r="L1416" s="637" t="s">
        <v>52</v>
      </c>
      <c r="M1416" s="637" t="s">
        <v>441</v>
      </c>
      <c r="N1416" s="637" t="s">
        <v>442</v>
      </c>
      <c r="O1416" s="637" t="s">
        <v>442</v>
      </c>
      <c r="P1416" s="637" t="s">
        <v>1156</v>
      </c>
      <c r="Q1416" s="638">
        <v>0</v>
      </c>
      <c r="R1416" s="638">
        <v>0</v>
      </c>
      <c r="S1416" s="638">
        <v>9099</v>
      </c>
      <c r="T1416" s="638">
        <v>9099</v>
      </c>
      <c r="U1416" s="638">
        <v>2667</v>
      </c>
      <c r="V1416" s="636">
        <v>2022</v>
      </c>
      <c r="W1416" s="640"/>
      <c r="X1416" s="641">
        <f t="shared" ref="X1416:X1479" si="66">IF(OR(K1416&gt;3,T1416=0,NOT(U1416&gt;0)),"",T1416/U1416)</f>
        <v>3.4116985376827897</v>
      </c>
      <c r="Y1416" s="642" t="str">
        <f t="shared" ref="Y1416:Y1479" si="67">IF(AND($M1416=$Y$2,$N1416=$Y$3,NOT($Q1416=$R1416),NOT($U1416=0)),IF($K1416=5,$S1416/($U1416+(8/5)*$U1416),IF($K1416=7,$S1416/($U1416+(29/25)*$U1416),"")),"")</f>
        <v/>
      </c>
      <c r="Z1416" s="642" t="str">
        <f t="shared" si="65"/>
        <v/>
      </c>
    </row>
    <row r="1417" spans="1:26" s="127" customFormat="1" ht="25">
      <c r="A1417" s="636">
        <v>59629</v>
      </c>
      <c r="B1417" s="637" t="s">
        <v>33</v>
      </c>
      <c r="C1417" s="636" t="s">
        <v>2725</v>
      </c>
      <c r="D1417" s="637" t="s">
        <v>1903</v>
      </c>
      <c r="E1417" s="637" t="s">
        <v>1903</v>
      </c>
      <c r="F1417" s="636">
        <v>59362</v>
      </c>
      <c r="G1417" s="637" t="s">
        <v>57</v>
      </c>
      <c r="H1417" s="637" t="s">
        <v>1162</v>
      </c>
      <c r="I1417" s="637" t="s">
        <v>58</v>
      </c>
      <c r="J1417" s="636">
        <v>22</v>
      </c>
      <c r="K1417" s="636">
        <v>2</v>
      </c>
      <c r="L1417" s="637" t="s">
        <v>52</v>
      </c>
      <c r="M1417" s="637" t="s">
        <v>71</v>
      </c>
      <c r="N1417" s="637" t="s">
        <v>72</v>
      </c>
      <c r="O1417" s="637" t="s">
        <v>72</v>
      </c>
      <c r="P1417" s="637" t="s">
        <v>1156</v>
      </c>
      <c r="Q1417" s="638">
        <v>0</v>
      </c>
      <c r="R1417" s="638">
        <v>0</v>
      </c>
      <c r="S1417" s="638">
        <v>733043</v>
      </c>
      <c r="T1417" s="638">
        <v>733043</v>
      </c>
      <c r="U1417" s="638">
        <v>214843</v>
      </c>
      <c r="V1417" s="636">
        <v>2022</v>
      </c>
      <c r="W1417" s="640"/>
      <c r="X1417" s="641">
        <f t="shared" si="66"/>
        <v>3.4119938745967984</v>
      </c>
      <c r="Y1417" s="642" t="str">
        <f t="shared" si="67"/>
        <v/>
      </c>
      <c r="Z1417" s="642" t="str">
        <f t="shared" si="65"/>
        <v/>
      </c>
    </row>
    <row r="1418" spans="1:26" s="127" customFormat="1" ht="25">
      <c r="A1418" s="636">
        <v>59636</v>
      </c>
      <c r="B1418" s="637" t="s">
        <v>33</v>
      </c>
      <c r="C1418" s="636" t="s">
        <v>2725</v>
      </c>
      <c r="D1418" s="637" t="s">
        <v>2741</v>
      </c>
      <c r="E1418" s="637" t="s">
        <v>1818</v>
      </c>
      <c r="F1418" s="636">
        <v>59388</v>
      </c>
      <c r="G1418" s="637" t="s">
        <v>81</v>
      </c>
      <c r="H1418" s="637" t="s">
        <v>1163</v>
      </c>
      <c r="I1418" s="637" t="s">
        <v>58</v>
      </c>
      <c r="J1418" s="636">
        <v>22</v>
      </c>
      <c r="K1418" s="636">
        <v>2</v>
      </c>
      <c r="L1418" s="637" t="s">
        <v>52</v>
      </c>
      <c r="M1418" s="637" t="s">
        <v>441</v>
      </c>
      <c r="N1418" s="637" t="s">
        <v>442</v>
      </c>
      <c r="O1418" s="637" t="s">
        <v>442</v>
      </c>
      <c r="P1418" s="637" t="s">
        <v>1156</v>
      </c>
      <c r="Q1418" s="638">
        <v>0</v>
      </c>
      <c r="R1418" s="638">
        <v>0</v>
      </c>
      <c r="S1418" s="638">
        <v>19298</v>
      </c>
      <c r="T1418" s="638">
        <v>19298</v>
      </c>
      <c r="U1418" s="638">
        <v>5656</v>
      </c>
      <c r="V1418" s="636">
        <v>2022</v>
      </c>
      <c r="W1418" s="640"/>
      <c r="X1418" s="641">
        <f t="shared" si="66"/>
        <v>3.4119519094766622</v>
      </c>
      <c r="Y1418" s="642" t="str">
        <f t="shared" si="67"/>
        <v/>
      </c>
      <c r="Z1418" s="642" t="str">
        <f t="shared" si="65"/>
        <v/>
      </c>
    </row>
    <row r="1419" spans="1:26" s="127" customFormat="1" ht="37.5" hidden="1">
      <c r="A1419" s="636">
        <v>59639</v>
      </c>
      <c r="B1419" s="637" t="s">
        <v>33</v>
      </c>
      <c r="C1419" s="636" t="s">
        <v>2725</v>
      </c>
      <c r="D1419" s="637" t="s">
        <v>3284</v>
      </c>
      <c r="E1419" s="637" t="s">
        <v>3284</v>
      </c>
      <c r="F1419" s="636">
        <v>59395</v>
      </c>
      <c r="G1419" s="637" t="s">
        <v>81</v>
      </c>
      <c r="H1419" s="637" t="s">
        <v>1163</v>
      </c>
      <c r="I1419" s="637" t="s">
        <v>58</v>
      </c>
      <c r="J1419" s="636">
        <v>335</v>
      </c>
      <c r="K1419" s="636">
        <v>6</v>
      </c>
      <c r="L1419" s="637" t="s">
        <v>404</v>
      </c>
      <c r="M1419" s="637" t="s">
        <v>71</v>
      </c>
      <c r="N1419" s="637" t="s">
        <v>72</v>
      </c>
      <c r="O1419" s="637" t="s">
        <v>72</v>
      </c>
      <c r="P1419" s="637" t="s">
        <v>1156</v>
      </c>
      <c r="Q1419" s="638">
        <v>0</v>
      </c>
      <c r="R1419" s="638">
        <v>0</v>
      </c>
      <c r="S1419" s="638">
        <v>0</v>
      </c>
      <c r="T1419" s="638">
        <v>0</v>
      </c>
      <c r="U1419" s="638">
        <v>0</v>
      </c>
      <c r="V1419" s="636">
        <v>2022</v>
      </c>
      <c r="W1419" s="640"/>
      <c r="X1419" s="641" t="str">
        <f t="shared" si="66"/>
        <v/>
      </c>
      <c r="Y1419" s="642" t="str">
        <f t="shared" si="67"/>
        <v/>
      </c>
      <c r="Z1419" s="642" t="str">
        <f t="shared" si="65"/>
        <v/>
      </c>
    </row>
    <row r="1420" spans="1:26" s="127" customFormat="1" ht="25">
      <c r="A1420" s="636">
        <v>59682</v>
      </c>
      <c r="B1420" s="637" t="s">
        <v>33</v>
      </c>
      <c r="C1420" s="636" t="s">
        <v>2725</v>
      </c>
      <c r="D1420" s="637" t="s">
        <v>1739</v>
      </c>
      <c r="E1420" s="637" t="s">
        <v>2277</v>
      </c>
      <c r="F1420" s="636">
        <v>60025</v>
      </c>
      <c r="G1420" s="637" t="s">
        <v>89</v>
      </c>
      <c r="H1420" s="637" t="s">
        <v>1163</v>
      </c>
      <c r="I1420" s="637" t="s">
        <v>58</v>
      </c>
      <c r="J1420" s="636">
        <v>22</v>
      </c>
      <c r="K1420" s="636">
        <v>2</v>
      </c>
      <c r="L1420" s="637" t="s">
        <v>52</v>
      </c>
      <c r="M1420" s="637" t="s">
        <v>441</v>
      </c>
      <c r="N1420" s="637" t="s">
        <v>442</v>
      </c>
      <c r="O1420" s="637" t="s">
        <v>442</v>
      </c>
      <c r="P1420" s="637" t="s">
        <v>1156</v>
      </c>
      <c r="Q1420" s="638">
        <v>0</v>
      </c>
      <c r="R1420" s="638">
        <v>0</v>
      </c>
      <c r="S1420" s="638">
        <v>7800</v>
      </c>
      <c r="T1420" s="638">
        <v>7800</v>
      </c>
      <c r="U1420" s="638">
        <v>2286</v>
      </c>
      <c r="V1420" s="636">
        <v>2022</v>
      </c>
      <c r="W1420" s="640"/>
      <c r="X1420" s="641">
        <f t="shared" si="66"/>
        <v>3.4120734908136483</v>
      </c>
      <c r="Y1420" s="642" t="str">
        <f t="shared" si="67"/>
        <v/>
      </c>
      <c r="Z1420" s="642" t="str">
        <f t="shared" si="65"/>
        <v/>
      </c>
    </row>
    <row r="1421" spans="1:26" s="127" customFormat="1" ht="37.5" hidden="1">
      <c r="A1421" s="636">
        <v>59692</v>
      </c>
      <c r="B1421" s="637" t="s">
        <v>33</v>
      </c>
      <c r="C1421" s="636" t="s">
        <v>2725</v>
      </c>
      <c r="D1421" s="637" t="s">
        <v>1740</v>
      </c>
      <c r="E1421" s="637" t="s">
        <v>1741</v>
      </c>
      <c r="F1421" s="636">
        <v>59463</v>
      </c>
      <c r="G1421" s="637" t="s">
        <v>130</v>
      </c>
      <c r="H1421" s="637" t="s">
        <v>1163</v>
      </c>
      <c r="I1421" s="637" t="s">
        <v>58</v>
      </c>
      <c r="J1421" s="636">
        <v>22132</v>
      </c>
      <c r="K1421" s="636">
        <v>4</v>
      </c>
      <c r="L1421" s="637" t="s">
        <v>406</v>
      </c>
      <c r="M1421" s="637" t="s">
        <v>71</v>
      </c>
      <c r="N1421" s="637" t="s">
        <v>72</v>
      </c>
      <c r="O1421" s="637" t="s">
        <v>72</v>
      </c>
      <c r="P1421" s="637" t="s">
        <v>1156</v>
      </c>
      <c r="Q1421" s="638">
        <v>0</v>
      </c>
      <c r="R1421" s="638">
        <v>0</v>
      </c>
      <c r="S1421" s="638">
        <v>25008</v>
      </c>
      <c r="T1421" s="638">
        <v>25008</v>
      </c>
      <c r="U1421" s="638">
        <v>7329</v>
      </c>
      <c r="V1421" s="636">
        <v>2022</v>
      </c>
      <c r="W1421" s="640"/>
      <c r="X1421" s="641" t="str">
        <f t="shared" si="66"/>
        <v/>
      </c>
      <c r="Y1421" s="642" t="str">
        <f t="shared" si="67"/>
        <v/>
      </c>
      <c r="Z1421" s="642" t="str">
        <f t="shared" si="65"/>
        <v/>
      </c>
    </row>
    <row r="1422" spans="1:26" s="127" customFormat="1" ht="25">
      <c r="A1422" s="636">
        <v>59701</v>
      </c>
      <c r="B1422" s="637" t="s">
        <v>33</v>
      </c>
      <c r="C1422" s="636" t="s">
        <v>2725</v>
      </c>
      <c r="D1422" s="637" t="s">
        <v>3628</v>
      </c>
      <c r="E1422" s="637" t="s">
        <v>371</v>
      </c>
      <c r="F1422" s="636">
        <v>4180</v>
      </c>
      <c r="G1422" s="637" t="s">
        <v>41</v>
      </c>
      <c r="H1422" s="637" t="s">
        <v>1163</v>
      </c>
      <c r="I1422" s="637" t="s">
        <v>58</v>
      </c>
      <c r="J1422" s="636">
        <v>22</v>
      </c>
      <c r="K1422" s="636">
        <v>1</v>
      </c>
      <c r="L1422" s="637" t="s">
        <v>34</v>
      </c>
      <c r="M1422" s="637" t="s">
        <v>1232</v>
      </c>
      <c r="N1422" s="637" t="s">
        <v>39</v>
      </c>
      <c r="O1422" s="637" t="s">
        <v>39</v>
      </c>
      <c r="P1422" s="637" t="s">
        <v>1020</v>
      </c>
      <c r="Q1422" s="638">
        <v>146458</v>
      </c>
      <c r="R1422" s="638">
        <v>146458</v>
      </c>
      <c r="S1422" s="638">
        <v>150852</v>
      </c>
      <c r="T1422" s="638">
        <v>150852</v>
      </c>
      <c r="U1422" s="638">
        <v>19133</v>
      </c>
      <c r="V1422" s="636">
        <v>2022</v>
      </c>
      <c r="W1422" s="640"/>
      <c r="X1422" s="641">
        <f t="shared" si="66"/>
        <v>7.8843882297601002</v>
      </c>
      <c r="Y1422" s="642" t="str">
        <f t="shared" si="67"/>
        <v/>
      </c>
      <c r="Z1422" s="642" t="str">
        <f t="shared" si="65"/>
        <v/>
      </c>
    </row>
    <row r="1423" spans="1:26" s="127" customFormat="1" ht="25">
      <c r="A1423" s="636">
        <v>59705</v>
      </c>
      <c r="B1423" s="637" t="s">
        <v>33</v>
      </c>
      <c r="C1423" s="636" t="s">
        <v>2725</v>
      </c>
      <c r="D1423" s="637" t="s">
        <v>1904</v>
      </c>
      <c r="E1423" s="637" t="s">
        <v>1905</v>
      </c>
      <c r="F1423" s="636">
        <v>59474</v>
      </c>
      <c r="G1423" s="637" t="s">
        <v>57</v>
      </c>
      <c r="H1423" s="637" t="s">
        <v>1162</v>
      </c>
      <c r="I1423" s="637" t="s">
        <v>58</v>
      </c>
      <c r="J1423" s="636">
        <v>22</v>
      </c>
      <c r="K1423" s="636">
        <v>2</v>
      </c>
      <c r="L1423" s="637" t="s">
        <v>52</v>
      </c>
      <c r="M1423" s="637" t="s">
        <v>441</v>
      </c>
      <c r="N1423" s="637" t="s">
        <v>442</v>
      </c>
      <c r="O1423" s="637" t="s">
        <v>442</v>
      </c>
      <c r="P1423" s="637" t="s">
        <v>1156</v>
      </c>
      <c r="Q1423" s="638">
        <v>0</v>
      </c>
      <c r="R1423" s="638">
        <v>0</v>
      </c>
      <c r="S1423" s="638">
        <v>16604</v>
      </c>
      <c r="T1423" s="638">
        <v>16604</v>
      </c>
      <c r="U1423" s="638">
        <v>4866</v>
      </c>
      <c r="V1423" s="636">
        <v>2022</v>
      </c>
      <c r="W1423" s="640"/>
      <c r="X1423" s="641">
        <f t="shared" si="66"/>
        <v>3.4122482531853677</v>
      </c>
      <c r="Y1423" s="642" t="str">
        <f t="shared" si="67"/>
        <v/>
      </c>
      <c r="Z1423" s="642" t="str">
        <f t="shared" si="65"/>
        <v/>
      </c>
    </row>
    <row r="1424" spans="1:26" s="127" customFormat="1" ht="37.5" hidden="1">
      <c r="A1424" s="636">
        <v>59717</v>
      </c>
      <c r="B1424" s="637" t="s">
        <v>33</v>
      </c>
      <c r="C1424" s="636" t="s">
        <v>2725</v>
      </c>
      <c r="D1424" s="637" t="s">
        <v>1819</v>
      </c>
      <c r="E1424" s="637" t="s">
        <v>1820</v>
      </c>
      <c r="F1424" s="636">
        <v>59484</v>
      </c>
      <c r="G1424" s="637" t="s">
        <v>81</v>
      </c>
      <c r="H1424" s="637" t="s">
        <v>1163</v>
      </c>
      <c r="I1424" s="637" t="s">
        <v>58</v>
      </c>
      <c r="J1424" s="636">
        <v>611</v>
      </c>
      <c r="K1424" s="636">
        <v>4</v>
      </c>
      <c r="L1424" s="637" t="s">
        <v>406</v>
      </c>
      <c r="M1424" s="637" t="s">
        <v>51</v>
      </c>
      <c r="N1424" s="637" t="s">
        <v>46</v>
      </c>
      <c r="O1424" s="637" t="s">
        <v>46</v>
      </c>
      <c r="P1424" s="637" t="s">
        <v>47</v>
      </c>
      <c r="Q1424" s="638">
        <v>42</v>
      </c>
      <c r="R1424" s="638">
        <v>42</v>
      </c>
      <c r="S1424" s="638">
        <v>248</v>
      </c>
      <c r="T1424" s="638">
        <v>248</v>
      </c>
      <c r="U1424" s="638">
        <v>19</v>
      </c>
      <c r="V1424" s="636">
        <v>2022</v>
      </c>
      <c r="W1424" s="640"/>
      <c r="X1424" s="641" t="str">
        <f t="shared" si="66"/>
        <v/>
      </c>
      <c r="Y1424" s="642" t="str">
        <f t="shared" si="67"/>
        <v/>
      </c>
      <c r="Z1424" s="642" t="str">
        <f t="shared" ref="Z1424:Z1487" si="68">IF(AND($M1424=$Y$2,$N1424=$Y$4,NOT($Q1424=$R1424),NOT($U1424=0)),IF($K1424=5,$S1424/($U1424+(8/5)*$U1424),IF($K1424=7,$S1424/($U1424+(29/25)*$U1424),"")),"")</f>
        <v/>
      </c>
    </row>
    <row r="1425" spans="1:26" s="127" customFormat="1" ht="37.5" hidden="1">
      <c r="A1425" s="636">
        <v>59717</v>
      </c>
      <c r="B1425" s="637" t="s">
        <v>33</v>
      </c>
      <c r="C1425" s="636" t="s">
        <v>2725</v>
      </c>
      <c r="D1425" s="637" t="s">
        <v>1819</v>
      </c>
      <c r="E1425" s="637" t="s">
        <v>1820</v>
      </c>
      <c r="F1425" s="636">
        <v>59484</v>
      </c>
      <c r="G1425" s="637" t="s">
        <v>81</v>
      </c>
      <c r="H1425" s="637" t="s">
        <v>1163</v>
      </c>
      <c r="I1425" s="637" t="s">
        <v>58</v>
      </c>
      <c r="J1425" s="636">
        <v>611</v>
      </c>
      <c r="K1425" s="636">
        <v>4</v>
      </c>
      <c r="L1425" s="637" t="s">
        <v>406</v>
      </c>
      <c r="M1425" s="637" t="s">
        <v>51</v>
      </c>
      <c r="N1425" s="637" t="s">
        <v>39</v>
      </c>
      <c r="O1425" s="637" t="s">
        <v>39</v>
      </c>
      <c r="P1425" s="637" t="s">
        <v>1020</v>
      </c>
      <c r="Q1425" s="638">
        <v>0</v>
      </c>
      <c r="R1425" s="638">
        <v>0</v>
      </c>
      <c r="S1425" s="638">
        <v>0</v>
      </c>
      <c r="T1425" s="638">
        <v>0</v>
      </c>
      <c r="U1425" s="638">
        <v>0</v>
      </c>
      <c r="V1425" s="636">
        <v>2022</v>
      </c>
      <c r="W1425" s="640"/>
      <c r="X1425" s="641" t="str">
        <f t="shared" si="66"/>
        <v/>
      </c>
      <c r="Y1425" s="642" t="str">
        <f t="shared" si="67"/>
        <v/>
      </c>
      <c r="Z1425" s="642" t="str">
        <f t="shared" si="68"/>
        <v/>
      </c>
    </row>
    <row r="1426" spans="1:26" s="127" customFormat="1" ht="37.5" hidden="1">
      <c r="A1426" s="636">
        <v>59717</v>
      </c>
      <c r="B1426" s="637" t="s">
        <v>33</v>
      </c>
      <c r="C1426" s="636" t="s">
        <v>2725</v>
      </c>
      <c r="D1426" s="637" t="s">
        <v>1819</v>
      </c>
      <c r="E1426" s="637" t="s">
        <v>1820</v>
      </c>
      <c r="F1426" s="636">
        <v>59484</v>
      </c>
      <c r="G1426" s="637" t="s">
        <v>81</v>
      </c>
      <c r="H1426" s="637" t="s">
        <v>1163</v>
      </c>
      <c r="I1426" s="637" t="s">
        <v>58</v>
      </c>
      <c r="J1426" s="636">
        <v>611</v>
      </c>
      <c r="K1426" s="636">
        <v>4</v>
      </c>
      <c r="L1426" s="637" t="s">
        <v>406</v>
      </c>
      <c r="M1426" s="637" t="s">
        <v>441</v>
      </c>
      <c r="N1426" s="637" t="s">
        <v>442</v>
      </c>
      <c r="O1426" s="637" t="s">
        <v>442</v>
      </c>
      <c r="P1426" s="637" t="s">
        <v>1156</v>
      </c>
      <c r="Q1426" s="638">
        <v>0</v>
      </c>
      <c r="R1426" s="638">
        <v>0</v>
      </c>
      <c r="S1426" s="638">
        <v>370</v>
      </c>
      <c r="T1426" s="638">
        <v>370</v>
      </c>
      <c r="U1426" s="638">
        <v>108</v>
      </c>
      <c r="V1426" s="636">
        <v>2022</v>
      </c>
      <c r="W1426" s="640"/>
      <c r="X1426" s="641" t="str">
        <f t="shared" si="66"/>
        <v/>
      </c>
      <c r="Y1426" s="642" t="str">
        <f t="shared" si="67"/>
        <v/>
      </c>
      <c r="Z1426" s="642" t="str">
        <f t="shared" si="68"/>
        <v/>
      </c>
    </row>
    <row r="1427" spans="1:26" s="127" customFormat="1" ht="25">
      <c r="A1427" s="636">
        <v>59719</v>
      </c>
      <c r="B1427" s="637" t="s">
        <v>33</v>
      </c>
      <c r="C1427" s="636" t="s">
        <v>2725</v>
      </c>
      <c r="D1427" s="637" t="s">
        <v>1742</v>
      </c>
      <c r="E1427" s="637" t="s">
        <v>1950</v>
      </c>
      <c r="F1427" s="636">
        <v>60281</v>
      </c>
      <c r="G1427" s="637" t="s">
        <v>89</v>
      </c>
      <c r="H1427" s="637" t="s">
        <v>1163</v>
      </c>
      <c r="I1427" s="637" t="s">
        <v>58</v>
      </c>
      <c r="J1427" s="636">
        <v>22</v>
      </c>
      <c r="K1427" s="636">
        <v>2</v>
      </c>
      <c r="L1427" s="637" t="s">
        <v>52</v>
      </c>
      <c r="M1427" s="637" t="s">
        <v>441</v>
      </c>
      <c r="N1427" s="637" t="s">
        <v>442</v>
      </c>
      <c r="O1427" s="637" t="s">
        <v>442</v>
      </c>
      <c r="P1427" s="637" t="s">
        <v>1156</v>
      </c>
      <c r="Q1427" s="638">
        <v>0</v>
      </c>
      <c r="R1427" s="638">
        <v>0</v>
      </c>
      <c r="S1427" s="638">
        <v>10133</v>
      </c>
      <c r="T1427" s="638">
        <v>10133</v>
      </c>
      <c r="U1427" s="638">
        <v>2970</v>
      </c>
      <c r="V1427" s="636">
        <v>2022</v>
      </c>
      <c r="W1427" s="640"/>
      <c r="X1427" s="641">
        <f t="shared" si="66"/>
        <v>3.4117845117845116</v>
      </c>
      <c r="Y1427" s="642" t="str">
        <f t="shared" si="67"/>
        <v/>
      </c>
      <c r="Z1427" s="642" t="str">
        <f t="shared" si="68"/>
        <v/>
      </c>
    </row>
    <row r="1428" spans="1:26" s="127" customFormat="1" ht="25">
      <c r="A1428" s="636">
        <v>59724</v>
      </c>
      <c r="B1428" s="637" t="s">
        <v>33</v>
      </c>
      <c r="C1428" s="636" t="s">
        <v>2725</v>
      </c>
      <c r="D1428" s="637" t="s">
        <v>1821</v>
      </c>
      <c r="E1428" s="637" t="s">
        <v>1822</v>
      </c>
      <c r="F1428" s="636">
        <v>59493</v>
      </c>
      <c r="G1428" s="637" t="s">
        <v>81</v>
      </c>
      <c r="H1428" s="637" t="s">
        <v>1163</v>
      </c>
      <c r="I1428" s="637" t="s">
        <v>58</v>
      </c>
      <c r="J1428" s="636">
        <v>22</v>
      </c>
      <c r="K1428" s="636">
        <v>2</v>
      </c>
      <c r="L1428" s="637" t="s">
        <v>52</v>
      </c>
      <c r="M1428" s="637" t="s">
        <v>71</v>
      </c>
      <c r="N1428" s="637" t="s">
        <v>72</v>
      </c>
      <c r="O1428" s="637" t="s">
        <v>72</v>
      </c>
      <c r="P1428" s="637" t="s">
        <v>1156</v>
      </c>
      <c r="Q1428" s="638">
        <v>0</v>
      </c>
      <c r="R1428" s="638">
        <v>0</v>
      </c>
      <c r="S1428" s="638">
        <v>9764</v>
      </c>
      <c r="T1428" s="638">
        <v>9764</v>
      </c>
      <c r="U1428" s="638">
        <v>2862</v>
      </c>
      <c r="V1428" s="636">
        <v>2022</v>
      </c>
      <c r="W1428" s="640"/>
      <c r="X1428" s="641">
        <f t="shared" si="66"/>
        <v>3.4116002795248077</v>
      </c>
      <c r="Y1428" s="642" t="str">
        <f t="shared" si="67"/>
        <v/>
      </c>
      <c r="Z1428" s="642" t="str">
        <f t="shared" si="68"/>
        <v/>
      </c>
    </row>
    <row r="1429" spans="1:26" s="127" customFormat="1" ht="25">
      <c r="A1429" s="636">
        <v>59725</v>
      </c>
      <c r="B1429" s="637" t="s">
        <v>33</v>
      </c>
      <c r="C1429" s="636" t="s">
        <v>2725</v>
      </c>
      <c r="D1429" s="637" t="s">
        <v>1823</v>
      </c>
      <c r="E1429" s="637" t="s">
        <v>1824</v>
      </c>
      <c r="F1429" s="636">
        <v>59494</v>
      </c>
      <c r="G1429" s="637" t="s">
        <v>81</v>
      </c>
      <c r="H1429" s="637" t="s">
        <v>1163</v>
      </c>
      <c r="I1429" s="637" t="s">
        <v>58</v>
      </c>
      <c r="J1429" s="636">
        <v>22</v>
      </c>
      <c r="K1429" s="636">
        <v>2</v>
      </c>
      <c r="L1429" s="637" t="s">
        <v>52</v>
      </c>
      <c r="M1429" s="637" t="s">
        <v>71</v>
      </c>
      <c r="N1429" s="637" t="s">
        <v>72</v>
      </c>
      <c r="O1429" s="637" t="s">
        <v>72</v>
      </c>
      <c r="P1429" s="637" t="s">
        <v>1156</v>
      </c>
      <c r="Q1429" s="638">
        <v>0</v>
      </c>
      <c r="R1429" s="638">
        <v>0</v>
      </c>
      <c r="S1429" s="638">
        <v>12843</v>
      </c>
      <c r="T1429" s="638">
        <v>12843</v>
      </c>
      <c r="U1429" s="638">
        <v>3764</v>
      </c>
      <c r="V1429" s="636">
        <v>2022</v>
      </c>
      <c r="W1429" s="640"/>
      <c r="X1429" s="641">
        <f t="shared" si="66"/>
        <v>3.4120616365568543</v>
      </c>
      <c r="Y1429" s="642" t="str">
        <f t="shared" si="67"/>
        <v/>
      </c>
      <c r="Z1429" s="642" t="str">
        <f t="shared" si="68"/>
        <v/>
      </c>
    </row>
    <row r="1430" spans="1:26" s="127" customFormat="1" ht="25">
      <c r="A1430" s="636">
        <v>59731</v>
      </c>
      <c r="B1430" s="637" t="s">
        <v>33</v>
      </c>
      <c r="C1430" s="636" t="s">
        <v>2725</v>
      </c>
      <c r="D1430" s="637" t="s">
        <v>1743</v>
      </c>
      <c r="E1430" s="637" t="s">
        <v>1744</v>
      </c>
      <c r="F1430" s="636">
        <v>59500</v>
      </c>
      <c r="G1430" s="637" t="s">
        <v>81</v>
      </c>
      <c r="H1430" s="637" t="s">
        <v>1163</v>
      </c>
      <c r="I1430" s="637" t="s">
        <v>58</v>
      </c>
      <c r="J1430" s="636">
        <v>22</v>
      </c>
      <c r="K1430" s="636">
        <v>2</v>
      </c>
      <c r="L1430" s="637" t="s">
        <v>52</v>
      </c>
      <c r="M1430" s="637" t="s">
        <v>441</v>
      </c>
      <c r="N1430" s="637" t="s">
        <v>442</v>
      </c>
      <c r="O1430" s="637" t="s">
        <v>442</v>
      </c>
      <c r="P1430" s="637" t="s">
        <v>1156</v>
      </c>
      <c r="Q1430" s="638">
        <v>0</v>
      </c>
      <c r="R1430" s="638">
        <v>0</v>
      </c>
      <c r="S1430" s="638">
        <v>16016</v>
      </c>
      <c r="T1430" s="638">
        <v>16016</v>
      </c>
      <c r="U1430" s="638">
        <v>4694</v>
      </c>
      <c r="V1430" s="636">
        <v>2022</v>
      </c>
      <c r="W1430" s="640"/>
      <c r="X1430" s="641">
        <f t="shared" si="66"/>
        <v>3.4120153387302938</v>
      </c>
      <c r="Y1430" s="642" t="str">
        <f t="shared" si="67"/>
        <v/>
      </c>
      <c r="Z1430" s="642" t="str">
        <f t="shared" si="68"/>
        <v/>
      </c>
    </row>
    <row r="1431" spans="1:26" s="127" customFormat="1" ht="25">
      <c r="A1431" s="636">
        <v>59741</v>
      </c>
      <c r="B1431" s="637" t="s">
        <v>33</v>
      </c>
      <c r="C1431" s="636" t="s">
        <v>2725</v>
      </c>
      <c r="D1431" s="637" t="s">
        <v>1745</v>
      </c>
      <c r="E1431" s="637" t="s">
        <v>1746</v>
      </c>
      <c r="F1431" s="636">
        <v>59508</v>
      </c>
      <c r="G1431" s="637" t="s">
        <v>89</v>
      </c>
      <c r="H1431" s="637" t="s">
        <v>1163</v>
      </c>
      <c r="I1431" s="637" t="s">
        <v>58</v>
      </c>
      <c r="J1431" s="636">
        <v>22</v>
      </c>
      <c r="K1431" s="636">
        <v>2</v>
      </c>
      <c r="L1431" s="637" t="s">
        <v>52</v>
      </c>
      <c r="M1431" s="637" t="s">
        <v>441</v>
      </c>
      <c r="N1431" s="637" t="s">
        <v>442</v>
      </c>
      <c r="O1431" s="637" t="s">
        <v>442</v>
      </c>
      <c r="P1431" s="637" t="s">
        <v>1156</v>
      </c>
      <c r="Q1431" s="638">
        <v>0</v>
      </c>
      <c r="R1431" s="638">
        <v>0</v>
      </c>
      <c r="S1431" s="638">
        <v>8727</v>
      </c>
      <c r="T1431" s="638">
        <v>8727</v>
      </c>
      <c r="U1431" s="638">
        <v>2558</v>
      </c>
      <c r="V1431" s="636">
        <v>2022</v>
      </c>
      <c r="W1431" s="640"/>
      <c r="X1431" s="641">
        <f t="shared" si="66"/>
        <v>3.4116497263487098</v>
      </c>
      <c r="Y1431" s="642" t="str">
        <f t="shared" si="67"/>
        <v/>
      </c>
      <c r="Z1431" s="642" t="str">
        <f t="shared" si="68"/>
        <v/>
      </c>
    </row>
    <row r="1432" spans="1:26" s="127" customFormat="1" ht="25">
      <c r="A1432" s="636">
        <v>59745</v>
      </c>
      <c r="B1432" s="637" t="s">
        <v>33</v>
      </c>
      <c r="C1432" s="636" t="s">
        <v>2725</v>
      </c>
      <c r="D1432" s="637" t="s">
        <v>1825</v>
      </c>
      <c r="E1432" s="637" t="s">
        <v>1826</v>
      </c>
      <c r="F1432" s="636">
        <v>59511</v>
      </c>
      <c r="G1432" s="637" t="s">
        <v>81</v>
      </c>
      <c r="H1432" s="637" t="s">
        <v>1163</v>
      </c>
      <c r="I1432" s="637" t="s">
        <v>58</v>
      </c>
      <c r="J1432" s="636">
        <v>22</v>
      </c>
      <c r="K1432" s="636">
        <v>2</v>
      </c>
      <c r="L1432" s="637" t="s">
        <v>52</v>
      </c>
      <c r="M1432" s="637" t="s">
        <v>441</v>
      </c>
      <c r="N1432" s="637" t="s">
        <v>442</v>
      </c>
      <c r="O1432" s="637" t="s">
        <v>442</v>
      </c>
      <c r="P1432" s="637" t="s">
        <v>1156</v>
      </c>
      <c r="Q1432" s="638">
        <v>0</v>
      </c>
      <c r="R1432" s="638">
        <v>0</v>
      </c>
      <c r="S1432" s="638">
        <v>12470</v>
      </c>
      <c r="T1432" s="638">
        <v>12470</v>
      </c>
      <c r="U1432" s="638">
        <v>3655</v>
      </c>
      <c r="V1432" s="636">
        <v>2022</v>
      </c>
      <c r="W1432" s="640"/>
      <c r="X1432" s="641">
        <f t="shared" si="66"/>
        <v>3.4117647058823528</v>
      </c>
      <c r="Y1432" s="642" t="str">
        <f t="shared" si="67"/>
        <v/>
      </c>
      <c r="Z1432" s="642" t="str">
        <f t="shared" si="68"/>
        <v/>
      </c>
    </row>
    <row r="1433" spans="1:26" s="127" customFormat="1" ht="25">
      <c r="A1433" s="636">
        <v>59750</v>
      </c>
      <c r="B1433" s="637" t="s">
        <v>33</v>
      </c>
      <c r="C1433" s="636" t="s">
        <v>2725</v>
      </c>
      <c r="D1433" s="637" t="s">
        <v>1747</v>
      </c>
      <c r="E1433" s="637" t="s">
        <v>1748</v>
      </c>
      <c r="F1433" s="636">
        <v>58473</v>
      </c>
      <c r="G1433" s="637" t="s">
        <v>81</v>
      </c>
      <c r="H1433" s="637" t="s">
        <v>1163</v>
      </c>
      <c r="I1433" s="637" t="s">
        <v>58</v>
      </c>
      <c r="J1433" s="636">
        <v>22</v>
      </c>
      <c r="K1433" s="636">
        <v>2</v>
      </c>
      <c r="L1433" s="637" t="s">
        <v>52</v>
      </c>
      <c r="M1433" s="637" t="s">
        <v>441</v>
      </c>
      <c r="N1433" s="637" t="s">
        <v>442</v>
      </c>
      <c r="O1433" s="637" t="s">
        <v>442</v>
      </c>
      <c r="P1433" s="637" t="s">
        <v>1156</v>
      </c>
      <c r="Q1433" s="638">
        <v>0</v>
      </c>
      <c r="R1433" s="638">
        <v>0</v>
      </c>
      <c r="S1433" s="638">
        <v>11960</v>
      </c>
      <c r="T1433" s="638">
        <v>11960</v>
      </c>
      <c r="U1433" s="638">
        <v>3505</v>
      </c>
      <c r="V1433" s="636">
        <v>2022</v>
      </c>
      <c r="W1433" s="640"/>
      <c r="X1433" s="641">
        <f t="shared" si="66"/>
        <v>3.4122681883024253</v>
      </c>
      <c r="Y1433" s="642" t="str">
        <f t="shared" si="67"/>
        <v/>
      </c>
      <c r="Z1433" s="642" t="str">
        <f t="shared" si="68"/>
        <v/>
      </c>
    </row>
    <row r="1434" spans="1:26" s="127" customFormat="1" ht="25">
      <c r="A1434" s="636">
        <v>59752</v>
      </c>
      <c r="B1434" s="637" t="s">
        <v>33</v>
      </c>
      <c r="C1434" s="636" t="s">
        <v>2725</v>
      </c>
      <c r="D1434" s="637" t="s">
        <v>1827</v>
      </c>
      <c r="E1434" s="637" t="s">
        <v>1828</v>
      </c>
      <c r="F1434" s="636">
        <v>59519</v>
      </c>
      <c r="G1434" s="637" t="s">
        <v>81</v>
      </c>
      <c r="H1434" s="637" t="s">
        <v>1163</v>
      </c>
      <c r="I1434" s="637" t="s">
        <v>58</v>
      </c>
      <c r="J1434" s="636">
        <v>22</v>
      </c>
      <c r="K1434" s="636">
        <v>2</v>
      </c>
      <c r="L1434" s="637" t="s">
        <v>52</v>
      </c>
      <c r="M1434" s="637" t="s">
        <v>441</v>
      </c>
      <c r="N1434" s="637" t="s">
        <v>442</v>
      </c>
      <c r="O1434" s="637" t="s">
        <v>442</v>
      </c>
      <c r="P1434" s="637" t="s">
        <v>1156</v>
      </c>
      <c r="Q1434" s="638">
        <v>0</v>
      </c>
      <c r="R1434" s="638">
        <v>0</v>
      </c>
      <c r="S1434" s="638">
        <v>7187</v>
      </c>
      <c r="T1434" s="638">
        <v>7187</v>
      </c>
      <c r="U1434" s="638">
        <v>2106</v>
      </c>
      <c r="V1434" s="636">
        <v>2022</v>
      </c>
      <c r="W1434" s="640"/>
      <c r="X1434" s="641">
        <f t="shared" si="66"/>
        <v>3.4126305792972458</v>
      </c>
      <c r="Y1434" s="642" t="str">
        <f t="shared" si="67"/>
        <v/>
      </c>
      <c r="Z1434" s="642" t="str">
        <f t="shared" si="68"/>
        <v/>
      </c>
    </row>
    <row r="1435" spans="1:26" s="127" customFormat="1" ht="25">
      <c r="A1435" s="636">
        <v>59755</v>
      </c>
      <c r="B1435" s="637" t="s">
        <v>33</v>
      </c>
      <c r="C1435" s="636" t="s">
        <v>2725</v>
      </c>
      <c r="D1435" s="637" t="s">
        <v>1749</v>
      </c>
      <c r="E1435" s="637" t="s">
        <v>1950</v>
      </c>
      <c r="F1435" s="636">
        <v>60281</v>
      </c>
      <c r="G1435" s="637" t="s">
        <v>89</v>
      </c>
      <c r="H1435" s="637" t="s">
        <v>1163</v>
      </c>
      <c r="I1435" s="637" t="s">
        <v>58</v>
      </c>
      <c r="J1435" s="636">
        <v>22</v>
      </c>
      <c r="K1435" s="636">
        <v>2</v>
      </c>
      <c r="L1435" s="637" t="s">
        <v>52</v>
      </c>
      <c r="M1435" s="637" t="s">
        <v>441</v>
      </c>
      <c r="N1435" s="637" t="s">
        <v>442</v>
      </c>
      <c r="O1435" s="637" t="s">
        <v>442</v>
      </c>
      <c r="P1435" s="637" t="s">
        <v>1156</v>
      </c>
      <c r="Q1435" s="638">
        <v>0</v>
      </c>
      <c r="R1435" s="638">
        <v>0</v>
      </c>
      <c r="S1435" s="638">
        <v>7282</v>
      </c>
      <c r="T1435" s="638">
        <v>7282</v>
      </c>
      <c r="U1435" s="638">
        <v>2134</v>
      </c>
      <c r="V1435" s="636">
        <v>2022</v>
      </c>
      <c r="W1435" s="640"/>
      <c r="X1435" s="641">
        <f t="shared" si="66"/>
        <v>3.4123711340206184</v>
      </c>
      <c r="Y1435" s="642" t="str">
        <f t="shared" si="67"/>
        <v/>
      </c>
      <c r="Z1435" s="642" t="str">
        <f t="shared" si="68"/>
        <v/>
      </c>
    </row>
    <row r="1436" spans="1:26" s="127" customFormat="1" ht="25">
      <c r="A1436" s="636">
        <v>59765</v>
      </c>
      <c r="B1436" s="637" t="s">
        <v>33</v>
      </c>
      <c r="C1436" s="636" t="s">
        <v>2725</v>
      </c>
      <c r="D1436" s="637" t="s">
        <v>1750</v>
      </c>
      <c r="E1436" s="637" t="s">
        <v>1724</v>
      </c>
      <c r="F1436" s="636">
        <v>59232</v>
      </c>
      <c r="G1436" s="637" t="s">
        <v>81</v>
      </c>
      <c r="H1436" s="637" t="s">
        <v>1163</v>
      </c>
      <c r="I1436" s="637" t="s">
        <v>58</v>
      </c>
      <c r="J1436" s="636">
        <v>22</v>
      </c>
      <c r="K1436" s="636">
        <v>2</v>
      </c>
      <c r="L1436" s="637" t="s">
        <v>52</v>
      </c>
      <c r="M1436" s="637" t="s">
        <v>441</v>
      </c>
      <c r="N1436" s="637" t="s">
        <v>442</v>
      </c>
      <c r="O1436" s="637" t="s">
        <v>442</v>
      </c>
      <c r="P1436" s="637" t="s">
        <v>1156</v>
      </c>
      <c r="Q1436" s="638">
        <v>0</v>
      </c>
      <c r="R1436" s="638">
        <v>0</v>
      </c>
      <c r="S1436" s="638">
        <v>10210</v>
      </c>
      <c r="T1436" s="638">
        <v>10210</v>
      </c>
      <c r="U1436" s="638">
        <v>2992</v>
      </c>
      <c r="V1436" s="636">
        <v>2022</v>
      </c>
      <c r="W1436" s="640"/>
      <c r="X1436" s="641">
        <f t="shared" si="66"/>
        <v>3.4124331550802141</v>
      </c>
      <c r="Y1436" s="642" t="str">
        <f t="shared" si="67"/>
        <v/>
      </c>
      <c r="Z1436" s="642" t="str">
        <f t="shared" si="68"/>
        <v/>
      </c>
    </row>
    <row r="1437" spans="1:26" s="127" customFormat="1" ht="25">
      <c r="A1437" s="636">
        <v>59766</v>
      </c>
      <c r="B1437" s="637" t="s">
        <v>33</v>
      </c>
      <c r="C1437" s="636" t="s">
        <v>2725</v>
      </c>
      <c r="D1437" s="637" t="s">
        <v>1751</v>
      </c>
      <c r="E1437" s="637" t="s">
        <v>1724</v>
      </c>
      <c r="F1437" s="636">
        <v>59232</v>
      </c>
      <c r="G1437" s="637" t="s">
        <v>81</v>
      </c>
      <c r="H1437" s="637" t="s">
        <v>1163</v>
      </c>
      <c r="I1437" s="637" t="s">
        <v>58</v>
      </c>
      <c r="J1437" s="636">
        <v>22</v>
      </c>
      <c r="K1437" s="636">
        <v>2</v>
      </c>
      <c r="L1437" s="637" t="s">
        <v>52</v>
      </c>
      <c r="M1437" s="637" t="s">
        <v>441</v>
      </c>
      <c r="N1437" s="637" t="s">
        <v>442</v>
      </c>
      <c r="O1437" s="637" t="s">
        <v>442</v>
      </c>
      <c r="P1437" s="637" t="s">
        <v>1156</v>
      </c>
      <c r="Q1437" s="638">
        <v>0</v>
      </c>
      <c r="R1437" s="638">
        <v>0</v>
      </c>
      <c r="S1437" s="638">
        <v>8313</v>
      </c>
      <c r="T1437" s="638">
        <v>8313</v>
      </c>
      <c r="U1437" s="638">
        <v>2436</v>
      </c>
      <c r="V1437" s="636">
        <v>2022</v>
      </c>
      <c r="W1437" s="640"/>
      <c r="X1437" s="641">
        <f t="shared" si="66"/>
        <v>3.4125615763546797</v>
      </c>
      <c r="Y1437" s="642" t="str">
        <f t="shared" si="67"/>
        <v/>
      </c>
      <c r="Z1437" s="642" t="str">
        <f t="shared" si="68"/>
        <v/>
      </c>
    </row>
    <row r="1438" spans="1:26" s="127" customFormat="1" ht="25">
      <c r="A1438" s="636">
        <v>59767</v>
      </c>
      <c r="B1438" s="637" t="s">
        <v>33</v>
      </c>
      <c r="C1438" s="636" t="s">
        <v>2725</v>
      </c>
      <c r="D1438" s="637" t="s">
        <v>1752</v>
      </c>
      <c r="E1438" s="637" t="s">
        <v>1724</v>
      </c>
      <c r="F1438" s="636">
        <v>59232</v>
      </c>
      <c r="G1438" s="637" t="s">
        <v>81</v>
      </c>
      <c r="H1438" s="637" t="s">
        <v>1163</v>
      </c>
      <c r="I1438" s="637" t="s">
        <v>58</v>
      </c>
      <c r="J1438" s="636">
        <v>22</v>
      </c>
      <c r="K1438" s="636">
        <v>2</v>
      </c>
      <c r="L1438" s="637" t="s">
        <v>52</v>
      </c>
      <c r="M1438" s="637" t="s">
        <v>441</v>
      </c>
      <c r="N1438" s="637" t="s">
        <v>442</v>
      </c>
      <c r="O1438" s="637" t="s">
        <v>442</v>
      </c>
      <c r="P1438" s="637" t="s">
        <v>1156</v>
      </c>
      <c r="Q1438" s="638">
        <v>0</v>
      </c>
      <c r="R1438" s="638">
        <v>0</v>
      </c>
      <c r="S1438" s="638">
        <v>24819</v>
      </c>
      <c r="T1438" s="638">
        <v>24819</v>
      </c>
      <c r="U1438" s="638">
        <v>7274</v>
      </c>
      <c r="V1438" s="636">
        <v>2022</v>
      </c>
      <c r="W1438" s="640"/>
      <c r="X1438" s="641">
        <f t="shared" si="66"/>
        <v>3.4120153973054714</v>
      </c>
      <c r="Y1438" s="642" t="str">
        <f t="shared" si="67"/>
        <v/>
      </c>
      <c r="Z1438" s="642" t="str">
        <f t="shared" si="68"/>
        <v/>
      </c>
    </row>
    <row r="1439" spans="1:26" s="127" customFormat="1" ht="25">
      <c r="A1439" s="636">
        <v>59768</v>
      </c>
      <c r="B1439" s="637" t="s">
        <v>33</v>
      </c>
      <c r="C1439" s="636" t="s">
        <v>2725</v>
      </c>
      <c r="D1439" s="637" t="s">
        <v>1753</v>
      </c>
      <c r="E1439" s="637" t="s">
        <v>1724</v>
      </c>
      <c r="F1439" s="636">
        <v>59232</v>
      </c>
      <c r="G1439" s="637" t="s">
        <v>81</v>
      </c>
      <c r="H1439" s="637" t="s">
        <v>1163</v>
      </c>
      <c r="I1439" s="637" t="s">
        <v>58</v>
      </c>
      <c r="J1439" s="636">
        <v>22</v>
      </c>
      <c r="K1439" s="636">
        <v>2</v>
      </c>
      <c r="L1439" s="637" t="s">
        <v>52</v>
      </c>
      <c r="M1439" s="637" t="s">
        <v>441</v>
      </c>
      <c r="N1439" s="637" t="s">
        <v>442</v>
      </c>
      <c r="O1439" s="637" t="s">
        <v>442</v>
      </c>
      <c r="P1439" s="637" t="s">
        <v>1156</v>
      </c>
      <c r="Q1439" s="638">
        <v>0</v>
      </c>
      <c r="R1439" s="638">
        <v>0</v>
      </c>
      <c r="S1439" s="638">
        <v>7387</v>
      </c>
      <c r="T1439" s="638">
        <v>7387</v>
      </c>
      <c r="U1439" s="638">
        <v>2165</v>
      </c>
      <c r="V1439" s="636">
        <v>2022</v>
      </c>
      <c r="W1439" s="640"/>
      <c r="X1439" s="641">
        <f t="shared" si="66"/>
        <v>3.4120092378752886</v>
      </c>
      <c r="Y1439" s="642" t="str">
        <f t="shared" si="67"/>
        <v/>
      </c>
      <c r="Z1439" s="642" t="str">
        <f t="shared" si="68"/>
        <v/>
      </c>
    </row>
    <row r="1440" spans="1:26" s="127" customFormat="1" ht="25">
      <c r="A1440" s="636">
        <v>59775</v>
      </c>
      <c r="B1440" s="637" t="s">
        <v>33</v>
      </c>
      <c r="C1440" s="636" t="s">
        <v>2725</v>
      </c>
      <c r="D1440" s="637" t="s">
        <v>1754</v>
      </c>
      <c r="E1440" s="637" t="s">
        <v>1950</v>
      </c>
      <c r="F1440" s="636">
        <v>60281</v>
      </c>
      <c r="G1440" s="637" t="s">
        <v>81</v>
      </c>
      <c r="H1440" s="637" t="s">
        <v>1163</v>
      </c>
      <c r="I1440" s="637" t="s">
        <v>58</v>
      </c>
      <c r="J1440" s="636">
        <v>22</v>
      </c>
      <c r="K1440" s="636">
        <v>2</v>
      </c>
      <c r="L1440" s="637" t="s">
        <v>52</v>
      </c>
      <c r="M1440" s="637" t="s">
        <v>441</v>
      </c>
      <c r="N1440" s="637" t="s">
        <v>442</v>
      </c>
      <c r="O1440" s="637" t="s">
        <v>442</v>
      </c>
      <c r="P1440" s="637" t="s">
        <v>1156</v>
      </c>
      <c r="Q1440" s="638">
        <v>0</v>
      </c>
      <c r="R1440" s="638">
        <v>0</v>
      </c>
      <c r="S1440" s="638">
        <v>11768</v>
      </c>
      <c r="T1440" s="638">
        <v>11768</v>
      </c>
      <c r="U1440" s="638">
        <v>3449</v>
      </c>
      <c r="V1440" s="636">
        <v>2022</v>
      </c>
      <c r="W1440" s="640"/>
      <c r="X1440" s="641">
        <f t="shared" si="66"/>
        <v>3.4120034792693534</v>
      </c>
      <c r="Y1440" s="642" t="str">
        <f t="shared" si="67"/>
        <v/>
      </c>
      <c r="Z1440" s="642" t="str">
        <f t="shared" si="68"/>
        <v/>
      </c>
    </row>
    <row r="1441" spans="1:26" s="127" customFormat="1" ht="25">
      <c r="A1441" s="636">
        <v>59777</v>
      </c>
      <c r="B1441" s="637" t="s">
        <v>33</v>
      </c>
      <c r="C1441" s="636" t="s">
        <v>2725</v>
      </c>
      <c r="D1441" s="637" t="s">
        <v>1906</v>
      </c>
      <c r="E1441" s="637" t="s">
        <v>1828</v>
      </c>
      <c r="F1441" s="636">
        <v>59519</v>
      </c>
      <c r="G1441" s="637" t="s">
        <v>81</v>
      </c>
      <c r="H1441" s="637" t="s">
        <v>1163</v>
      </c>
      <c r="I1441" s="637" t="s">
        <v>58</v>
      </c>
      <c r="J1441" s="636">
        <v>22</v>
      </c>
      <c r="K1441" s="636">
        <v>2</v>
      </c>
      <c r="L1441" s="637" t="s">
        <v>52</v>
      </c>
      <c r="M1441" s="637" t="s">
        <v>441</v>
      </c>
      <c r="N1441" s="637" t="s">
        <v>442</v>
      </c>
      <c r="O1441" s="637" t="s">
        <v>442</v>
      </c>
      <c r="P1441" s="637" t="s">
        <v>1156</v>
      </c>
      <c r="Q1441" s="638">
        <v>0</v>
      </c>
      <c r="R1441" s="638">
        <v>0</v>
      </c>
      <c r="S1441" s="638">
        <v>3865</v>
      </c>
      <c r="T1441" s="638">
        <v>3865</v>
      </c>
      <c r="U1441" s="638">
        <v>1133</v>
      </c>
      <c r="V1441" s="636">
        <v>2022</v>
      </c>
      <c r="W1441" s="640"/>
      <c r="X1441" s="641">
        <f t="shared" si="66"/>
        <v>3.4112974404236542</v>
      </c>
      <c r="Y1441" s="642" t="str">
        <f t="shared" si="67"/>
        <v/>
      </c>
      <c r="Z1441" s="642" t="str">
        <f t="shared" si="68"/>
        <v/>
      </c>
    </row>
    <row r="1442" spans="1:26" s="127" customFormat="1" ht="25">
      <c r="A1442" s="636">
        <v>59780</v>
      </c>
      <c r="B1442" s="637" t="s">
        <v>33</v>
      </c>
      <c r="C1442" s="636" t="s">
        <v>2725</v>
      </c>
      <c r="D1442" s="637" t="s">
        <v>1755</v>
      </c>
      <c r="E1442" s="637" t="s">
        <v>1756</v>
      </c>
      <c r="F1442" s="636">
        <v>59545</v>
      </c>
      <c r="G1442" s="637" t="s">
        <v>81</v>
      </c>
      <c r="H1442" s="637" t="s">
        <v>1163</v>
      </c>
      <c r="I1442" s="637" t="s">
        <v>58</v>
      </c>
      <c r="J1442" s="636">
        <v>22</v>
      </c>
      <c r="K1442" s="636">
        <v>2</v>
      </c>
      <c r="L1442" s="637" t="s">
        <v>52</v>
      </c>
      <c r="M1442" s="637" t="s">
        <v>441</v>
      </c>
      <c r="N1442" s="637" t="s">
        <v>442</v>
      </c>
      <c r="O1442" s="637" t="s">
        <v>442</v>
      </c>
      <c r="P1442" s="637" t="s">
        <v>1156</v>
      </c>
      <c r="Q1442" s="638">
        <v>0</v>
      </c>
      <c r="R1442" s="638">
        <v>0</v>
      </c>
      <c r="S1442" s="638">
        <v>22335</v>
      </c>
      <c r="T1442" s="638">
        <v>22335</v>
      </c>
      <c r="U1442" s="638">
        <v>6546</v>
      </c>
      <c r="V1442" s="636">
        <v>2022</v>
      </c>
      <c r="W1442" s="640"/>
      <c r="X1442" s="641">
        <f t="shared" si="66"/>
        <v>3.4120073327222733</v>
      </c>
      <c r="Y1442" s="642" t="str">
        <f t="shared" si="67"/>
        <v/>
      </c>
      <c r="Z1442" s="642" t="str">
        <f t="shared" si="68"/>
        <v/>
      </c>
    </row>
    <row r="1443" spans="1:26" s="127" customFormat="1" ht="25">
      <c r="A1443" s="636">
        <v>59781</v>
      </c>
      <c r="B1443" s="637" t="s">
        <v>33</v>
      </c>
      <c r="C1443" s="636" t="s">
        <v>2725</v>
      </c>
      <c r="D1443" s="637" t="s">
        <v>1757</v>
      </c>
      <c r="E1443" s="637" t="s">
        <v>1758</v>
      </c>
      <c r="F1443" s="636">
        <v>59546</v>
      </c>
      <c r="G1443" s="637" t="s">
        <v>81</v>
      </c>
      <c r="H1443" s="637" t="s">
        <v>1163</v>
      </c>
      <c r="I1443" s="637" t="s">
        <v>58</v>
      </c>
      <c r="J1443" s="636">
        <v>22</v>
      </c>
      <c r="K1443" s="636">
        <v>2</v>
      </c>
      <c r="L1443" s="637" t="s">
        <v>52</v>
      </c>
      <c r="M1443" s="637" t="s">
        <v>441</v>
      </c>
      <c r="N1443" s="637" t="s">
        <v>442</v>
      </c>
      <c r="O1443" s="637" t="s">
        <v>442</v>
      </c>
      <c r="P1443" s="637" t="s">
        <v>1156</v>
      </c>
      <c r="Q1443" s="638">
        <v>0</v>
      </c>
      <c r="R1443" s="638">
        <v>0</v>
      </c>
      <c r="S1443" s="638">
        <v>24122</v>
      </c>
      <c r="T1443" s="638">
        <v>24122</v>
      </c>
      <c r="U1443" s="638">
        <v>7070</v>
      </c>
      <c r="V1443" s="636">
        <v>2022</v>
      </c>
      <c r="W1443" s="640"/>
      <c r="X1443" s="641">
        <f t="shared" si="66"/>
        <v>3.4118811881188118</v>
      </c>
      <c r="Y1443" s="642" t="str">
        <f t="shared" si="67"/>
        <v/>
      </c>
      <c r="Z1443" s="642" t="str">
        <f t="shared" si="68"/>
        <v/>
      </c>
    </row>
    <row r="1444" spans="1:26" s="127" customFormat="1" ht="25">
      <c r="A1444" s="636">
        <v>59788</v>
      </c>
      <c r="B1444" s="637" t="s">
        <v>33</v>
      </c>
      <c r="C1444" s="636" t="s">
        <v>2725</v>
      </c>
      <c r="D1444" s="637" t="s">
        <v>1759</v>
      </c>
      <c r="E1444" s="637" t="s">
        <v>1883</v>
      </c>
      <c r="F1444" s="636">
        <v>60947</v>
      </c>
      <c r="G1444" s="637" t="s">
        <v>41</v>
      </c>
      <c r="H1444" s="637" t="s">
        <v>1163</v>
      </c>
      <c r="I1444" s="637" t="s">
        <v>58</v>
      </c>
      <c r="J1444" s="636">
        <v>22</v>
      </c>
      <c r="K1444" s="636">
        <v>2</v>
      </c>
      <c r="L1444" s="637" t="s">
        <v>52</v>
      </c>
      <c r="M1444" s="637" t="s">
        <v>441</v>
      </c>
      <c r="N1444" s="637" t="s">
        <v>442</v>
      </c>
      <c r="O1444" s="637" t="s">
        <v>442</v>
      </c>
      <c r="P1444" s="637" t="s">
        <v>1156</v>
      </c>
      <c r="Q1444" s="638">
        <v>0</v>
      </c>
      <c r="R1444" s="638">
        <v>0</v>
      </c>
      <c r="S1444" s="638">
        <v>4676</v>
      </c>
      <c r="T1444" s="638">
        <v>4676</v>
      </c>
      <c r="U1444" s="638">
        <v>1371</v>
      </c>
      <c r="V1444" s="636">
        <v>2022</v>
      </c>
      <c r="W1444" s="640"/>
      <c r="X1444" s="641">
        <f t="shared" si="66"/>
        <v>3.4106491611962073</v>
      </c>
      <c r="Y1444" s="642" t="str">
        <f t="shared" si="67"/>
        <v/>
      </c>
      <c r="Z1444" s="642" t="str">
        <f t="shared" si="68"/>
        <v/>
      </c>
    </row>
    <row r="1445" spans="1:26" s="127" customFormat="1" ht="25">
      <c r="A1445" s="636">
        <v>59789</v>
      </c>
      <c r="B1445" s="637" t="s">
        <v>33</v>
      </c>
      <c r="C1445" s="636" t="s">
        <v>2725</v>
      </c>
      <c r="D1445" s="637" t="s">
        <v>1829</v>
      </c>
      <c r="E1445" s="637" t="s">
        <v>1883</v>
      </c>
      <c r="F1445" s="636">
        <v>60947</v>
      </c>
      <c r="G1445" s="637" t="s">
        <v>57</v>
      </c>
      <c r="H1445" s="637" t="s">
        <v>1162</v>
      </c>
      <c r="I1445" s="637" t="s">
        <v>58</v>
      </c>
      <c r="J1445" s="636">
        <v>22</v>
      </c>
      <c r="K1445" s="636">
        <v>2</v>
      </c>
      <c r="L1445" s="637" t="s">
        <v>52</v>
      </c>
      <c r="M1445" s="637" t="s">
        <v>441</v>
      </c>
      <c r="N1445" s="637" t="s">
        <v>442</v>
      </c>
      <c r="O1445" s="637" t="s">
        <v>442</v>
      </c>
      <c r="P1445" s="637" t="s">
        <v>1156</v>
      </c>
      <c r="Q1445" s="638">
        <v>0</v>
      </c>
      <c r="R1445" s="638">
        <v>0</v>
      </c>
      <c r="S1445" s="638">
        <v>6878</v>
      </c>
      <c r="T1445" s="638">
        <v>6878</v>
      </c>
      <c r="U1445" s="638">
        <v>2015</v>
      </c>
      <c r="V1445" s="636">
        <v>2022</v>
      </c>
      <c r="W1445" s="640"/>
      <c r="X1445" s="641">
        <f t="shared" si="66"/>
        <v>3.4133995037220846</v>
      </c>
      <c r="Y1445" s="642" t="str">
        <f t="shared" si="67"/>
        <v/>
      </c>
      <c r="Z1445" s="642" t="str">
        <f t="shared" si="68"/>
        <v/>
      </c>
    </row>
    <row r="1446" spans="1:26" s="127" customFormat="1" ht="25">
      <c r="A1446" s="636">
        <v>59801</v>
      </c>
      <c r="B1446" s="637" t="s">
        <v>33</v>
      </c>
      <c r="C1446" s="636" t="s">
        <v>2725</v>
      </c>
      <c r="D1446" s="637" t="s">
        <v>1760</v>
      </c>
      <c r="E1446" s="637" t="s">
        <v>1761</v>
      </c>
      <c r="F1446" s="636">
        <v>57128</v>
      </c>
      <c r="G1446" s="637" t="s">
        <v>41</v>
      </c>
      <c r="H1446" s="637" t="s">
        <v>1163</v>
      </c>
      <c r="I1446" s="637" t="s">
        <v>58</v>
      </c>
      <c r="J1446" s="636">
        <v>22</v>
      </c>
      <c r="K1446" s="636">
        <v>2</v>
      </c>
      <c r="L1446" s="637" t="s">
        <v>52</v>
      </c>
      <c r="M1446" s="637" t="s">
        <v>1232</v>
      </c>
      <c r="N1446" s="637" t="s">
        <v>39</v>
      </c>
      <c r="O1446" s="637" t="s">
        <v>39</v>
      </c>
      <c r="P1446" s="637" t="s">
        <v>1020</v>
      </c>
      <c r="Q1446" s="638">
        <v>38875</v>
      </c>
      <c r="R1446" s="638">
        <v>38875</v>
      </c>
      <c r="S1446" s="638">
        <v>39653</v>
      </c>
      <c r="T1446" s="638">
        <v>39653</v>
      </c>
      <c r="U1446" s="638">
        <v>5109</v>
      </c>
      <c r="V1446" s="636">
        <v>2022</v>
      </c>
      <c r="W1446" s="640"/>
      <c r="X1446" s="641">
        <f t="shared" si="66"/>
        <v>7.7614014484243494</v>
      </c>
      <c r="Y1446" s="642" t="str">
        <f t="shared" si="67"/>
        <v/>
      </c>
      <c r="Z1446" s="642" t="str">
        <f t="shared" si="68"/>
        <v/>
      </c>
    </row>
    <row r="1447" spans="1:26" s="127" customFormat="1" ht="25">
      <c r="A1447" s="636">
        <v>59815</v>
      </c>
      <c r="B1447" s="637" t="s">
        <v>33</v>
      </c>
      <c r="C1447" s="636" t="s">
        <v>2725</v>
      </c>
      <c r="D1447" s="637" t="s">
        <v>1762</v>
      </c>
      <c r="E1447" s="637" t="s">
        <v>1763</v>
      </c>
      <c r="F1447" s="636">
        <v>59596</v>
      </c>
      <c r="G1447" s="637" t="s">
        <v>81</v>
      </c>
      <c r="H1447" s="637" t="s">
        <v>1163</v>
      </c>
      <c r="I1447" s="637" t="s">
        <v>58</v>
      </c>
      <c r="J1447" s="636">
        <v>22</v>
      </c>
      <c r="K1447" s="636">
        <v>2</v>
      </c>
      <c r="L1447" s="637" t="s">
        <v>52</v>
      </c>
      <c r="M1447" s="637" t="s">
        <v>51</v>
      </c>
      <c r="N1447" s="637" t="s">
        <v>63</v>
      </c>
      <c r="O1447" s="637" t="s">
        <v>64</v>
      </c>
      <c r="P1447" s="637" t="s">
        <v>1020</v>
      </c>
      <c r="Q1447" s="638">
        <v>178720</v>
      </c>
      <c r="R1447" s="638">
        <v>178720</v>
      </c>
      <c r="S1447" s="638">
        <v>107232</v>
      </c>
      <c r="T1447" s="638">
        <v>107232</v>
      </c>
      <c r="U1447" s="638">
        <v>3155</v>
      </c>
      <c r="V1447" s="636">
        <v>2022</v>
      </c>
      <c r="W1447" s="640"/>
      <c r="X1447" s="641">
        <f t="shared" si="66"/>
        <v>33.987955625990494</v>
      </c>
      <c r="Y1447" s="642" t="str">
        <f t="shared" si="67"/>
        <v/>
      </c>
      <c r="Z1447" s="642" t="str">
        <f t="shared" si="68"/>
        <v/>
      </c>
    </row>
    <row r="1448" spans="1:26" s="127" customFormat="1" ht="25">
      <c r="A1448" s="636">
        <v>59816</v>
      </c>
      <c r="B1448" s="637" t="s">
        <v>33</v>
      </c>
      <c r="C1448" s="636" t="s">
        <v>2725</v>
      </c>
      <c r="D1448" s="637" t="s">
        <v>1764</v>
      </c>
      <c r="E1448" s="637" t="s">
        <v>1765</v>
      </c>
      <c r="F1448" s="636">
        <v>59597</v>
      </c>
      <c r="G1448" s="637" t="s">
        <v>57</v>
      </c>
      <c r="H1448" s="637" t="s">
        <v>1162</v>
      </c>
      <c r="I1448" s="637" t="s">
        <v>58</v>
      </c>
      <c r="J1448" s="636">
        <v>22</v>
      </c>
      <c r="K1448" s="636">
        <v>2</v>
      </c>
      <c r="L1448" s="637" t="s">
        <v>52</v>
      </c>
      <c r="M1448" s="637" t="s">
        <v>51</v>
      </c>
      <c r="N1448" s="637" t="s">
        <v>63</v>
      </c>
      <c r="O1448" s="637" t="s">
        <v>64</v>
      </c>
      <c r="P1448" s="637" t="s">
        <v>1020</v>
      </c>
      <c r="Q1448" s="638">
        <v>558785</v>
      </c>
      <c r="R1448" s="638">
        <v>558785</v>
      </c>
      <c r="S1448" s="638">
        <v>201163</v>
      </c>
      <c r="T1448" s="638">
        <v>201163</v>
      </c>
      <c r="U1448" s="638">
        <v>20316</v>
      </c>
      <c r="V1448" s="636">
        <v>2022</v>
      </c>
      <c r="W1448" s="640"/>
      <c r="X1448" s="641">
        <f t="shared" si="66"/>
        <v>9.9017030911596766</v>
      </c>
      <c r="Y1448" s="642" t="str">
        <f t="shared" si="67"/>
        <v/>
      </c>
      <c r="Z1448" s="642" t="str">
        <f t="shared" si="68"/>
        <v/>
      </c>
    </row>
    <row r="1449" spans="1:26" s="127" customFormat="1" ht="25">
      <c r="A1449" s="636">
        <v>59820</v>
      </c>
      <c r="B1449" s="637" t="s">
        <v>33</v>
      </c>
      <c r="C1449" s="636" t="s">
        <v>2725</v>
      </c>
      <c r="D1449" s="637" t="s">
        <v>1766</v>
      </c>
      <c r="E1449" s="637" t="s">
        <v>1950</v>
      </c>
      <c r="F1449" s="636">
        <v>60281</v>
      </c>
      <c r="G1449" s="637" t="s">
        <v>81</v>
      </c>
      <c r="H1449" s="637" t="s">
        <v>1163</v>
      </c>
      <c r="I1449" s="637" t="s">
        <v>58</v>
      </c>
      <c r="J1449" s="636">
        <v>22</v>
      </c>
      <c r="K1449" s="636">
        <v>2</v>
      </c>
      <c r="L1449" s="637" t="s">
        <v>52</v>
      </c>
      <c r="M1449" s="637" t="s">
        <v>441</v>
      </c>
      <c r="N1449" s="637" t="s">
        <v>442</v>
      </c>
      <c r="O1449" s="637" t="s">
        <v>442</v>
      </c>
      <c r="P1449" s="637" t="s">
        <v>1156</v>
      </c>
      <c r="Q1449" s="638">
        <v>0</v>
      </c>
      <c r="R1449" s="638">
        <v>0</v>
      </c>
      <c r="S1449" s="638">
        <v>12950</v>
      </c>
      <c r="T1449" s="638">
        <v>12950</v>
      </c>
      <c r="U1449" s="638">
        <v>3796</v>
      </c>
      <c r="V1449" s="636">
        <v>2022</v>
      </c>
      <c r="W1449" s="640"/>
      <c r="X1449" s="641">
        <f t="shared" si="66"/>
        <v>3.4114857744994733</v>
      </c>
      <c r="Y1449" s="642" t="str">
        <f t="shared" si="67"/>
        <v/>
      </c>
      <c r="Z1449" s="642" t="str">
        <f t="shared" si="68"/>
        <v/>
      </c>
    </row>
    <row r="1450" spans="1:26" s="127" customFormat="1" ht="25">
      <c r="A1450" s="636">
        <v>59821</v>
      </c>
      <c r="B1450" s="637" t="s">
        <v>33</v>
      </c>
      <c r="C1450" s="636" t="s">
        <v>2725</v>
      </c>
      <c r="D1450" s="637" t="s">
        <v>1767</v>
      </c>
      <c r="E1450" s="637" t="s">
        <v>1950</v>
      </c>
      <c r="F1450" s="636">
        <v>60281</v>
      </c>
      <c r="G1450" s="637" t="s">
        <v>81</v>
      </c>
      <c r="H1450" s="637" t="s">
        <v>1163</v>
      </c>
      <c r="I1450" s="637" t="s">
        <v>58</v>
      </c>
      <c r="J1450" s="636">
        <v>22</v>
      </c>
      <c r="K1450" s="636">
        <v>2</v>
      </c>
      <c r="L1450" s="637" t="s">
        <v>52</v>
      </c>
      <c r="M1450" s="637" t="s">
        <v>441</v>
      </c>
      <c r="N1450" s="637" t="s">
        <v>442</v>
      </c>
      <c r="O1450" s="637" t="s">
        <v>442</v>
      </c>
      <c r="P1450" s="637" t="s">
        <v>1156</v>
      </c>
      <c r="Q1450" s="638">
        <v>0</v>
      </c>
      <c r="R1450" s="638">
        <v>0</v>
      </c>
      <c r="S1450" s="638">
        <v>11986</v>
      </c>
      <c r="T1450" s="638">
        <v>11986</v>
      </c>
      <c r="U1450" s="638">
        <v>3513</v>
      </c>
      <c r="V1450" s="636">
        <v>2022</v>
      </c>
      <c r="W1450" s="640"/>
      <c r="X1450" s="641">
        <f t="shared" si="66"/>
        <v>3.4118986621121548</v>
      </c>
      <c r="Y1450" s="642" t="str">
        <f t="shared" si="67"/>
        <v/>
      </c>
      <c r="Z1450" s="642" t="str">
        <f t="shared" si="68"/>
        <v/>
      </c>
    </row>
    <row r="1451" spans="1:26" s="127" customFormat="1" ht="25">
      <c r="A1451" s="636">
        <v>59822</v>
      </c>
      <c r="B1451" s="637" t="s">
        <v>33</v>
      </c>
      <c r="C1451" s="636" t="s">
        <v>2725</v>
      </c>
      <c r="D1451" s="637" t="s">
        <v>1768</v>
      </c>
      <c r="E1451" s="637" t="s">
        <v>1950</v>
      </c>
      <c r="F1451" s="636">
        <v>60281</v>
      </c>
      <c r="G1451" s="637" t="s">
        <v>81</v>
      </c>
      <c r="H1451" s="637" t="s">
        <v>1163</v>
      </c>
      <c r="I1451" s="637" t="s">
        <v>58</v>
      </c>
      <c r="J1451" s="636">
        <v>22</v>
      </c>
      <c r="K1451" s="636">
        <v>2</v>
      </c>
      <c r="L1451" s="637" t="s">
        <v>52</v>
      </c>
      <c r="M1451" s="637" t="s">
        <v>441</v>
      </c>
      <c r="N1451" s="637" t="s">
        <v>442</v>
      </c>
      <c r="O1451" s="637" t="s">
        <v>442</v>
      </c>
      <c r="P1451" s="637" t="s">
        <v>1156</v>
      </c>
      <c r="Q1451" s="638">
        <v>0</v>
      </c>
      <c r="R1451" s="638">
        <v>0</v>
      </c>
      <c r="S1451" s="638">
        <v>9868</v>
      </c>
      <c r="T1451" s="638">
        <v>9868</v>
      </c>
      <c r="U1451" s="638">
        <v>2892</v>
      </c>
      <c r="V1451" s="636">
        <v>2022</v>
      </c>
      <c r="W1451" s="640"/>
      <c r="X1451" s="641">
        <f t="shared" si="66"/>
        <v>3.4121715076071921</v>
      </c>
      <c r="Y1451" s="642" t="str">
        <f t="shared" si="67"/>
        <v/>
      </c>
      <c r="Z1451" s="642" t="str">
        <f t="shared" si="68"/>
        <v/>
      </c>
    </row>
    <row r="1452" spans="1:26" s="127" customFormat="1" ht="25">
      <c r="A1452" s="636">
        <v>59839</v>
      </c>
      <c r="B1452" s="637" t="s">
        <v>33</v>
      </c>
      <c r="C1452" s="636" t="s">
        <v>2725</v>
      </c>
      <c r="D1452" s="637" t="s">
        <v>1830</v>
      </c>
      <c r="E1452" s="637" t="s">
        <v>2166</v>
      </c>
      <c r="F1452" s="636">
        <v>61012</v>
      </c>
      <c r="G1452" s="637" t="s">
        <v>81</v>
      </c>
      <c r="H1452" s="637" t="s">
        <v>1163</v>
      </c>
      <c r="I1452" s="637" t="s">
        <v>58</v>
      </c>
      <c r="J1452" s="636">
        <v>22</v>
      </c>
      <c r="K1452" s="636">
        <v>2</v>
      </c>
      <c r="L1452" s="637" t="s">
        <v>52</v>
      </c>
      <c r="M1452" s="637" t="s">
        <v>441</v>
      </c>
      <c r="N1452" s="637" t="s">
        <v>442</v>
      </c>
      <c r="O1452" s="637" t="s">
        <v>442</v>
      </c>
      <c r="P1452" s="637" t="s">
        <v>1156</v>
      </c>
      <c r="Q1452" s="638">
        <v>0</v>
      </c>
      <c r="R1452" s="638">
        <v>0</v>
      </c>
      <c r="S1452" s="638">
        <v>9780</v>
      </c>
      <c r="T1452" s="638">
        <v>9780</v>
      </c>
      <c r="U1452" s="638">
        <v>2866</v>
      </c>
      <c r="V1452" s="636">
        <v>2022</v>
      </c>
      <c r="W1452" s="640"/>
      <c r="X1452" s="641">
        <f t="shared" si="66"/>
        <v>3.4124214933705512</v>
      </c>
      <c r="Y1452" s="642" t="str">
        <f t="shared" si="67"/>
        <v/>
      </c>
      <c r="Z1452" s="642" t="str">
        <f t="shared" si="68"/>
        <v/>
      </c>
    </row>
    <row r="1453" spans="1:26" s="127" customFormat="1" ht="25">
      <c r="A1453" s="636">
        <v>59858</v>
      </c>
      <c r="B1453" s="637" t="s">
        <v>33</v>
      </c>
      <c r="C1453" s="636" t="s">
        <v>2725</v>
      </c>
      <c r="D1453" s="637" t="s">
        <v>1831</v>
      </c>
      <c r="E1453" s="637" t="s">
        <v>3285</v>
      </c>
      <c r="F1453" s="636">
        <v>59209</v>
      </c>
      <c r="G1453" s="637" t="s">
        <v>130</v>
      </c>
      <c r="H1453" s="637" t="s">
        <v>1163</v>
      </c>
      <c r="I1453" s="637" t="s">
        <v>58</v>
      </c>
      <c r="J1453" s="636">
        <v>22</v>
      </c>
      <c r="K1453" s="636">
        <v>2</v>
      </c>
      <c r="L1453" s="637" t="s">
        <v>52</v>
      </c>
      <c r="M1453" s="637" t="s">
        <v>441</v>
      </c>
      <c r="N1453" s="637" t="s">
        <v>442</v>
      </c>
      <c r="O1453" s="637" t="s">
        <v>442</v>
      </c>
      <c r="P1453" s="637" t="s">
        <v>1156</v>
      </c>
      <c r="Q1453" s="638">
        <v>0</v>
      </c>
      <c r="R1453" s="638">
        <v>0</v>
      </c>
      <c r="S1453" s="638">
        <v>6332</v>
      </c>
      <c r="T1453" s="638">
        <v>6332</v>
      </c>
      <c r="U1453" s="638">
        <v>1856</v>
      </c>
      <c r="V1453" s="636">
        <v>2022</v>
      </c>
      <c r="W1453" s="640"/>
      <c r="X1453" s="641">
        <f t="shared" si="66"/>
        <v>3.4116379310344827</v>
      </c>
      <c r="Y1453" s="642" t="str">
        <f t="shared" si="67"/>
        <v/>
      </c>
      <c r="Z1453" s="642" t="str">
        <f t="shared" si="68"/>
        <v/>
      </c>
    </row>
    <row r="1454" spans="1:26" s="127" customFormat="1" ht="25">
      <c r="A1454" s="636">
        <v>59866</v>
      </c>
      <c r="B1454" s="637" t="s">
        <v>33</v>
      </c>
      <c r="C1454" s="636" t="s">
        <v>2725</v>
      </c>
      <c r="D1454" s="637" t="s">
        <v>3629</v>
      </c>
      <c r="E1454" s="637" t="s">
        <v>3629</v>
      </c>
      <c r="F1454" s="636">
        <v>59653</v>
      </c>
      <c r="G1454" s="637" t="s">
        <v>81</v>
      </c>
      <c r="H1454" s="637" t="s">
        <v>1163</v>
      </c>
      <c r="I1454" s="637" t="s">
        <v>58</v>
      </c>
      <c r="J1454" s="636">
        <v>22</v>
      </c>
      <c r="K1454" s="636">
        <v>2</v>
      </c>
      <c r="L1454" s="637" t="s">
        <v>52</v>
      </c>
      <c r="M1454" s="637" t="s">
        <v>441</v>
      </c>
      <c r="N1454" s="637" t="s">
        <v>442</v>
      </c>
      <c r="O1454" s="637" t="s">
        <v>442</v>
      </c>
      <c r="P1454" s="637" t="s">
        <v>1156</v>
      </c>
      <c r="Q1454" s="638">
        <v>0</v>
      </c>
      <c r="R1454" s="638">
        <v>0</v>
      </c>
      <c r="S1454" s="638">
        <v>11045</v>
      </c>
      <c r="T1454" s="638">
        <v>11045</v>
      </c>
      <c r="U1454" s="638">
        <v>3237</v>
      </c>
      <c r="V1454" s="636">
        <v>2022</v>
      </c>
      <c r="W1454" s="640"/>
      <c r="X1454" s="641">
        <f t="shared" si="66"/>
        <v>3.4121099783750388</v>
      </c>
      <c r="Y1454" s="642" t="str">
        <f t="shared" si="67"/>
        <v/>
      </c>
      <c r="Z1454" s="642" t="str">
        <f t="shared" si="68"/>
        <v/>
      </c>
    </row>
    <row r="1455" spans="1:26" s="127" customFormat="1" ht="25">
      <c r="A1455" s="636">
        <v>59873</v>
      </c>
      <c r="B1455" s="637" t="s">
        <v>33</v>
      </c>
      <c r="C1455" s="636" t="s">
        <v>2725</v>
      </c>
      <c r="D1455" s="637" t="s">
        <v>1769</v>
      </c>
      <c r="E1455" s="637" t="s">
        <v>1735</v>
      </c>
      <c r="F1455" s="636">
        <v>59286</v>
      </c>
      <c r="G1455" s="637" t="s">
        <v>81</v>
      </c>
      <c r="H1455" s="637" t="s">
        <v>1163</v>
      </c>
      <c r="I1455" s="637" t="s">
        <v>58</v>
      </c>
      <c r="J1455" s="636">
        <v>22</v>
      </c>
      <c r="K1455" s="636">
        <v>2</v>
      </c>
      <c r="L1455" s="637" t="s">
        <v>52</v>
      </c>
      <c r="M1455" s="637" t="s">
        <v>441</v>
      </c>
      <c r="N1455" s="637" t="s">
        <v>442</v>
      </c>
      <c r="O1455" s="637" t="s">
        <v>442</v>
      </c>
      <c r="P1455" s="637" t="s">
        <v>1156</v>
      </c>
      <c r="Q1455" s="638">
        <v>0</v>
      </c>
      <c r="R1455" s="638">
        <v>0</v>
      </c>
      <c r="S1455" s="638">
        <v>4309</v>
      </c>
      <c r="T1455" s="638">
        <v>4309</v>
      </c>
      <c r="U1455" s="638">
        <v>1263</v>
      </c>
      <c r="V1455" s="636">
        <v>2022</v>
      </c>
      <c r="W1455" s="640"/>
      <c r="X1455" s="641">
        <f t="shared" si="66"/>
        <v>3.411718131433096</v>
      </c>
      <c r="Y1455" s="642" t="str">
        <f t="shared" si="67"/>
        <v/>
      </c>
      <c r="Z1455" s="642" t="str">
        <f t="shared" si="68"/>
        <v/>
      </c>
    </row>
    <row r="1456" spans="1:26" s="127" customFormat="1" ht="25">
      <c r="A1456" s="636">
        <v>59880</v>
      </c>
      <c r="B1456" s="637" t="s">
        <v>33</v>
      </c>
      <c r="C1456" s="636" t="s">
        <v>2725</v>
      </c>
      <c r="D1456" s="637" t="s">
        <v>2742</v>
      </c>
      <c r="E1456" s="637" t="s">
        <v>2743</v>
      </c>
      <c r="F1456" s="636">
        <v>62710</v>
      </c>
      <c r="G1456" s="637" t="s">
        <v>57</v>
      </c>
      <c r="H1456" s="637" t="s">
        <v>1162</v>
      </c>
      <c r="I1456" s="637" t="s">
        <v>58</v>
      </c>
      <c r="J1456" s="636">
        <v>22</v>
      </c>
      <c r="K1456" s="636">
        <v>2</v>
      </c>
      <c r="L1456" s="637" t="s">
        <v>52</v>
      </c>
      <c r="M1456" s="637" t="s">
        <v>441</v>
      </c>
      <c r="N1456" s="637" t="s">
        <v>442</v>
      </c>
      <c r="O1456" s="637" t="s">
        <v>442</v>
      </c>
      <c r="P1456" s="637" t="s">
        <v>1156</v>
      </c>
      <c r="Q1456" s="638">
        <v>0</v>
      </c>
      <c r="R1456" s="638">
        <v>0</v>
      </c>
      <c r="S1456" s="638">
        <v>11376</v>
      </c>
      <c r="T1456" s="638">
        <v>11376</v>
      </c>
      <c r="U1456" s="638">
        <v>3334</v>
      </c>
      <c r="V1456" s="636">
        <v>2022</v>
      </c>
      <c r="W1456" s="640"/>
      <c r="X1456" s="641">
        <f t="shared" si="66"/>
        <v>3.4121175764847029</v>
      </c>
      <c r="Y1456" s="642" t="str">
        <f t="shared" si="67"/>
        <v/>
      </c>
      <c r="Z1456" s="642" t="str">
        <f t="shared" si="68"/>
        <v/>
      </c>
    </row>
    <row r="1457" spans="1:26" s="127" customFormat="1" ht="25">
      <c r="A1457" s="636">
        <v>59881</v>
      </c>
      <c r="B1457" s="637" t="s">
        <v>33</v>
      </c>
      <c r="C1457" s="636" t="s">
        <v>2725</v>
      </c>
      <c r="D1457" s="637" t="s">
        <v>2744</v>
      </c>
      <c r="E1457" s="637" t="s">
        <v>2743</v>
      </c>
      <c r="F1457" s="636">
        <v>62710</v>
      </c>
      <c r="G1457" s="637" t="s">
        <v>57</v>
      </c>
      <c r="H1457" s="637" t="s">
        <v>1162</v>
      </c>
      <c r="I1457" s="637" t="s">
        <v>58</v>
      </c>
      <c r="J1457" s="636">
        <v>22</v>
      </c>
      <c r="K1457" s="636">
        <v>2</v>
      </c>
      <c r="L1457" s="637" t="s">
        <v>52</v>
      </c>
      <c r="M1457" s="637" t="s">
        <v>441</v>
      </c>
      <c r="N1457" s="637" t="s">
        <v>442</v>
      </c>
      <c r="O1457" s="637" t="s">
        <v>442</v>
      </c>
      <c r="P1457" s="637" t="s">
        <v>1156</v>
      </c>
      <c r="Q1457" s="638">
        <v>0</v>
      </c>
      <c r="R1457" s="638">
        <v>0</v>
      </c>
      <c r="S1457" s="638">
        <v>11373</v>
      </c>
      <c r="T1457" s="638">
        <v>11373</v>
      </c>
      <c r="U1457" s="638">
        <v>3333</v>
      </c>
      <c r="V1457" s="636">
        <v>2022</v>
      </c>
      <c r="W1457" s="640"/>
      <c r="X1457" s="641">
        <f t="shared" si="66"/>
        <v>3.412241224122412</v>
      </c>
      <c r="Y1457" s="642" t="str">
        <f t="shared" si="67"/>
        <v/>
      </c>
      <c r="Z1457" s="642" t="str">
        <f t="shared" si="68"/>
        <v/>
      </c>
    </row>
    <row r="1458" spans="1:26" s="127" customFormat="1" ht="25">
      <c r="A1458" s="636">
        <v>59882</v>
      </c>
      <c r="B1458" s="637" t="s">
        <v>33</v>
      </c>
      <c r="C1458" s="636" t="s">
        <v>2725</v>
      </c>
      <c r="D1458" s="637" t="s">
        <v>2745</v>
      </c>
      <c r="E1458" s="637" t="s">
        <v>3596</v>
      </c>
      <c r="F1458" s="636">
        <v>6035</v>
      </c>
      <c r="G1458" s="637" t="s">
        <v>81</v>
      </c>
      <c r="H1458" s="637" t="s">
        <v>1163</v>
      </c>
      <c r="I1458" s="637" t="s">
        <v>58</v>
      </c>
      <c r="J1458" s="636">
        <v>22</v>
      </c>
      <c r="K1458" s="636">
        <v>2</v>
      </c>
      <c r="L1458" s="637" t="s">
        <v>52</v>
      </c>
      <c r="M1458" s="637" t="s">
        <v>50</v>
      </c>
      <c r="N1458" s="637" t="s">
        <v>46</v>
      </c>
      <c r="O1458" s="637" t="s">
        <v>46</v>
      </c>
      <c r="P1458" s="637" t="s">
        <v>47</v>
      </c>
      <c r="Q1458" s="638">
        <v>0</v>
      </c>
      <c r="R1458" s="638">
        <v>0</v>
      </c>
      <c r="S1458" s="638">
        <v>0</v>
      </c>
      <c r="T1458" s="638">
        <v>0</v>
      </c>
      <c r="U1458" s="638">
        <v>0</v>
      </c>
      <c r="V1458" s="636">
        <v>2022</v>
      </c>
      <c r="W1458" s="640" t="s">
        <v>3934</v>
      </c>
      <c r="X1458" s="641" t="str">
        <f t="shared" si="66"/>
        <v/>
      </c>
      <c r="Y1458" s="642" t="str">
        <f t="shared" si="67"/>
        <v/>
      </c>
      <c r="Z1458" s="642" t="str">
        <f t="shared" si="68"/>
        <v/>
      </c>
    </row>
    <row r="1459" spans="1:26" s="127" customFormat="1" ht="25">
      <c r="A1459" s="636">
        <v>59882</v>
      </c>
      <c r="B1459" s="637" t="s">
        <v>33</v>
      </c>
      <c r="C1459" s="636" t="s">
        <v>2725</v>
      </c>
      <c r="D1459" s="637" t="s">
        <v>2745</v>
      </c>
      <c r="E1459" s="637" t="s">
        <v>3596</v>
      </c>
      <c r="F1459" s="636">
        <v>6035</v>
      </c>
      <c r="G1459" s="637" t="s">
        <v>81</v>
      </c>
      <c r="H1459" s="637" t="s">
        <v>1163</v>
      </c>
      <c r="I1459" s="637" t="s">
        <v>58</v>
      </c>
      <c r="J1459" s="636">
        <v>22</v>
      </c>
      <c r="K1459" s="636">
        <v>2</v>
      </c>
      <c r="L1459" s="637" t="s">
        <v>52</v>
      </c>
      <c r="M1459" s="637" t="s">
        <v>50</v>
      </c>
      <c r="N1459" s="637" t="s">
        <v>76</v>
      </c>
      <c r="O1459" s="637" t="s">
        <v>67</v>
      </c>
      <c r="P1459" s="637" t="s">
        <v>47</v>
      </c>
      <c r="Q1459" s="638">
        <v>28628</v>
      </c>
      <c r="R1459" s="638">
        <v>28628</v>
      </c>
      <c r="S1459" s="638">
        <v>163089</v>
      </c>
      <c r="T1459" s="638">
        <v>163089</v>
      </c>
      <c r="U1459" s="638">
        <v>15728.210999999999</v>
      </c>
      <c r="V1459" s="636">
        <v>2022</v>
      </c>
      <c r="W1459" s="640" t="s">
        <v>3934</v>
      </c>
      <c r="X1459" s="641">
        <f t="shared" si="66"/>
        <v>10.369202193434461</v>
      </c>
      <c r="Y1459" s="642" t="str">
        <f t="shared" si="67"/>
        <v/>
      </c>
      <c r="Z1459" s="642" t="str">
        <f t="shared" si="68"/>
        <v/>
      </c>
    </row>
    <row r="1460" spans="1:26" s="127" customFormat="1" ht="25">
      <c r="A1460" s="636">
        <v>59882</v>
      </c>
      <c r="B1460" s="637" t="s">
        <v>33</v>
      </c>
      <c r="C1460" s="636" t="s">
        <v>2725</v>
      </c>
      <c r="D1460" s="637" t="s">
        <v>2745</v>
      </c>
      <c r="E1460" s="637" t="s">
        <v>3596</v>
      </c>
      <c r="F1460" s="636">
        <v>6035</v>
      </c>
      <c r="G1460" s="637" t="s">
        <v>81</v>
      </c>
      <c r="H1460" s="637" t="s">
        <v>1163</v>
      </c>
      <c r="I1460" s="637" t="s">
        <v>58</v>
      </c>
      <c r="J1460" s="636">
        <v>22</v>
      </c>
      <c r="K1460" s="636">
        <v>2</v>
      </c>
      <c r="L1460" s="637" t="s">
        <v>52</v>
      </c>
      <c r="M1460" s="637" t="s">
        <v>50</v>
      </c>
      <c r="N1460" s="637" t="s">
        <v>39</v>
      </c>
      <c r="O1460" s="637" t="s">
        <v>39</v>
      </c>
      <c r="P1460" s="637" t="s">
        <v>1020</v>
      </c>
      <c r="Q1460" s="638">
        <v>2111028</v>
      </c>
      <c r="R1460" s="638">
        <v>2111028</v>
      </c>
      <c r="S1460" s="638">
        <v>2184915</v>
      </c>
      <c r="T1460" s="638">
        <v>2184915</v>
      </c>
      <c r="U1460" s="638">
        <v>216473.79</v>
      </c>
      <c r="V1460" s="636">
        <v>2022</v>
      </c>
      <c r="W1460" s="640" t="s">
        <v>3934</v>
      </c>
      <c r="X1460" s="641">
        <f t="shared" si="66"/>
        <v>10.093208050729837</v>
      </c>
      <c r="Y1460" s="642" t="str">
        <f t="shared" si="67"/>
        <v/>
      </c>
      <c r="Z1460" s="642" t="str">
        <f t="shared" si="68"/>
        <v/>
      </c>
    </row>
    <row r="1461" spans="1:26" s="127" customFormat="1" ht="25">
      <c r="A1461" s="636">
        <v>59927</v>
      </c>
      <c r="B1461" s="637" t="s">
        <v>33</v>
      </c>
      <c r="C1461" s="636" t="s">
        <v>2725</v>
      </c>
      <c r="D1461" s="637" t="s">
        <v>1907</v>
      </c>
      <c r="E1461" s="637" t="s">
        <v>1626</v>
      </c>
      <c r="F1461" s="636">
        <v>58871</v>
      </c>
      <c r="G1461" s="637" t="s">
        <v>81</v>
      </c>
      <c r="H1461" s="637" t="s">
        <v>1163</v>
      </c>
      <c r="I1461" s="637" t="s">
        <v>58</v>
      </c>
      <c r="J1461" s="636">
        <v>22</v>
      </c>
      <c r="K1461" s="636">
        <v>2</v>
      </c>
      <c r="L1461" s="637" t="s">
        <v>52</v>
      </c>
      <c r="M1461" s="637" t="s">
        <v>441</v>
      </c>
      <c r="N1461" s="637" t="s">
        <v>442</v>
      </c>
      <c r="O1461" s="637" t="s">
        <v>442</v>
      </c>
      <c r="P1461" s="637" t="s">
        <v>1156</v>
      </c>
      <c r="Q1461" s="638">
        <v>0</v>
      </c>
      <c r="R1461" s="638">
        <v>0</v>
      </c>
      <c r="S1461" s="638">
        <v>27091</v>
      </c>
      <c r="T1461" s="638">
        <v>27091</v>
      </c>
      <c r="U1461" s="638">
        <v>7940</v>
      </c>
      <c r="V1461" s="636">
        <v>2022</v>
      </c>
      <c r="W1461" s="640"/>
      <c r="X1461" s="641">
        <f t="shared" si="66"/>
        <v>3.4119647355163729</v>
      </c>
      <c r="Y1461" s="642" t="str">
        <f t="shared" si="67"/>
        <v/>
      </c>
      <c r="Z1461" s="642" t="str">
        <f t="shared" si="68"/>
        <v/>
      </c>
    </row>
    <row r="1462" spans="1:26" s="127" customFormat="1" ht="25">
      <c r="A1462" s="636">
        <v>59953</v>
      </c>
      <c r="B1462" s="637" t="s">
        <v>33</v>
      </c>
      <c r="C1462" s="636" t="s">
        <v>2725</v>
      </c>
      <c r="D1462" s="637" t="s">
        <v>2746</v>
      </c>
      <c r="E1462" s="637" t="s">
        <v>2747</v>
      </c>
      <c r="F1462" s="636">
        <v>59714</v>
      </c>
      <c r="G1462" s="637" t="s">
        <v>96</v>
      </c>
      <c r="H1462" s="637" t="s">
        <v>1163</v>
      </c>
      <c r="I1462" s="637" t="s">
        <v>58</v>
      </c>
      <c r="J1462" s="636">
        <v>22</v>
      </c>
      <c r="K1462" s="636">
        <v>2</v>
      </c>
      <c r="L1462" s="637" t="s">
        <v>52</v>
      </c>
      <c r="M1462" s="637" t="s">
        <v>71</v>
      </c>
      <c r="N1462" s="637" t="s">
        <v>72</v>
      </c>
      <c r="O1462" s="637" t="s">
        <v>72</v>
      </c>
      <c r="P1462" s="637" t="s">
        <v>1156</v>
      </c>
      <c r="Q1462" s="638">
        <v>0</v>
      </c>
      <c r="R1462" s="638">
        <v>0</v>
      </c>
      <c r="S1462" s="638">
        <v>282468</v>
      </c>
      <c r="T1462" s="638">
        <v>282468</v>
      </c>
      <c r="U1462" s="638">
        <v>82787</v>
      </c>
      <c r="V1462" s="636">
        <v>2022</v>
      </c>
      <c r="W1462" s="640"/>
      <c r="X1462" s="641">
        <f t="shared" si="66"/>
        <v>3.4119849734861756</v>
      </c>
      <c r="Y1462" s="642" t="str">
        <f t="shared" si="67"/>
        <v/>
      </c>
      <c r="Z1462" s="642" t="str">
        <f t="shared" si="68"/>
        <v/>
      </c>
    </row>
    <row r="1463" spans="1:26" s="127" customFormat="1" ht="37.5" hidden="1">
      <c r="A1463" s="636">
        <v>59967</v>
      </c>
      <c r="B1463" s="637" t="s">
        <v>54</v>
      </c>
      <c r="C1463" s="636" t="s">
        <v>2725</v>
      </c>
      <c r="D1463" s="637" t="s">
        <v>3630</v>
      </c>
      <c r="E1463" s="637" t="s">
        <v>3631</v>
      </c>
      <c r="F1463" s="636">
        <v>59724</v>
      </c>
      <c r="G1463" s="637" t="s">
        <v>41</v>
      </c>
      <c r="H1463" s="637" t="s">
        <v>1163</v>
      </c>
      <c r="I1463" s="637" t="s">
        <v>58</v>
      </c>
      <c r="J1463" s="636">
        <v>311</v>
      </c>
      <c r="K1463" s="636">
        <v>7</v>
      </c>
      <c r="L1463" s="637" t="s">
        <v>403</v>
      </c>
      <c r="M1463" s="637" t="s">
        <v>1232</v>
      </c>
      <c r="N1463" s="637" t="s">
        <v>39</v>
      </c>
      <c r="O1463" s="637" t="s">
        <v>39</v>
      </c>
      <c r="P1463" s="637" t="s">
        <v>1020</v>
      </c>
      <c r="Q1463" s="638">
        <v>109920</v>
      </c>
      <c r="R1463" s="638">
        <v>76424</v>
      </c>
      <c r="S1463" s="638">
        <v>109920</v>
      </c>
      <c r="T1463" s="638">
        <v>76424</v>
      </c>
      <c r="U1463" s="638">
        <v>14413.41</v>
      </c>
      <c r="V1463" s="636">
        <v>2022</v>
      </c>
      <c r="W1463" s="640"/>
      <c r="X1463" s="641" t="str">
        <f t="shared" si="66"/>
        <v/>
      </c>
      <c r="Y1463" s="642" t="str">
        <f t="shared" si="67"/>
        <v/>
      </c>
      <c r="Z1463" s="642" t="str">
        <f t="shared" si="68"/>
        <v/>
      </c>
    </row>
    <row r="1464" spans="1:26" s="127" customFormat="1" ht="25">
      <c r="A1464" s="636">
        <v>59980</v>
      </c>
      <c r="B1464" s="637" t="s">
        <v>33</v>
      </c>
      <c r="C1464" s="636" t="s">
        <v>2725</v>
      </c>
      <c r="D1464" s="637" t="s">
        <v>3048</v>
      </c>
      <c r="E1464" s="637" t="s">
        <v>2203</v>
      </c>
      <c r="F1464" s="636">
        <v>61227</v>
      </c>
      <c r="G1464" s="637" t="s">
        <v>81</v>
      </c>
      <c r="H1464" s="637" t="s">
        <v>1163</v>
      </c>
      <c r="I1464" s="637" t="s">
        <v>58</v>
      </c>
      <c r="J1464" s="636">
        <v>22</v>
      </c>
      <c r="K1464" s="636">
        <v>2</v>
      </c>
      <c r="L1464" s="637" t="s">
        <v>52</v>
      </c>
      <c r="M1464" s="637" t="s">
        <v>441</v>
      </c>
      <c r="N1464" s="637" t="s">
        <v>442</v>
      </c>
      <c r="O1464" s="637" t="s">
        <v>442</v>
      </c>
      <c r="P1464" s="637" t="s">
        <v>1156</v>
      </c>
      <c r="Q1464" s="638">
        <v>0</v>
      </c>
      <c r="R1464" s="638">
        <v>0</v>
      </c>
      <c r="S1464" s="638">
        <v>8047</v>
      </c>
      <c r="T1464" s="638">
        <v>8047</v>
      </c>
      <c r="U1464" s="638">
        <v>2359</v>
      </c>
      <c r="V1464" s="636">
        <v>2022</v>
      </c>
      <c r="W1464" s="640"/>
      <c r="X1464" s="641">
        <f t="shared" si="66"/>
        <v>3.411191182704536</v>
      </c>
      <c r="Y1464" s="642" t="str">
        <f t="shared" si="67"/>
        <v/>
      </c>
      <c r="Z1464" s="642" t="str">
        <f t="shared" si="68"/>
        <v/>
      </c>
    </row>
    <row r="1465" spans="1:26" s="127" customFormat="1" ht="25">
      <c r="A1465" s="636">
        <v>60004</v>
      </c>
      <c r="B1465" s="637" t="s">
        <v>33</v>
      </c>
      <c r="C1465" s="636" t="s">
        <v>2725</v>
      </c>
      <c r="D1465" s="637" t="s">
        <v>1832</v>
      </c>
      <c r="E1465" s="637" t="s">
        <v>1908</v>
      </c>
      <c r="F1465" s="636">
        <v>60790</v>
      </c>
      <c r="G1465" s="637" t="s">
        <v>57</v>
      </c>
      <c r="H1465" s="637" t="s">
        <v>1162</v>
      </c>
      <c r="I1465" s="637" t="s">
        <v>58</v>
      </c>
      <c r="J1465" s="636">
        <v>22</v>
      </c>
      <c r="K1465" s="636">
        <v>2</v>
      </c>
      <c r="L1465" s="637" t="s">
        <v>52</v>
      </c>
      <c r="M1465" s="637" t="s">
        <v>441</v>
      </c>
      <c r="N1465" s="637" t="s">
        <v>442</v>
      </c>
      <c r="O1465" s="637" t="s">
        <v>442</v>
      </c>
      <c r="P1465" s="637" t="s">
        <v>1156</v>
      </c>
      <c r="Q1465" s="638">
        <v>0</v>
      </c>
      <c r="R1465" s="638">
        <v>0</v>
      </c>
      <c r="S1465" s="638">
        <v>9823</v>
      </c>
      <c r="T1465" s="638">
        <v>9823</v>
      </c>
      <c r="U1465" s="638">
        <v>2879</v>
      </c>
      <c r="V1465" s="636">
        <v>2022</v>
      </c>
      <c r="W1465" s="640"/>
      <c r="X1465" s="641">
        <f t="shared" si="66"/>
        <v>3.411948593261549</v>
      </c>
      <c r="Y1465" s="642" t="str">
        <f t="shared" si="67"/>
        <v/>
      </c>
      <c r="Z1465" s="642" t="str">
        <f t="shared" si="68"/>
        <v/>
      </c>
    </row>
    <row r="1466" spans="1:26" s="127" customFormat="1" ht="25">
      <c r="A1466" s="636">
        <v>60022</v>
      </c>
      <c r="B1466" s="637" t="s">
        <v>33</v>
      </c>
      <c r="C1466" s="636" t="s">
        <v>2725</v>
      </c>
      <c r="D1466" s="637" t="s">
        <v>1833</v>
      </c>
      <c r="E1466" s="637" t="s">
        <v>3049</v>
      </c>
      <c r="F1466" s="636">
        <v>63621</v>
      </c>
      <c r="G1466" s="637" t="s">
        <v>81</v>
      </c>
      <c r="H1466" s="637" t="s">
        <v>1163</v>
      </c>
      <c r="I1466" s="637" t="s">
        <v>58</v>
      </c>
      <c r="J1466" s="636">
        <v>22</v>
      </c>
      <c r="K1466" s="636">
        <v>2</v>
      </c>
      <c r="L1466" s="637" t="s">
        <v>52</v>
      </c>
      <c r="M1466" s="637" t="s">
        <v>441</v>
      </c>
      <c r="N1466" s="637" t="s">
        <v>442</v>
      </c>
      <c r="O1466" s="637" t="s">
        <v>442</v>
      </c>
      <c r="P1466" s="637" t="s">
        <v>1156</v>
      </c>
      <c r="Q1466" s="638">
        <v>0</v>
      </c>
      <c r="R1466" s="638">
        <v>0</v>
      </c>
      <c r="S1466" s="638">
        <v>14265</v>
      </c>
      <c r="T1466" s="638">
        <v>14265</v>
      </c>
      <c r="U1466" s="638">
        <v>4181</v>
      </c>
      <c r="V1466" s="636">
        <v>2022</v>
      </c>
      <c r="W1466" s="640"/>
      <c r="X1466" s="641">
        <f t="shared" si="66"/>
        <v>3.4118631906242527</v>
      </c>
      <c r="Y1466" s="642" t="str">
        <f t="shared" si="67"/>
        <v/>
      </c>
      <c r="Z1466" s="642" t="str">
        <f t="shared" si="68"/>
        <v/>
      </c>
    </row>
    <row r="1467" spans="1:26" s="127" customFormat="1" ht="25">
      <c r="A1467" s="636">
        <v>60040</v>
      </c>
      <c r="B1467" s="637" t="s">
        <v>33</v>
      </c>
      <c r="C1467" s="636" t="s">
        <v>2725</v>
      </c>
      <c r="D1467" s="637" t="s">
        <v>1834</v>
      </c>
      <c r="E1467" s="637" t="s">
        <v>1835</v>
      </c>
      <c r="F1467" s="636">
        <v>19497</v>
      </c>
      <c r="G1467" s="637" t="s">
        <v>41</v>
      </c>
      <c r="H1467" s="637" t="s">
        <v>1163</v>
      </c>
      <c r="I1467" s="637" t="s">
        <v>58</v>
      </c>
      <c r="J1467" s="636">
        <v>22</v>
      </c>
      <c r="K1467" s="636">
        <v>1</v>
      </c>
      <c r="L1467" s="637" t="s">
        <v>34</v>
      </c>
      <c r="M1467" s="637" t="s">
        <v>1232</v>
      </c>
      <c r="N1467" s="637" t="s">
        <v>39</v>
      </c>
      <c r="O1467" s="637" t="s">
        <v>39</v>
      </c>
      <c r="P1467" s="637" t="s">
        <v>1020</v>
      </c>
      <c r="Q1467" s="638">
        <v>129710</v>
      </c>
      <c r="R1467" s="638">
        <v>129710</v>
      </c>
      <c r="S1467" s="638">
        <v>134120</v>
      </c>
      <c r="T1467" s="638">
        <v>134120</v>
      </c>
      <c r="U1467" s="638">
        <v>15259</v>
      </c>
      <c r="V1467" s="636">
        <v>2022</v>
      </c>
      <c r="W1467" s="640"/>
      <c r="X1467" s="641">
        <f t="shared" si="66"/>
        <v>8.7895668130283759</v>
      </c>
      <c r="Y1467" s="642" t="str">
        <f t="shared" si="67"/>
        <v/>
      </c>
      <c r="Z1467" s="642" t="str">
        <f t="shared" si="68"/>
        <v/>
      </c>
    </row>
    <row r="1468" spans="1:26" s="127" customFormat="1" ht="25">
      <c r="A1468" s="636">
        <v>60045</v>
      </c>
      <c r="B1468" s="637" t="s">
        <v>33</v>
      </c>
      <c r="C1468" s="636" t="s">
        <v>2725</v>
      </c>
      <c r="D1468" s="637" t="s">
        <v>2285</v>
      </c>
      <c r="E1468" s="637" t="s">
        <v>3632</v>
      </c>
      <c r="F1468" s="636">
        <v>65411</v>
      </c>
      <c r="G1468" s="637" t="s">
        <v>57</v>
      </c>
      <c r="H1468" s="637" t="s">
        <v>1162</v>
      </c>
      <c r="I1468" s="637" t="s">
        <v>58</v>
      </c>
      <c r="J1468" s="636">
        <v>22</v>
      </c>
      <c r="K1468" s="636">
        <v>2</v>
      </c>
      <c r="L1468" s="637" t="s">
        <v>52</v>
      </c>
      <c r="M1468" s="637" t="s">
        <v>441</v>
      </c>
      <c r="N1468" s="637" t="s">
        <v>442</v>
      </c>
      <c r="O1468" s="637" t="s">
        <v>442</v>
      </c>
      <c r="P1468" s="637" t="s">
        <v>1156</v>
      </c>
      <c r="Q1468" s="638">
        <v>0</v>
      </c>
      <c r="R1468" s="638">
        <v>0</v>
      </c>
      <c r="S1468" s="638">
        <v>187960</v>
      </c>
      <c r="T1468" s="638">
        <v>187960</v>
      </c>
      <c r="U1468" s="638">
        <v>55088</v>
      </c>
      <c r="V1468" s="636">
        <v>2022</v>
      </c>
      <c r="W1468" s="640"/>
      <c r="X1468" s="641">
        <f t="shared" si="66"/>
        <v>3.4119953528899214</v>
      </c>
      <c r="Y1468" s="642" t="str">
        <f t="shared" si="67"/>
        <v/>
      </c>
      <c r="Z1468" s="642" t="str">
        <f t="shared" si="68"/>
        <v/>
      </c>
    </row>
    <row r="1469" spans="1:26" s="127" customFormat="1" ht="25">
      <c r="A1469" s="636">
        <v>60054</v>
      </c>
      <c r="B1469" s="637" t="s">
        <v>33</v>
      </c>
      <c r="C1469" s="636" t="s">
        <v>2725</v>
      </c>
      <c r="D1469" s="637" t="s">
        <v>1836</v>
      </c>
      <c r="E1469" s="637" t="s">
        <v>1835</v>
      </c>
      <c r="F1469" s="636">
        <v>19497</v>
      </c>
      <c r="G1469" s="637" t="s">
        <v>41</v>
      </c>
      <c r="H1469" s="637" t="s">
        <v>1163</v>
      </c>
      <c r="I1469" s="637" t="s">
        <v>58</v>
      </c>
      <c r="J1469" s="636">
        <v>22</v>
      </c>
      <c r="K1469" s="636">
        <v>1</v>
      </c>
      <c r="L1469" s="637" t="s">
        <v>34</v>
      </c>
      <c r="M1469" s="637" t="s">
        <v>1232</v>
      </c>
      <c r="N1469" s="637" t="s">
        <v>39</v>
      </c>
      <c r="O1469" s="637" t="s">
        <v>39</v>
      </c>
      <c r="P1469" s="637" t="s">
        <v>1020</v>
      </c>
      <c r="Q1469" s="638">
        <v>187148</v>
      </c>
      <c r="R1469" s="638">
        <v>187148</v>
      </c>
      <c r="S1469" s="638">
        <v>193511</v>
      </c>
      <c r="T1469" s="638">
        <v>193511</v>
      </c>
      <c r="U1469" s="638">
        <v>20324.7</v>
      </c>
      <c r="V1469" s="636">
        <v>2022</v>
      </c>
      <c r="W1469" s="640"/>
      <c r="X1469" s="641">
        <f t="shared" si="66"/>
        <v>9.5209769393890191</v>
      </c>
      <c r="Y1469" s="642" t="str">
        <f t="shared" si="67"/>
        <v/>
      </c>
      <c r="Z1469" s="642" t="str">
        <f t="shared" si="68"/>
        <v/>
      </c>
    </row>
    <row r="1470" spans="1:26" s="127" customFormat="1" ht="25">
      <c r="A1470" s="636">
        <v>60054</v>
      </c>
      <c r="B1470" s="637" t="s">
        <v>33</v>
      </c>
      <c r="C1470" s="636" t="s">
        <v>2725</v>
      </c>
      <c r="D1470" s="637" t="s">
        <v>1836</v>
      </c>
      <c r="E1470" s="637" t="s">
        <v>1835</v>
      </c>
      <c r="F1470" s="636">
        <v>19497</v>
      </c>
      <c r="G1470" s="637" t="s">
        <v>41</v>
      </c>
      <c r="H1470" s="637" t="s">
        <v>1163</v>
      </c>
      <c r="I1470" s="637" t="s">
        <v>58</v>
      </c>
      <c r="J1470" s="636">
        <v>22</v>
      </c>
      <c r="K1470" s="636">
        <v>1</v>
      </c>
      <c r="L1470" s="637" t="s">
        <v>34</v>
      </c>
      <c r="M1470" s="637" t="s">
        <v>441</v>
      </c>
      <c r="N1470" s="637" t="s">
        <v>442</v>
      </c>
      <c r="O1470" s="637" t="s">
        <v>442</v>
      </c>
      <c r="P1470" s="637" t="s">
        <v>1156</v>
      </c>
      <c r="Q1470" s="638">
        <v>0</v>
      </c>
      <c r="R1470" s="638">
        <v>0</v>
      </c>
      <c r="S1470" s="638">
        <v>2684</v>
      </c>
      <c r="T1470" s="638">
        <v>2684</v>
      </c>
      <c r="U1470" s="638">
        <v>786</v>
      </c>
      <c r="V1470" s="636">
        <v>2022</v>
      </c>
      <c r="W1470" s="640"/>
      <c r="X1470" s="641">
        <f t="shared" si="66"/>
        <v>3.4147582697201018</v>
      </c>
      <c r="Y1470" s="642" t="str">
        <f t="shared" si="67"/>
        <v/>
      </c>
      <c r="Z1470" s="642" t="str">
        <f t="shared" si="68"/>
        <v/>
      </c>
    </row>
    <row r="1471" spans="1:26" s="127" customFormat="1" ht="25">
      <c r="A1471" s="636">
        <v>60056</v>
      </c>
      <c r="B1471" s="637" t="s">
        <v>33</v>
      </c>
      <c r="C1471" s="636" t="s">
        <v>2725</v>
      </c>
      <c r="D1471" s="637" t="s">
        <v>1837</v>
      </c>
      <c r="E1471" s="637" t="s">
        <v>1837</v>
      </c>
      <c r="F1471" s="636">
        <v>59785</v>
      </c>
      <c r="G1471" s="637" t="s">
        <v>81</v>
      </c>
      <c r="H1471" s="637" t="s">
        <v>1163</v>
      </c>
      <c r="I1471" s="637" t="s">
        <v>58</v>
      </c>
      <c r="J1471" s="636">
        <v>22</v>
      </c>
      <c r="K1471" s="636">
        <v>2</v>
      </c>
      <c r="L1471" s="637" t="s">
        <v>52</v>
      </c>
      <c r="M1471" s="637" t="s">
        <v>441</v>
      </c>
      <c r="N1471" s="637" t="s">
        <v>442</v>
      </c>
      <c r="O1471" s="637" t="s">
        <v>442</v>
      </c>
      <c r="P1471" s="637" t="s">
        <v>1156</v>
      </c>
      <c r="Q1471" s="638">
        <v>0</v>
      </c>
      <c r="R1471" s="638">
        <v>0</v>
      </c>
      <c r="S1471" s="638">
        <v>27344</v>
      </c>
      <c r="T1471" s="638">
        <v>27344</v>
      </c>
      <c r="U1471" s="638">
        <v>8014</v>
      </c>
      <c r="V1471" s="636">
        <v>2022</v>
      </c>
      <c r="W1471" s="640"/>
      <c r="X1471" s="641">
        <f t="shared" si="66"/>
        <v>3.4120289493386573</v>
      </c>
      <c r="Y1471" s="642" t="str">
        <f t="shared" si="67"/>
        <v/>
      </c>
      <c r="Z1471" s="642" t="str">
        <f t="shared" si="68"/>
        <v/>
      </c>
    </row>
    <row r="1472" spans="1:26" s="127" customFormat="1" ht="25">
      <c r="A1472" s="636">
        <v>60065</v>
      </c>
      <c r="B1472" s="637" t="s">
        <v>33</v>
      </c>
      <c r="C1472" s="636" t="s">
        <v>2725</v>
      </c>
      <c r="D1472" s="637" t="s">
        <v>2286</v>
      </c>
      <c r="E1472" s="637" t="s">
        <v>1838</v>
      </c>
      <c r="F1472" s="636">
        <v>59804</v>
      </c>
      <c r="G1472" s="637" t="s">
        <v>81</v>
      </c>
      <c r="H1472" s="637" t="s">
        <v>1163</v>
      </c>
      <c r="I1472" s="637" t="s">
        <v>58</v>
      </c>
      <c r="J1472" s="636">
        <v>22</v>
      </c>
      <c r="K1472" s="636">
        <v>2</v>
      </c>
      <c r="L1472" s="637" t="s">
        <v>52</v>
      </c>
      <c r="M1472" s="637" t="s">
        <v>441</v>
      </c>
      <c r="N1472" s="637" t="s">
        <v>442</v>
      </c>
      <c r="O1472" s="637" t="s">
        <v>442</v>
      </c>
      <c r="P1472" s="637" t="s">
        <v>1156</v>
      </c>
      <c r="Q1472" s="638">
        <v>0</v>
      </c>
      <c r="R1472" s="638">
        <v>0</v>
      </c>
      <c r="S1472" s="638">
        <v>25937</v>
      </c>
      <c r="T1472" s="638">
        <v>25937</v>
      </c>
      <c r="U1472" s="638">
        <v>7602</v>
      </c>
      <c r="V1472" s="636">
        <v>2022</v>
      </c>
      <c r="W1472" s="640"/>
      <c r="X1472" s="641">
        <f t="shared" si="66"/>
        <v>3.4118652986056301</v>
      </c>
      <c r="Y1472" s="642" t="str">
        <f t="shared" si="67"/>
        <v/>
      </c>
      <c r="Z1472" s="642" t="str">
        <f t="shared" si="68"/>
        <v/>
      </c>
    </row>
    <row r="1473" spans="1:26" s="127" customFormat="1" ht="25">
      <c r="A1473" s="636">
        <v>60067</v>
      </c>
      <c r="B1473" s="637" t="s">
        <v>33</v>
      </c>
      <c r="C1473" s="636" t="s">
        <v>2725</v>
      </c>
      <c r="D1473" s="637" t="s">
        <v>2287</v>
      </c>
      <c r="E1473" s="637" t="s">
        <v>1839</v>
      </c>
      <c r="F1473" s="636">
        <v>59805</v>
      </c>
      <c r="G1473" s="637" t="s">
        <v>81</v>
      </c>
      <c r="H1473" s="637" t="s">
        <v>1163</v>
      </c>
      <c r="I1473" s="637" t="s">
        <v>58</v>
      </c>
      <c r="J1473" s="636">
        <v>22</v>
      </c>
      <c r="K1473" s="636">
        <v>2</v>
      </c>
      <c r="L1473" s="637" t="s">
        <v>52</v>
      </c>
      <c r="M1473" s="637" t="s">
        <v>441</v>
      </c>
      <c r="N1473" s="637" t="s">
        <v>442</v>
      </c>
      <c r="O1473" s="637" t="s">
        <v>442</v>
      </c>
      <c r="P1473" s="637" t="s">
        <v>1156</v>
      </c>
      <c r="Q1473" s="638">
        <v>0</v>
      </c>
      <c r="R1473" s="638">
        <v>0</v>
      </c>
      <c r="S1473" s="638">
        <v>7886</v>
      </c>
      <c r="T1473" s="638">
        <v>7886</v>
      </c>
      <c r="U1473" s="638">
        <v>2311</v>
      </c>
      <c r="V1473" s="636">
        <v>2022</v>
      </c>
      <c r="W1473" s="640"/>
      <c r="X1473" s="641">
        <f t="shared" si="66"/>
        <v>3.4123755949805279</v>
      </c>
      <c r="Y1473" s="642" t="str">
        <f t="shared" si="67"/>
        <v/>
      </c>
      <c r="Z1473" s="642" t="str">
        <f t="shared" si="68"/>
        <v/>
      </c>
    </row>
    <row r="1474" spans="1:26" s="127" customFormat="1" ht="25">
      <c r="A1474" s="636">
        <v>60073</v>
      </c>
      <c r="B1474" s="637" t="s">
        <v>33</v>
      </c>
      <c r="C1474" s="636" t="s">
        <v>2725</v>
      </c>
      <c r="D1474" s="637" t="s">
        <v>1840</v>
      </c>
      <c r="E1474" s="637" t="s">
        <v>1841</v>
      </c>
      <c r="F1474" s="636">
        <v>59822</v>
      </c>
      <c r="G1474" s="637" t="s">
        <v>81</v>
      </c>
      <c r="H1474" s="637" t="s">
        <v>1163</v>
      </c>
      <c r="I1474" s="637" t="s">
        <v>58</v>
      </c>
      <c r="J1474" s="636">
        <v>22</v>
      </c>
      <c r="K1474" s="636">
        <v>2</v>
      </c>
      <c r="L1474" s="637" t="s">
        <v>52</v>
      </c>
      <c r="M1474" s="637" t="s">
        <v>441</v>
      </c>
      <c r="N1474" s="637" t="s">
        <v>442</v>
      </c>
      <c r="O1474" s="637" t="s">
        <v>442</v>
      </c>
      <c r="P1474" s="637" t="s">
        <v>1156</v>
      </c>
      <c r="Q1474" s="638">
        <v>0</v>
      </c>
      <c r="R1474" s="638">
        <v>0</v>
      </c>
      <c r="S1474" s="638">
        <v>11077</v>
      </c>
      <c r="T1474" s="638">
        <v>11077</v>
      </c>
      <c r="U1474" s="638">
        <v>3246</v>
      </c>
      <c r="V1474" s="636">
        <v>2022</v>
      </c>
      <c r="W1474" s="640"/>
      <c r="X1474" s="641">
        <f t="shared" si="66"/>
        <v>3.4125077017868146</v>
      </c>
      <c r="Y1474" s="642" t="str">
        <f t="shared" si="67"/>
        <v/>
      </c>
      <c r="Z1474" s="642" t="str">
        <f t="shared" si="68"/>
        <v/>
      </c>
    </row>
    <row r="1475" spans="1:26" s="127" customFormat="1" ht="25">
      <c r="A1475" s="636">
        <v>60074</v>
      </c>
      <c r="B1475" s="637" t="s">
        <v>33</v>
      </c>
      <c r="C1475" s="636" t="s">
        <v>2725</v>
      </c>
      <c r="D1475" s="637" t="s">
        <v>1842</v>
      </c>
      <c r="E1475" s="637" t="s">
        <v>1843</v>
      </c>
      <c r="F1475" s="636">
        <v>59823</v>
      </c>
      <c r="G1475" s="637" t="s">
        <v>81</v>
      </c>
      <c r="H1475" s="637" t="s">
        <v>1163</v>
      </c>
      <c r="I1475" s="637" t="s">
        <v>58</v>
      </c>
      <c r="J1475" s="636">
        <v>22</v>
      </c>
      <c r="K1475" s="636">
        <v>2</v>
      </c>
      <c r="L1475" s="637" t="s">
        <v>52</v>
      </c>
      <c r="M1475" s="637" t="s">
        <v>441</v>
      </c>
      <c r="N1475" s="637" t="s">
        <v>442</v>
      </c>
      <c r="O1475" s="637" t="s">
        <v>442</v>
      </c>
      <c r="P1475" s="637" t="s">
        <v>1156</v>
      </c>
      <c r="Q1475" s="638">
        <v>0</v>
      </c>
      <c r="R1475" s="638">
        <v>0</v>
      </c>
      <c r="S1475" s="638">
        <v>12541</v>
      </c>
      <c r="T1475" s="638">
        <v>12541</v>
      </c>
      <c r="U1475" s="638">
        <v>3675</v>
      </c>
      <c r="V1475" s="636">
        <v>2022</v>
      </c>
      <c r="W1475" s="640"/>
      <c r="X1475" s="641">
        <f t="shared" si="66"/>
        <v>3.4125170068027213</v>
      </c>
      <c r="Y1475" s="642" t="str">
        <f t="shared" si="67"/>
        <v/>
      </c>
      <c r="Z1475" s="642" t="str">
        <f t="shared" si="68"/>
        <v/>
      </c>
    </row>
    <row r="1476" spans="1:26" s="127" customFormat="1" ht="25">
      <c r="A1476" s="636">
        <v>60075</v>
      </c>
      <c r="B1476" s="637" t="s">
        <v>33</v>
      </c>
      <c r="C1476" s="636" t="s">
        <v>2725</v>
      </c>
      <c r="D1476" s="637" t="s">
        <v>1844</v>
      </c>
      <c r="E1476" s="637" t="s">
        <v>1845</v>
      </c>
      <c r="F1476" s="636">
        <v>59824</v>
      </c>
      <c r="G1476" s="637" t="s">
        <v>81</v>
      </c>
      <c r="H1476" s="637" t="s">
        <v>1163</v>
      </c>
      <c r="I1476" s="637" t="s">
        <v>58</v>
      </c>
      <c r="J1476" s="636">
        <v>22</v>
      </c>
      <c r="K1476" s="636">
        <v>2</v>
      </c>
      <c r="L1476" s="637" t="s">
        <v>52</v>
      </c>
      <c r="M1476" s="637" t="s">
        <v>441</v>
      </c>
      <c r="N1476" s="637" t="s">
        <v>442</v>
      </c>
      <c r="O1476" s="637" t="s">
        <v>442</v>
      </c>
      <c r="P1476" s="637" t="s">
        <v>1156</v>
      </c>
      <c r="Q1476" s="638">
        <v>0</v>
      </c>
      <c r="R1476" s="638">
        <v>0</v>
      </c>
      <c r="S1476" s="638">
        <v>27600</v>
      </c>
      <c r="T1476" s="638">
        <v>27600</v>
      </c>
      <c r="U1476" s="638">
        <v>8089</v>
      </c>
      <c r="V1476" s="636">
        <v>2022</v>
      </c>
      <c r="W1476" s="640"/>
      <c r="X1476" s="641">
        <f t="shared" si="66"/>
        <v>3.4120410433922612</v>
      </c>
      <c r="Y1476" s="642" t="str">
        <f t="shared" si="67"/>
        <v/>
      </c>
      <c r="Z1476" s="642" t="str">
        <f t="shared" si="68"/>
        <v/>
      </c>
    </row>
    <row r="1477" spans="1:26" s="127" customFormat="1" ht="25">
      <c r="A1477" s="636">
        <v>60076</v>
      </c>
      <c r="B1477" s="637" t="s">
        <v>33</v>
      </c>
      <c r="C1477" s="636" t="s">
        <v>2725</v>
      </c>
      <c r="D1477" s="637" t="s">
        <v>1909</v>
      </c>
      <c r="E1477" s="637" t="s">
        <v>1910</v>
      </c>
      <c r="F1477" s="636">
        <v>59826</v>
      </c>
      <c r="G1477" s="637" t="s">
        <v>81</v>
      </c>
      <c r="H1477" s="637" t="s">
        <v>1163</v>
      </c>
      <c r="I1477" s="637" t="s">
        <v>58</v>
      </c>
      <c r="J1477" s="636">
        <v>22</v>
      </c>
      <c r="K1477" s="636">
        <v>2</v>
      </c>
      <c r="L1477" s="637" t="s">
        <v>52</v>
      </c>
      <c r="M1477" s="637" t="s">
        <v>441</v>
      </c>
      <c r="N1477" s="637" t="s">
        <v>442</v>
      </c>
      <c r="O1477" s="637" t="s">
        <v>442</v>
      </c>
      <c r="P1477" s="637" t="s">
        <v>1156</v>
      </c>
      <c r="Q1477" s="638">
        <v>0</v>
      </c>
      <c r="R1477" s="638">
        <v>0</v>
      </c>
      <c r="S1477" s="638">
        <v>22053</v>
      </c>
      <c r="T1477" s="638">
        <v>22053</v>
      </c>
      <c r="U1477" s="638">
        <v>6463</v>
      </c>
      <c r="V1477" s="636">
        <v>2022</v>
      </c>
      <c r="W1477" s="640"/>
      <c r="X1477" s="641">
        <f t="shared" si="66"/>
        <v>3.4121924802723194</v>
      </c>
      <c r="Y1477" s="642" t="str">
        <f t="shared" si="67"/>
        <v/>
      </c>
      <c r="Z1477" s="642" t="str">
        <f t="shared" si="68"/>
        <v/>
      </c>
    </row>
    <row r="1478" spans="1:26" s="127" customFormat="1" ht="25">
      <c r="A1478" s="636">
        <v>60097</v>
      </c>
      <c r="B1478" s="637" t="s">
        <v>33</v>
      </c>
      <c r="C1478" s="636" t="s">
        <v>2725</v>
      </c>
      <c r="D1478" s="637" t="s">
        <v>1911</v>
      </c>
      <c r="E1478" s="637" t="s">
        <v>1883</v>
      </c>
      <c r="F1478" s="636">
        <v>60947</v>
      </c>
      <c r="G1478" s="637" t="s">
        <v>57</v>
      </c>
      <c r="H1478" s="637" t="s">
        <v>1162</v>
      </c>
      <c r="I1478" s="637" t="s">
        <v>58</v>
      </c>
      <c r="J1478" s="636">
        <v>22</v>
      </c>
      <c r="K1478" s="636">
        <v>2</v>
      </c>
      <c r="L1478" s="637" t="s">
        <v>52</v>
      </c>
      <c r="M1478" s="637" t="s">
        <v>441</v>
      </c>
      <c r="N1478" s="637" t="s">
        <v>442</v>
      </c>
      <c r="O1478" s="637" t="s">
        <v>442</v>
      </c>
      <c r="P1478" s="637" t="s">
        <v>1156</v>
      </c>
      <c r="Q1478" s="638">
        <v>0</v>
      </c>
      <c r="R1478" s="638">
        <v>0</v>
      </c>
      <c r="S1478" s="638">
        <v>4240</v>
      </c>
      <c r="T1478" s="638">
        <v>4240</v>
      </c>
      <c r="U1478" s="638">
        <v>1242</v>
      </c>
      <c r="V1478" s="636">
        <v>2022</v>
      </c>
      <c r="W1478" s="640"/>
      <c r="X1478" s="641">
        <f t="shared" si="66"/>
        <v>3.4138486312399356</v>
      </c>
      <c r="Y1478" s="642" t="str">
        <f t="shared" si="67"/>
        <v/>
      </c>
      <c r="Z1478" s="642" t="str">
        <f t="shared" si="68"/>
        <v/>
      </c>
    </row>
    <row r="1479" spans="1:26" s="127" customFormat="1" ht="25">
      <c r="A1479" s="636">
        <v>60098</v>
      </c>
      <c r="B1479" s="637" t="s">
        <v>33</v>
      </c>
      <c r="C1479" s="636" t="s">
        <v>2725</v>
      </c>
      <c r="D1479" s="637" t="s">
        <v>1912</v>
      </c>
      <c r="E1479" s="637" t="s">
        <v>1883</v>
      </c>
      <c r="F1479" s="636">
        <v>60947</v>
      </c>
      <c r="G1479" s="637" t="s">
        <v>57</v>
      </c>
      <c r="H1479" s="637" t="s">
        <v>1162</v>
      </c>
      <c r="I1479" s="637" t="s">
        <v>58</v>
      </c>
      <c r="J1479" s="636">
        <v>22</v>
      </c>
      <c r="K1479" s="636">
        <v>2</v>
      </c>
      <c r="L1479" s="637" t="s">
        <v>52</v>
      </c>
      <c r="M1479" s="637" t="s">
        <v>441</v>
      </c>
      <c r="N1479" s="637" t="s">
        <v>442</v>
      </c>
      <c r="O1479" s="637" t="s">
        <v>442</v>
      </c>
      <c r="P1479" s="637" t="s">
        <v>1156</v>
      </c>
      <c r="Q1479" s="638">
        <v>0</v>
      </c>
      <c r="R1479" s="638">
        <v>0</v>
      </c>
      <c r="S1479" s="638">
        <v>7673</v>
      </c>
      <c r="T1479" s="638">
        <v>7673</v>
      </c>
      <c r="U1479" s="638">
        <v>2249</v>
      </c>
      <c r="V1479" s="636">
        <v>2022</v>
      </c>
      <c r="W1479" s="640"/>
      <c r="X1479" s="641">
        <f t="shared" si="66"/>
        <v>3.411738550466874</v>
      </c>
      <c r="Y1479" s="642" t="str">
        <f t="shared" si="67"/>
        <v/>
      </c>
      <c r="Z1479" s="642" t="str">
        <f t="shared" si="68"/>
        <v/>
      </c>
    </row>
    <row r="1480" spans="1:26" s="127" customFormat="1" ht="25">
      <c r="A1480" s="636">
        <v>60099</v>
      </c>
      <c r="B1480" s="637" t="s">
        <v>33</v>
      </c>
      <c r="C1480" s="636" t="s">
        <v>2725</v>
      </c>
      <c r="D1480" s="637" t="s">
        <v>1913</v>
      </c>
      <c r="E1480" s="637" t="s">
        <v>1883</v>
      </c>
      <c r="F1480" s="636">
        <v>60947</v>
      </c>
      <c r="G1480" s="637" t="s">
        <v>81</v>
      </c>
      <c r="H1480" s="637" t="s">
        <v>1163</v>
      </c>
      <c r="I1480" s="637" t="s">
        <v>58</v>
      </c>
      <c r="J1480" s="636">
        <v>22</v>
      </c>
      <c r="K1480" s="636">
        <v>2</v>
      </c>
      <c r="L1480" s="637" t="s">
        <v>52</v>
      </c>
      <c r="M1480" s="637" t="s">
        <v>441</v>
      </c>
      <c r="N1480" s="637" t="s">
        <v>442</v>
      </c>
      <c r="O1480" s="637" t="s">
        <v>442</v>
      </c>
      <c r="P1480" s="637" t="s">
        <v>1156</v>
      </c>
      <c r="Q1480" s="638">
        <v>0</v>
      </c>
      <c r="R1480" s="638">
        <v>0</v>
      </c>
      <c r="S1480" s="638">
        <v>6245</v>
      </c>
      <c r="T1480" s="638">
        <v>6245</v>
      </c>
      <c r="U1480" s="638">
        <v>1830</v>
      </c>
      <c r="V1480" s="636">
        <v>2022</v>
      </c>
      <c r="W1480" s="640"/>
      <c r="X1480" s="641">
        <f t="shared" ref="X1480:X1543" si="69">IF(OR(K1480&gt;3,T1480=0,NOT(U1480&gt;0)),"",T1480/U1480)</f>
        <v>3.4125683060109289</v>
      </c>
      <c r="Y1480" s="642" t="str">
        <f t="shared" ref="Y1480:Y1543" si="70">IF(AND($M1480=$Y$2,$N1480=$Y$3,NOT($Q1480=$R1480),NOT($U1480=0)),IF($K1480=5,$S1480/($U1480+(8/5)*$U1480),IF($K1480=7,$S1480/($U1480+(29/25)*$U1480),"")),"")</f>
        <v/>
      </c>
      <c r="Z1480" s="642" t="str">
        <f t="shared" si="68"/>
        <v/>
      </c>
    </row>
    <row r="1481" spans="1:26" s="127" customFormat="1" ht="25">
      <c r="A1481" s="636">
        <v>60109</v>
      </c>
      <c r="B1481" s="637" t="s">
        <v>33</v>
      </c>
      <c r="C1481" s="636" t="s">
        <v>2725</v>
      </c>
      <c r="D1481" s="637" t="s">
        <v>1914</v>
      </c>
      <c r="E1481" s="637" t="s">
        <v>1915</v>
      </c>
      <c r="F1481" s="636">
        <v>59885</v>
      </c>
      <c r="G1481" s="637" t="s">
        <v>41</v>
      </c>
      <c r="H1481" s="637" t="s">
        <v>1163</v>
      </c>
      <c r="I1481" s="637" t="s">
        <v>58</v>
      </c>
      <c r="J1481" s="636">
        <v>22</v>
      </c>
      <c r="K1481" s="636">
        <v>2</v>
      </c>
      <c r="L1481" s="637" t="s">
        <v>52</v>
      </c>
      <c r="M1481" s="637" t="s">
        <v>1232</v>
      </c>
      <c r="N1481" s="637" t="s">
        <v>39</v>
      </c>
      <c r="O1481" s="637" t="s">
        <v>39</v>
      </c>
      <c r="P1481" s="637" t="s">
        <v>1020</v>
      </c>
      <c r="Q1481" s="638">
        <v>183216</v>
      </c>
      <c r="R1481" s="638">
        <v>183216</v>
      </c>
      <c r="S1481" s="638">
        <v>189447</v>
      </c>
      <c r="T1481" s="638">
        <v>189447</v>
      </c>
      <c r="U1481" s="638">
        <v>23515</v>
      </c>
      <c r="V1481" s="636">
        <v>2022</v>
      </c>
      <c r="W1481" s="640"/>
      <c r="X1481" s="641">
        <f t="shared" si="69"/>
        <v>8.0564320646395924</v>
      </c>
      <c r="Y1481" s="642" t="str">
        <f t="shared" si="70"/>
        <v/>
      </c>
      <c r="Z1481" s="642" t="str">
        <f t="shared" si="68"/>
        <v/>
      </c>
    </row>
    <row r="1482" spans="1:26" s="127" customFormat="1" ht="25">
      <c r="A1482" s="636">
        <v>60110</v>
      </c>
      <c r="B1482" s="637" t="s">
        <v>33</v>
      </c>
      <c r="C1482" s="636" t="s">
        <v>2725</v>
      </c>
      <c r="D1482" s="637" t="s">
        <v>2288</v>
      </c>
      <c r="E1482" s="637" t="s">
        <v>1883</v>
      </c>
      <c r="F1482" s="636">
        <v>60947</v>
      </c>
      <c r="G1482" s="637" t="s">
        <v>81</v>
      </c>
      <c r="H1482" s="637" t="s">
        <v>1163</v>
      </c>
      <c r="I1482" s="637" t="s">
        <v>58</v>
      </c>
      <c r="J1482" s="636">
        <v>22</v>
      </c>
      <c r="K1482" s="636">
        <v>2</v>
      </c>
      <c r="L1482" s="637" t="s">
        <v>52</v>
      </c>
      <c r="M1482" s="637" t="s">
        <v>441</v>
      </c>
      <c r="N1482" s="637" t="s">
        <v>442</v>
      </c>
      <c r="O1482" s="637" t="s">
        <v>442</v>
      </c>
      <c r="P1482" s="637" t="s">
        <v>1156</v>
      </c>
      <c r="Q1482" s="638">
        <v>0</v>
      </c>
      <c r="R1482" s="638">
        <v>0</v>
      </c>
      <c r="S1482" s="638">
        <v>12665</v>
      </c>
      <c r="T1482" s="638">
        <v>12665</v>
      </c>
      <c r="U1482" s="638">
        <v>3712</v>
      </c>
      <c r="V1482" s="636">
        <v>2022</v>
      </c>
      <c r="W1482" s="640"/>
      <c r="X1482" s="641">
        <f t="shared" si="69"/>
        <v>3.4119073275862069</v>
      </c>
      <c r="Y1482" s="642" t="str">
        <f t="shared" si="70"/>
        <v/>
      </c>
      <c r="Z1482" s="642" t="str">
        <f t="shared" si="68"/>
        <v/>
      </c>
    </row>
    <row r="1483" spans="1:26" s="127" customFormat="1" ht="25">
      <c r="A1483" s="636">
        <v>60111</v>
      </c>
      <c r="B1483" s="637" t="s">
        <v>33</v>
      </c>
      <c r="C1483" s="636" t="s">
        <v>2725</v>
      </c>
      <c r="D1483" s="637" t="s">
        <v>2289</v>
      </c>
      <c r="E1483" s="637" t="s">
        <v>1883</v>
      </c>
      <c r="F1483" s="636">
        <v>60947</v>
      </c>
      <c r="G1483" s="637" t="s">
        <v>81</v>
      </c>
      <c r="H1483" s="637" t="s">
        <v>1163</v>
      </c>
      <c r="I1483" s="637" t="s">
        <v>58</v>
      </c>
      <c r="J1483" s="636">
        <v>22</v>
      </c>
      <c r="K1483" s="636">
        <v>2</v>
      </c>
      <c r="L1483" s="637" t="s">
        <v>52</v>
      </c>
      <c r="M1483" s="637" t="s">
        <v>441</v>
      </c>
      <c r="N1483" s="637" t="s">
        <v>442</v>
      </c>
      <c r="O1483" s="637" t="s">
        <v>442</v>
      </c>
      <c r="P1483" s="637" t="s">
        <v>1156</v>
      </c>
      <c r="Q1483" s="638">
        <v>0</v>
      </c>
      <c r="R1483" s="638">
        <v>0</v>
      </c>
      <c r="S1483" s="638">
        <v>11803</v>
      </c>
      <c r="T1483" s="638">
        <v>11803</v>
      </c>
      <c r="U1483" s="638">
        <v>3459</v>
      </c>
      <c r="V1483" s="636">
        <v>2022</v>
      </c>
      <c r="W1483" s="640"/>
      <c r="X1483" s="641">
        <f t="shared" si="69"/>
        <v>3.4122578779994219</v>
      </c>
      <c r="Y1483" s="642" t="str">
        <f t="shared" si="70"/>
        <v/>
      </c>
      <c r="Z1483" s="642" t="str">
        <f t="shared" si="68"/>
        <v/>
      </c>
    </row>
    <row r="1484" spans="1:26" s="127" customFormat="1" ht="25">
      <c r="A1484" s="636">
        <v>60114</v>
      </c>
      <c r="B1484" s="637" t="s">
        <v>33</v>
      </c>
      <c r="C1484" s="636" t="s">
        <v>2725</v>
      </c>
      <c r="D1484" s="637" t="s">
        <v>1916</v>
      </c>
      <c r="E1484" s="637" t="s">
        <v>1883</v>
      </c>
      <c r="F1484" s="636">
        <v>60947</v>
      </c>
      <c r="G1484" s="637" t="s">
        <v>57</v>
      </c>
      <c r="H1484" s="637" t="s">
        <v>1162</v>
      </c>
      <c r="I1484" s="637" t="s">
        <v>58</v>
      </c>
      <c r="J1484" s="636">
        <v>22</v>
      </c>
      <c r="K1484" s="636">
        <v>2</v>
      </c>
      <c r="L1484" s="637" t="s">
        <v>52</v>
      </c>
      <c r="M1484" s="637" t="s">
        <v>441</v>
      </c>
      <c r="N1484" s="637" t="s">
        <v>442</v>
      </c>
      <c r="O1484" s="637" t="s">
        <v>442</v>
      </c>
      <c r="P1484" s="637" t="s">
        <v>1156</v>
      </c>
      <c r="Q1484" s="638">
        <v>0</v>
      </c>
      <c r="R1484" s="638">
        <v>0</v>
      </c>
      <c r="S1484" s="638">
        <v>6878</v>
      </c>
      <c r="T1484" s="638">
        <v>6878</v>
      </c>
      <c r="U1484" s="638">
        <v>2015</v>
      </c>
      <c r="V1484" s="636">
        <v>2022</v>
      </c>
      <c r="W1484" s="640"/>
      <c r="X1484" s="641">
        <f t="shared" si="69"/>
        <v>3.4133995037220846</v>
      </c>
      <c r="Y1484" s="642" t="str">
        <f t="shared" si="70"/>
        <v/>
      </c>
      <c r="Z1484" s="642" t="str">
        <f t="shared" si="68"/>
        <v/>
      </c>
    </row>
    <row r="1485" spans="1:26" s="127" customFormat="1" ht="25">
      <c r="A1485" s="636">
        <v>60115</v>
      </c>
      <c r="B1485" s="637" t="s">
        <v>33</v>
      </c>
      <c r="C1485" s="636" t="s">
        <v>2725</v>
      </c>
      <c r="D1485" s="637" t="s">
        <v>1917</v>
      </c>
      <c r="E1485" s="637" t="s">
        <v>1883</v>
      </c>
      <c r="F1485" s="636">
        <v>60947</v>
      </c>
      <c r="G1485" s="637" t="s">
        <v>57</v>
      </c>
      <c r="H1485" s="637" t="s">
        <v>1162</v>
      </c>
      <c r="I1485" s="637" t="s">
        <v>58</v>
      </c>
      <c r="J1485" s="636">
        <v>22</v>
      </c>
      <c r="K1485" s="636">
        <v>2</v>
      </c>
      <c r="L1485" s="637" t="s">
        <v>52</v>
      </c>
      <c r="M1485" s="637" t="s">
        <v>441</v>
      </c>
      <c r="N1485" s="637" t="s">
        <v>442</v>
      </c>
      <c r="O1485" s="637" t="s">
        <v>442</v>
      </c>
      <c r="P1485" s="637" t="s">
        <v>1156</v>
      </c>
      <c r="Q1485" s="638">
        <v>0</v>
      </c>
      <c r="R1485" s="638">
        <v>0</v>
      </c>
      <c r="S1485" s="638">
        <v>5362</v>
      </c>
      <c r="T1485" s="638">
        <v>5362</v>
      </c>
      <c r="U1485" s="638">
        <v>1571</v>
      </c>
      <c r="V1485" s="636">
        <v>2022</v>
      </c>
      <c r="W1485" s="640"/>
      <c r="X1485" s="641">
        <f t="shared" si="69"/>
        <v>3.413112667091025</v>
      </c>
      <c r="Y1485" s="642" t="str">
        <f t="shared" si="70"/>
        <v/>
      </c>
      <c r="Z1485" s="642" t="str">
        <f t="shared" si="68"/>
        <v/>
      </c>
    </row>
    <row r="1486" spans="1:26" s="127" customFormat="1" ht="25">
      <c r="A1486" s="636">
        <v>60116</v>
      </c>
      <c r="B1486" s="637" t="s">
        <v>33</v>
      </c>
      <c r="C1486" s="636" t="s">
        <v>2725</v>
      </c>
      <c r="D1486" s="637" t="s">
        <v>1918</v>
      </c>
      <c r="E1486" s="637" t="s">
        <v>1883</v>
      </c>
      <c r="F1486" s="636">
        <v>60947</v>
      </c>
      <c r="G1486" s="637" t="s">
        <v>81</v>
      </c>
      <c r="H1486" s="637" t="s">
        <v>1163</v>
      </c>
      <c r="I1486" s="637" t="s">
        <v>58</v>
      </c>
      <c r="J1486" s="636">
        <v>22</v>
      </c>
      <c r="K1486" s="636">
        <v>2</v>
      </c>
      <c r="L1486" s="637" t="s">
        <v>52</v>
      </c>
      <c r="M1486" s="637" t="s">
        <v>441</v>
      </c>
      <c r="N1486" s="637" t="s">
        <v>442</v>
      </c>
      <c r="O1486" s="637" t="s">
        <v>442</v>
      </c>
      <c r="P1486" s="637" t="s">
        <v>1156</v>
      </c>
      <c r="Q1486" s="638">
        <v>0</v>
      </c>
      <c r="R1486" s="638">
        <v>0</v>
      </c>
      <c r="S1486" s="638">
        <v>3279</v>
      </c>
      <c r="T1486" s="638">
        <v>3279</v>
      </c>
      <c r="U1486" s="638">
        <v>961</v>
      </c>
      <c r="V1486" s="636">
        <v>2022</v>
      </c>
      <c r="W1486" s="640"/>
      <c r="X1486" s="641">
        <f t="shared" si="69"/>
        <v>3.4120707596253901</v>
      </c>
      <c r="Y1486" s="642" t="str">
        <f t="shared" si="70"/>
        <v/>
      </c>
      <c r="Z1486" s="642" t="str">
        <f t="shared" si="68"/>
        <v/>
      </c>
    </row>
    <row r="1487" spans="1:26" s="127" customFormat="1" ht="25">
      <c r="A1487" s="636">
        <v>60150</v>
      </c>
      <c r="B1487" s="637" t="s">
        <v>33</v>
      </c>
      <c r="C1487" s="636" t="s">
        <v>2725</v>
      </c>
      <c r="D1487" s="637" t="s">
        <v>1846</v>
      </c>
      <c r="E1487" s="637" t="s">
        <v>1847</v>
      </c>
      <c r="F1487" s="636">
        <v>59942</v>
      </c>
      <c r="G1487" s="637" t="s">
        <v>57</v>
      </c>
      <c r="H1487" s="637" t="s">
        <v>1162</v>
      </c>
      <c r="I1487" s="637" t="s">
        <v>58</v>
      </c>
      <c r="J1487" s="636">
        <v>22</v>
      </c>
      <c r="K1487" s="636">
        <v>2</v>
      </c>
      <c r="L1487" s="637" t="s">
        <v>52</v>
      </c>
      <c r="M1487" s="637" t="s">
        <v>441</v>
      </c>
      <c r="N1487" s="637" t="s">
        <v>442</v>
      </c>
      <c r="O1487" s="637" t="s">
        <v>442</v>
      </c>
      <c r="P1487" s="637" t="s">
        <v>1156</v>
      </c>
      <c r="Q1487" s="638">
        <v>0</v>
      </c>
      <c r="R1487" s="638">
        <v>0</v>
      </c>
      <c r="S1487" s="638">
        <v>10551</v>
      </c>
      <c r="T1487" s="638">
        <v>10551</v>
      </c>
      <c r="U1487" s="638">
        <v>3093</v>
      </c>
      <c r="V1487" s="636">
        <v>2022</v>
      </c>
      <c r="W1487" s="640"/>
      <c r="X1487" s="641">
        <f t="shared" si="69"/>
        <v>3.4112512124151309</v>
      </c>
      <c r="Y1487" s="642" t="str">
        <f t="shared" si="70"/>
        <v/>
      </c>
      <c r="Z1487" s="642" t="str">
        <f t="shared" si="68"/>
        <v/>
      </c>
    </row>
    <row r="1488" spans="1:26" s="127" customFormat="1" ht="25">
      <c r="A1488" s="636">
        <v>60225</v>
      </c>
      <c r="B1488" s="637" t="s">
        <v>33</v>
      </c>
      <c r="C1488" s="636" t="s">
        <v>2725</v>
      </c>
      <c r="D1488" s="637" t="s">
        <v>1919</v>
      </c>
      <c r="E1488" s="637" t="s">
        <v>1883</v>
      </c>
      <c r="F1488" s="636">
        <v>60947</v>
      </c>
      <c r="G1488" s="637" t="s">
        <v>41</v>
      </c>
      <c r="H1488" s="637" t="s">
        <v>1163</v>
      </c>
      <c r="I1488" s="637" t="s">
        <v>58</v>
      </c>
      <c r="J1488" s="636">
        <v>22</v>
      </c>
      <c r="K1488" s="636">
        <v>2</v>
      </c>
      <c r="L1488" s="637" t="s">
        <v>52</v>
      </c>
      <c r="M1488" s="637" t="s">
        <v>441</v>
      </c>
      <c r="N1488" s="637" t="s">
        <v>442</v>
      </c>
      <c r="O1488" s="637" t="s">
        <v>442</v>
      </c>
      <c r="P1488" s="637" t="s">
        <v>1156</v>
      </c>
      <c r="Q1488" s="638">
        <v>0</v>
      </c>
      <c r="R1488" s="638">
        <v>0</v>
      </c>
      <c r="S1488" s="638">
        <v>10846</v>
      </c>
      <c r="T1488" s="638">
        <v>10846</v>
      </c>
      <c r="U1488" s="638">
        <v>3179</v>
      </c>
      <c r="V1488" s="636">
        <v>2022</v>
      </c>
      <c r="W1488" s="640"/>
      <c r="X1488" s="641">
        <f t="shared" si="69"/>
        <v>3.4117647058823528</v>
      </c>
      <c r="Y1488" s="642" t="str">
        <f t="shared" si="70"/>
        <v/>
      </c>
      <c r="Z1488" s="642" t="str">
        <f t="shared" ref="Z1488:Z1551" si="71">IF(AND($M1488=$Y$2,$N1488=$Y$4,NOT($Q1488=$R1488),NOT($U1488=0)),IF($K1488=5,$S1488/($U1488+(8/5)*$U1488),IF($K1488=7,$S1488/($U1488+(29/25)*$U1488),"")),"")</f>
        <v/>
      </c>
    </row>
    <row r="1489" spans="1:26" s="127" customFormat="1" ht="25">
      <c r="A1489" s="636">
        <v>60228</v>
      </c>
      <c r="B1489" s="637" t="s">
        <v>33</v>
      </c>
      <c r="C1489" s="636" t="s">
        <v>2725</v>
      </c>
      <c r="D1489" s="637" t="s">
        <v>1920</v>
      </c>
      <c r="E1489" s="637" t="s">
        <v>1883</v>
      </c>
      <c r="F1489" s="636">
        <v>60947</v>
      </c>
      <c r="G1489" s="637" t="s">
        <v>41</v>
      </c>
      <c r="H1489" s="637" t="s">
        <v>1163</v>
      </c>
      <c r="I1489" s="637" t="s">
        <v>58</v>
      </c>
      <c r="J1489" s="636">
        <v>22</v>
      </c>
      <c r="K1489" s="636">
        <v>2</v>
      </c>
      <c r="L1489" s="637" t="s">
        <v>52</v>
      </c>
      <c r="M1489" s="637" t="s">
        <v>441</v>
      </c>
      <c r="N1489" s="637" t="s">
        <v>442</v>
      </c>
      <c r="O1489" s="637" t="s">
        <v>442</v>
      </c>
      <c r="P1489" s="637" t="s">
        <v>1156</v>
      </c>
      <c r="Q1489" s="638">
        <v>0</v>
      </c>
      <c r="R1489" s="638">
        <v>0</v>
      </c>
      <c r="S1489" s="638">
        <v>4714</v>
      </c>
      <c r="T1489" s="638">
        <v>4714</v>
      </c>
      <c r="U1489" s="638">
        <v>1382</v>
      </c>
      <c r="V1489" s="636">
        <v>2022</v>
      </c>
      <c r="W1489" s="640"/>
      <c r="X1489" s="641">
        <f t="shared" si="69"/>
        <v>3.4109985528219973</v>
      </c>
      <c r="Y1489" s="642" t="str">
        <f t="shared" si="70"/>
        <v/>
      </c>
      <c r="Z1489" s="642" t="str">
        <f t="shared" si="71"/>
        <v/>
      </c>
    </row>
    <row r="1490" spans="1:26" s="127" customFormat="1" ht="25">
      <c r="A1490" s="636">
        <v>60229</v>
      </c>
      <c r="B1490" s="637" t="s">
        <v>33</v>
      </c>
      <c r="C1490" s="636" t="s">
        <v>2725</v>
      </c>
      <c r="D1490" s="637" t="s">
        <v>1921</v>
      </c>
      <c r="E1490" s="637" t="s">
        <v>1883</v>
      </c>
      <c r="F1490" s="636">
        <v>60947</v>
      </c>
      <c r="G1490" s="637" t="s">
        <v>57</v>
      </c>
      <c r="H1490" s="637" t="s">
        <v>1162</v>
      </c>
      <c r="I1490" s="637" t="s">
        <v>58</v>
      </c>
      <c r="J1490" s="636">
        <v>22</v>
      </c>
      <c r="K1490" s="636">
        <v>2</v>
      </c>
      <c r="L1490" s="637" t="s">
        <v>52</v>
      </c>
      <c r="M1490" s="637" t="s">
        <v>441</v>
      </c>
      <c r="N1490" s="637" t="s">
        <v>442</v>
      </c>
      <c r="O1490" s="637" t="s">
        <v>442</v>
      </c>
      <c r="P1490" s="637" t="s">
        <v>1156</v>
      </c>
      <c r="Q1490" s="638">
        <v>0</v>
      </c>
      <c r="R1490" s="638">
        <v>0</v>
      </c>
      <c r="S1490" s="638">
        <v>8436</v>
      </c>
      <c r="T1490" s="638">
        <v>8436</v>
      </c>
      <c r="U1490" s="638">
        <v>2472</v>
      </c>
      <c r="V1490" s="636">
        <v>2022</v>
      </c>
      <c r="W1490" s="640"/>
      <c r="X1490" s="641">
        <f t="shared" si="69"/>
        <v>3.412621359223301</v>
      </c>
      <c r="Y1490" s="642" t="str">
        <f t="shared" si="70"/>
        <v/>
      </c>
      <c r="Z1490" s="642" t="str">
        <f t="shared" si="71"/>
        <v/>
      </c>
    </row>
    <row r="1491" spans="1:26" s="127" customFormat="1" ht="25">
      <c r="A1491" s="636">
        <v>60232</v>
      </c>
      <c r="B1491" s="637" t="s">
        <v>33</v>
      </c>
      <c r="C1491" s="636" t="s">
        <v>2725</v>
      </c>
      <c r="D1491" s="637" t="s">
        <v>1922</v>
      </c>
      <c r="E1491" s="637" t="s">
        <v>1883</v>
      </c>
      <c r="F1491" s="636">
        <v>60947</v>
      </c>
      <c r="G1491" s="637" t="s">
        <v>57</v>
      </c>
      <c r="H1491" s="637" t="s">
        <v>1162</v>
      </c>
      <c r="I1491" s="637" t="s">
        <v>58</v>
      </c>
      <c r="J1491" s="636">
        <v>22</v>
      </c>
      <c r="K1491" s="636">
        <v>2</v>
      </c>
      <c r="L1491" s="637" t="s">
        <v>52</v>
      </c>
      <c r="M1491" s="637" t="s">
        <v>441</v>
      </c>
      <c r="N1491" s="637" t="s">
        <v>442</v>
      </c>
      <c r="O1491" s="637" t="s">
        <v>442</v>
      </c>
      <c r="P1491" s="637" t="s">
        <v>1156</v>
      </c>
      <c r="Q1491" s="638">
        <v>0</v>
      </c>
      <c r="R1491" s="638">
        <v>0</v>
      </c>
      <c r="S1491" s="638">
        <v>8571</v>
      </c>
      <c r="T1491" s="638">
        <v>8571</v>
      </c>
      <c r="U1491" s="638">
        <v>2512</v>
      </c>
      <c r="V1491" s="636">
        <v>2022</v>
      </c>
      <c r="W1491" s="640"/>
      <c r="X1491" s="641">
        <f t="shared" si="69"/>
        <v>3.4120222929936306</v>
      </c>
      <c r="Y1491" s="642" t="str">
        <f t="shared" si="70"/>
        <v/>
      </c>
      <c r="Z1491" s="642" t="str">
        <f t="shared" si="71"/>
        <v/>
      </c>
    </row>
    <row r="1492" spans="1:26" s="127" customFormat="1" ht="25">
      <c r="A1492" s="636">
        <v>60274</v>
      </c>
      <c r="B1492" s="637" t="s">
        <v>33</v>
      </c>
      <c r="C1492" s="636" t="s">
        <v>2725</v>
      </c>
      <c r="D1492" s="637" t="s">
        <v>1923</v>
      </c>
      <c r="E1492" s="637" t="s">
        <v>1108</v>
      </c>
      <c r="F1492" s="636">
        <v>56769</v>
      </c>
      <c r="G1492" s="637" t="s">
        <v>81</v>
      </c>
      <c r="H1492" s="637" t="s">
        <v>1163</v>
      </c>
      <c r="I1492" s="637" t="s">
        <v>58</v>
      </c>
      <c r="J1492" s="636">
        <v>22</v>
      </c>
      <c r="K1492" s="636">
        <v>2</v>
      </c>
      <c r="L1492" s="637" t="s">
        <v>52</v>
      </c>
      <c r="M1492" s="637" t="s">
        <v>441</v>
      </c>
      <c r="N1492" s="637" t="s">
        <v>442</v>
      </c>
      <c r="O1492" s="637" t="s">
        <v>442</v>
      </c>
      <c r="P1492" s="637" t="s">
        <v>1156</v>
      </c>
      <c r="Q1492" s="638">
        <v>0</v>
      </c>
      <c r="R1492" s="638">
        <v>0</v>
      </c>
      <c r="S1492" s="638">
        <v>11748</v>
      </c>
      <c r="T1492" s="638">
        <v>11748</v>
      </c>
      <c r="U1492" s="638">
        <v>3443</v>
      </c>
      <c r="V1492" s="636">
        <v>2022</v>
      </c>
      <c r="W1492" s="640"/>
      <c r="X1492" s="641">
        <f t="shared" si="69"/>
        <v>3.4121405750798721</v>
      </c>
      <c r="Y1492" s="642" t="str">
        <f t="shared" si="70"/>
        <v/>
      </c>
      <c r="Z1492" s="642" t="str">
        <f t="shared" si="71"/>
        <v/>
      </c>
    </row>
    <row r="1493" spans="1:26" s="127" customFormat="1" ht="37.5" hidden="1">
      <c r="A1493" s="636">
        <v>60276</v>
      </c>
      <c r="B1493" s="637" t="s">
        <v>54</v>
      </c>
      <c r="C1493" s="636" t="s">
        <v>2725</v>
      </c>
      <c r="D1493" s="637" t="s">
        <v>1848</v>
      </c>
      <c r="E1493" s="637" t="s">
        <v>2290</v>
      </c>
      <c r="F1493" s="636">
        <v>60058</v>
      </c>
      <c r="G1493" s="637" t="s">
        <v>81</v>
      </c>
      <c r="H1493" s="637" t="s">
        <v>1163</v>
      </c>
      <c r="I1493" s="637" t="s">
        <v>58</v>
      </c>
      <c r="J1493" s="636">
        <v>322</v>
      </c>
      <c r="K1493" s="636">
        <v>7</v>
      </c>
      <c r="L1493" s="637" t="s">
        <v>403</v>
      </c>
      <c r="M1493" s="637" t="s">
        <v>50</v>
      </c>
      <c r="N1493" s="637" t="s">
        <v>39</v>
      </c>
      <c r="O1493" s="637" t="s">
        <v>39</v>
      </c>
      <c r="P1493" s="637" t="s">
        <v>1020</v>
      </c>
      <c r="Q1493" s="638">
        <v>329523</v>
      </c>
      <c r="R1493" s="638">
        <v>107501</v>
      </c>
      <c r="S1493" s="638">
        <v>339409</v>
      </c>
      <c r="T1493" s="638">
        <v>110726</v>
      </c>
      <c r="U1493" s="638">
        <v>22429</v>
      </c>
      <c r="V1493" s="636">
        <v>2022</v>
      </c>
      <c r="W1493" s="640"/>
      <c r="X1493" s="641" t="str">
        <f t="shared" si="69"/>
        <v/>
      </c>
      <c r="Y1493" s="642">
        <f t="shared" si="70"/>
        <v>7.0058315705691871</v>
      </c>
      <c r="Z1493" s="642" t="str">
        <f t="shared" si="71"/>
        <v/>
      </c>
    </row>
    <row r="1494" spans="1:26" s="127" customFormat="1" ht="25">
      <c r="A1494" s="636">
        <v>60278</v>
      </c>
      <c r="B1494" s="637" t="s">
        <v>33</v>
      </c>
      <c r="C1494" s="636" t="s">
        <v>2725</v>
      </c>
      <c r="D1494" s="637" t="s">
        <v>1924</v>
      </c>
      <c r="E1494" s="637" t="s">
        <v>2166</v>
      </c>
      <c r="F1494" s="636">
        <v>61012</v>
      </c>
      <c r="G1494" s="637" t="s">
        <v>81</v>
      </c>
      <c r="H1494" s="637" t="s">
        <v>1163</v>
      </c>
      <c r="I1494" s="637" t="s">
        <v>58</v>
      </c>
      <c r="J1494" s="636">
        <v>22</v>
      </c>
      <c r="K1494" s="636">
        <v>2</v>
      </c>
      <c r="L1494" s="637" t="s">
        <v>52</v>
      </c>
      <c r="M1494" s="637" t="s">
        <v>441</v>
      </c>
      <c r="N1494" s="637" t="s">
        <v>442</v>
      </c>
      <c r="O1494" s="637" t="s">
        <v>442</v>
      </c>
      <c r="P1494" s="637" t="s">
        <v>1156</v>
      </c>
      <c r="Q1494" s="638">
        <v>0</v>
      </c>
      <c r="R1494" s="638">
        <v>0</v>
      </c>
      <c r="S1494" s="638">
        <v>9834</v>
      </c>
      <c r="T1494" s="638">
        <v>9834</v>
      </c>
      <c r="U1494" s="638">
        <v>2882</v>
      </c>
      <c r="V1494" s="636">
        <v>2022</v>
      </c>
      <c r="W1494" s="640"/>
      <c r="X1494" s="641">
        <f t="shared" si="69"/>
        <v>3.4122137404580153</v>
      </c>
      <c r="Y1494" s="642" t="str">
        <f t="shared" si="70"/>
        <v/>
      </c>
      <c r="Z1494" s="642" t="str">
        <f t="shared" si="71"/>
        <v/>
      </c>
    </row>
    <row r="1495" spans="1:26" s="127" customFormat="1" ht="25">
      <c r="A1495" s="636">
        <v>60344</v>
      </c>
      <c r="B1495" s="637" t="s">
        <v>33</v>
      </c>
      <c r="C1495" s="636" t="s">
        <v>2725</v>
      </c>
      <c r="D1495" s="637" t="s">
        <v>1925</v>
      </c>
      <c r="E1495" s="637" t="s">
        <v>1926</v>
      </c>
      <c r="F1495" s="636">
        <v>58135</v>
      </c>
      <c r="G1495" s="637" t="s">
        <v>89</v>
      </c>
      <c r="H1495" s="637" t="s">
        <v>1163</v>
      </c>
      <c r="I1495" s="637" t="s">
        <v>58</v>
      </c>
      <c r="J1495" s="636">
        <v>22</v>
      </c>
      <c r="K1495" s="636">
        <v>2</v>
      </c>
      <c r="L1495" s="637" t="s">
        <v>52</v>
      </c>
      <c r="M1495" s="637" t="s">
        <v>441</v>
      </c>
      <c r="N1495" s="637" t="s">
        <v>442</v>
      </c>
      <c r="O1495" s="637" t="s">
        <v>442</v>
      </c>
      <c r="P1495" s="637" t="s">
        <v>1156</v>
      </c>
      <c r="Q1495" s="638">
        <v>0</v>
      </c>
      <c r="R1495" s="638">
        <v>0</v>
      </c>
      <c r="S1495" s="638">
        <v>11135</v>
      </c>
      <c r="T1495" s="638">
        <v>11135</v>
      </c>
      <c r="U1495" s="638">
        <v>3264</v>
      </c>
      <c r="V1495" s="636">
        <v>2022</v>
      </c>
      <c r="W1495" s="640"/>
      <c r="X1495" s="641">
        <f t="shared" si="69"/>
        <v>3.4114583333333335</v>
      </c>
      <c r="Y1495" s="642" t="str">
        <f t="shared" si="70"/>
        <v/>
      </c>
      <c r="Z1495" s="642" t="str">
        <f t="shared" si="71"/>
        <v/>
      </c>
    </row>
    <row r="1496" spans="1:26" s="127" customFormat="1" ht="25">
      <c r="A1496" s="636">
        <v>60365</v>
      </c>
      <c r="B1496" s="637" t="s">
        <v>33</v>
      </c>
      <c r="C1496" s="636" t="s">
        <v>2725</v>
      </c>
      <c r="D1496" s="637" t="s">
        <v>1849</v>
      </c>
      <c r="E1496" s="637" t="s">
        <v>3050</v>
      </c>
      <c r="F1496" s="636">
        <v>60800</v>
      </c>
      <c r="G1496" s="637" t="s">
        <v>57</v>
      </c>
      <c r="H1496" s="637" t="s">
        <v>1162</v>
      </c>
      <c r="I1496" s="637" t="s">
        <v>58</v>
      </c>
      <c r="J1496" s="636">
        <v>22</v>
      </c>
      <c r="K1496" s="636">
        <v>2</v>
      </c>
      <c r="L1496" s="637" t="s">
        <v>52</v>
      </c>
      <c r="M1496" s="637" t="s">
        <v>441</v>
      </c>
      <c r="N1496" s="637" t="s">
        <v>442</v>
      </c>
      <c r="O1496" s="637" t="s">
        <v>442</v>
      </c>
      <c r="P1496" s="637" t="s">
        <v>1156</v>
      </c>
      <c r="Q1496" s="638">
        <v>0</v>
      </c>
      <c r="R1496" s="638">
        <v>0</v>
      </c>
      <c r="S1496" s="638">
        <v>5855</v>
      </c>
      <c r="T1496" s="638">
        <v>5855</v>
      </c>
      <c r="U1496" s="638">
        <v>1716</v>
      </c>
      <c r="V1496" s="636">
        <v>2022</v>
      </c>
      <c r="W1496" s="640"/>
      <c r="X1496" s="641">
        <f t="shared" si="69"/>
        <v>3.4120046620046618</v>
      </c>
      <c r="Y1496" s="642" t="str">
        <f t="shared" si="70"/>
        <v/>
      </c>
      <c r="Z1496" s="642" t="str">
        <f t="shared" si="71"/>
        <v/>
      </c>
    </row>
    <row r="1497" spans="1:26" s="127" customFormat="1" ht="25">
      <c r="A1497" s="636">
        <v>60391</v>
      </c>
      <c r="B1497" s="637" t="s">
        <v>33</v>
      </c>
      <c r="C1497" s="636" t="s">
        <v>2725</v>
      </c>
      <c r="D1497" s="637" t="s">
        <v>2291</v>
      </c>
      <c r="E1497" s="637" t="s">
        <v>1927</v>
      </c>
      <c r="F1497" s="636">
        <v>60189</v>
      </c>
      <c r="G1497" s="637" t="s">
        <v>81</v>
      </c>
      <c r="H1497" s="637" t="s">
        <v>1163</v>
      </c>
      <c r="I1497" s="637" t="s">
        <v>1135</v>
      </c>
      <c r="J1497" s="636">
        <v>22</v>
      </c>
      <c r="K1497" s="636">
        <v>2</v>
      </c>
      <c r="L1497" s="637" t="s">
        <v>52</v>
      </c>
      <c r="M1497" s="637" t="s">
        <v>441</v>
      </c>
      <c r="N1497" s="637" t="s">
        <v>442</v>
      </c>
      <c r="O1497" s="637" t="s">
        <v>442</v>
      </c>
      <c r="P1497" s="637" t="s">
        <v>1156</v>
      </c>
      <c r="Q1497" s="638">
        <v>0</v>
      </c>
      <c r="R1497" s="638">
        <v>0</v>
      </c>
      <c r="S1497" s="638">
        <v>253243</v>
      </c>
      <c r="T1497" s="638">
        <v>253243</v>
      </c>
      <c r="U1497" s="638">
        <v>74221</v>
      </c>
      <c r="V1497" s="636">
        <v>2022</v>
      </c>
      <c r="W1497" s="640"/>
      <c r="X1497" s="641">
        <f t="shared" si="69"/>
        <v>3.4120127726654181</v>
      </c>
      <c r="Y1497" s="642" t="str">
        <f t="shared" si="70"/>
        <v/>
      </c>
      <c r="Z1497" s="642" t="str">
        <f t="shared" si="71"/>
        <v/>
      </c>
    </row>
    <row r="1498" spans="1:26" s="127" customFormat="1" ht="25">
      <c r="A1498" s="636">
        <v>60392</v>
      </c>
      <c r="B1498" s="637" t="s">
        <v>54</v>
      </c>
      <c r="C1498" s="636" t="s">
        <v>2725</v>
      </c>
      <c r="D1498" s="637" t="s">
        <v>1928</v>
      </c>
      <c r="E1498" s="637" t="s">
        <v>2292</v>
      </c>
      <c r="F1498" s="636">
        <v>62093</v>
      </c>
      <c r="G1498" s="637" t="s">
        <v>41</v>
      </c>
      <c r="H1498" s="637" t="s">
        <v>1163</v>
      </c>
      <c r="I1498" s="637" t="s">
        <v>58</v>
      </c>
      <c r="J1498" s="636">
        <v>22</v>
      </c>
      <c r="K1498" s="636">
        <v>3</v>
      </c>
      <c r="L1498" s="637" t="s">
        <v>55</v>
      </c>
      <c r="M1498" s="637" t="s">
        <v>1232</v>
      </c>
      <c r="N1498" s="637" t="s">
        <v>39</v>
      </c>
      <c r="O1498" s="637" t="s">
        <v>39</v>
      </c>
      <c r="P1498" s="637" t="s">
        <v>1020</v>
      </c>
      <c r="Q1498" s="638">
        <v>303236</v>
      </c>
      <c r="R1498" s="638">
        <v>303236</v>
      </c>
      <c r="S1498" s="638">
        <v>311422</v>
      </c>
      <c r="T1498" s="638">
        <v>311422</v>
      </c>
      <c r="U1498" s="638">
        <v>38812</v>
      </c>
      <c r="V1498" s="636">
        <v>2022</v>
      </c>
      <c r="W1498" s="640"/>
      <c r="X1498" s="641">
        <f t="shared" si="69"/>
        <v>8.023858600432856</v>
      </c>
      <c r="Y1498" s="642" t="str">
        <f t="shared" si="70"/>
        <v/>
      </c>
      <c r="Z1498" s="642" t="str">
        <f t="shared" si="71"/>
        <v/>
      </c>
    </row>
    <row r="1499" spans="1:26" s="127" customFormat="1" ht="25">
      <c r="A1499" s="636">
        <v>60404</v>
      </c>
      <c r="B1499" s="637" t="s">
        <v>33</v>
      </c>
      <c r="C1499" s="636" t="s">
        <v>2725</v>
      </c>
      <c r="D1499" s="637" t="s">
        <v>1929</v>
      </c>
      <c r="E1499" s="637" t="s">
        <v>1930</v>
      </c>
      <c r="F1499" s="636">
        <v>60207</v>
      </c>
      <c r="G1499" s="637" t="s">
        <v>90</v>
      </c>
      <c r="H1499" s="637" t="s">
        <v>1163</v>
      </c>
      <c r="I1499" s="637" t="s">
        <v>58</v>
      </c>
      <c r="J1499" s="636">
        <v>22</v>
      </c>
      <c r="K1499" s="636">
        <v>2</v>
      </c>
      <c r="L1499" s="637" t="s">
        <v>52</v>
      </c>
      <c r="M1499" s="637" t="s">
        <v>71</v>
      </c>
      <c r="N1499" s="637" t="s">
        <v>72</v>
      </c>
      <c r="O1499" s="637" t="s">
        <v>72</v>
      </c>
      <c r="P1499" s="637" t="s">
        <v>1156</v>
      </c>
      <c r="Q1499" s="638">
        <v>0</v>
      </c>
      <c r="R1499" s="638">
        <v>0</v>
      </c>
      <c r="S1499" s="638">
        <v>99295</v>
      </c>
      <c r="T1499" s="638">
        <v>99295</v>
      </c>
      <c r="U1499" s="638">
        <v>29102</v>
      </c>
      <c r="V1499" s="636">
        <v>2022</v>
      </c>
      <c r="W1499" s="640"/>
      <c r="X1499" s="641">
        <f t="shared" si="69"/>
        <v>3.4119648134148854</v>
      </c>
      <c r="Y1499" s="642" t="str">
        <f t="shared" si="70"/>
        <v/>
      </c>
      <c r="Z1499" s="642" t="str">
        <f t="shared" si="71"/>
        <v/>
      </c>
    </row>
    <row r="1500" spans="1:26" s="127" customFormat="1" ht="25">
      <c r="A1500" s="636">
        <v>60411</v>
      </c>
      <c r="B1500" s="637" t="s">
        <v>33</v>
      </c>
      <c r="C1500" s="636" t="s">
        <v>2725</v>
      </c>
      <c r="D1500" s="637" t="s">
        <v>1850</v>
      </c>
      <c r="E1500" s="637" t="s">
        <v>1850</v>
      </c>
      <c r="F1500" s="636">
        <v>60801</v>
      </c>
      <c r="G1500" s="637" t="s">
        <v>89</v>
      </c>
      <c r="H1500" s="637" t="s">
        <v>1163</v>
      </c>
      <c r="I1500" s="637" t="s">
        <v>58</v>
      </c>
      <c r="J1500" s="636">
        <v>22</v>
      </c>
      <c r="K1500" s="636">
        <v>2</v>
      </c>
      <c r="L1500" s="637" t="s">
        <v>52</v>
      </c>
      <c r="M1500" s="637" t="s">
        <v>441</v>
      </c>
      <c r="N1500" s="637" t="s">
        <v>442</v>
      </c>
      <c r="O1500" s="637" t="s">
        <v>442</v>
      </c>
      <c r="P1500" s="637" t="s">
        <v>1156</v>
      </c>
      <c r="Q1500" s="638">
        <v>0</v>
      </c>
      <c r="R1500" s="638">
        <v>0</v>
      </c>
      <c r="S1500" s="638">
        <v>9847</v>
      </c>
      <c r="T1500" s="638">
        <v>9847</v>
      </c>
      <c r="U1500" s="638">
        <v>2886</v>
      </c>
      <c r="V1500" s="636">
        <v>2022</v>
      </c>
      <c r="W1500" s="640"/>
      <c r="X1500" s="641">
        <f t="shared" si="69"/>
        <v>3.411988911988912</v>
      </c>
      <c r="Y1500" s="642" t="str">
        <f t="shared" si="70"/>
        <v/>
      </c>
      <c r="Z1500" s="642" t="str">
        <f t="shared" si="71"/>
        <v/>
      </c>
    </row>
    <row r="1501" spans="1:26" s="127" customFormat="1" ht="25">
      <c r="A1501" s="636">
        <v>60423</v>
      </c>
      <c r="B1501" s="637" t="s">
        <v>33</v>
      </c>
      <c r="C1501" s="636" t="s">
        <v>2725</v>
      </c>
      <c r="D1501" s="637" t="s">
        <v>2096</v>
      </c>
      <c r="E1501" s="637" t="s">
        <v>3623</v>
      </c>
      <c r="F1501" s="636">
        <v>61944</v>
      </c>
      <c r="G1501" s="637" t="s">
        <v>81</v>
      </c>
      <c r="H1501" s="637" t="s">
        <v>1163</v>
      </c>
      <c r="I1501" s="637" t="s">
        <v>58</v>
      </c>
      <c r="J1501" s="636">
        <v>22</v>
      </c>
      <c r="K1501" s="636">
        <v>2</v>
      </c>
      <c r="L1501" s="637" t="s">
        <v>52</v>
      </c>
      <c r="M1501" s="637" t="s">
        <v>441</v>
      </c>
      <c r="N1501" s="637" t="s">
        <v>442</v>
      </c>
      <c r="O1501" s="637" t="s">
        <v>442</v>
      </c>
      <c r="P1501" s="637" t="s">
        <v>1156</v>
      </c>
      <c r="Q1501" s="638">
        <v>0</v>
      </c>
      <c r="R1501" s="638">
        <v>0</v>
      </c>
      <c r="S1501" s="638">
        <v>10215</v>
      </c>
      <c r="T1501" s="638">
        <v>10215</v>
      </c>
      <c r="U1501" s="638">
        <v>2994</v>
      </c>
      <c r="V1501" s="636">
        <v>2022</v>
      </c>
      <c r="W1501" s="640"/>
      <c r="X1501" s="641">
        <f t="shared" si="69"/>
        <v>3.4118236472945891</v>
      </c>
      <c r="Y1501" s="642" t="str">
        <f t="shared" si="70"/>
        <v/>
      </c>
      <c r="Z1501" s="642" t="str">
        <f t="shared" si="71"/>
        <v/>
      </c>
    </row>
    <row r="1502" spans="1:26" s="127" customFormat="1" ht="25">
      <c r="A1502" s="636">
        <v>60424</v>
      </c>
      <c r="B1502" s="637" t="s">
        <v>33</v>
      </c>
      <c r="C1502" s="636" t="s">
        <v>2725</v>
      </c>
      <c r="D1502" s="637" t="s">
        <v>2097</v>
      </c>
      <c r="E1502" s="637" t="s">
        <v>3623</v>
      </c>
      <c r="F1502" s="636">
        <v>61944</v>
      </c>
      <c r="G1502" s="637" t="s">
        <v>81</v>
      </c>
      <c r="H1502" s="637" t="s">
        <v>1163</v>
      </c>
      <c r="I1502" s="637" t="s">
        <v>58</v>
      </c>
      <c r="J1502" s="636">
        <v>22</v>
      </c>
      <c r="K1502" s="636">
        <v>2</v>
      </c>
      <c r="L1502" s="637" t="s">
        <v>52</v>
      </c>
      <c r="M1502" s="637" t="s">
        <v>441</v>
      </c>
      <c r="N1502" s="637" t="s">
        <v>442</v>
      </c>
      <c r="O1502" s="637" t="s">
        <v>442</v>
      </c>
      <c r="P1502" s="637" t="s">
        <v>1156</v>
      </c>
      <c r="Q1502" s="638">
        <v>0</v>
      </c>
      <c r="R1502" s="638">
        <v>0</v>
      </c>
      <c r="S1502" s="638">
        <v>9674</v>
      </c>
      <c r="T1502" s="638">
        <v>9674</v>
      </c>
      <c r="U1502" s="638">
        <v>2835</v>
      </c>
      <c r="V1502" s="636">
        <v>2022</v>
      </c>
      <c r="W1502" s="640"/>
      <c r="X1502" s="641">
        <f t="shared" si="69"/>
        <v>3.4123456790123456</v>
      </c>
      <c r="Y1502" s="642" t="str">
        <f t="shared" si="70"/>
        <v/>
      </c>
      <c r="Z1502" s="642" t="str">
        <f t="shared" si="71"/>
        <v/>
      </c>
    </row>
    <row r="1503" spans="1:26" s="127" customFormat="1" ht="25">
      <c r="A1503" s="636">
        <v>60425</v>
      </c>
      <c r="B1503" s="637" t="s">
        <v>33</v>
      </c>
      <c r="C1503" s="636" t="s">
        <v>2725</v>
      </c>
      <c r="D1503" s="637" t="s">
        <v>1851</v>
      </c>
      <c r="E1503" s="637" t="s">
        <v>2739</v>
      </c>
      <c r="F1503" s="636">
        <v>63249</v>
      </c>
      <c r="G1503" s="637" t="s">
        <v>57</v>
      </c>
      <c r="H1503" s="637" t="s">
        <v>1162</v>
      </c>
      <c r="I1503" s="637" t="s">
        <v>58</v>
      </c>
      <c r="J1503" s="636">
        <v>22</v>
      </c>
      <c r="K1503" s="636">
        <v>2</v>
      </c>
      <c r="L1503" s="637" t="s">
        <v>52</v>
      </c>
      <c r="M1503" s="637" t="s">
        <v>441</v>
      </c>
      <c r="N1503" s="637" t="s">
        <v>442</v>
      </c>
      <c r="O1503" s="637" t="s">
        <v>442</v>
      </c>
      <c r="P1503" s="637" t="s">
        <v>1156</v>
      </c>
      <c r="Q1503" s="638">
        <v>0</v>
      </c>
      <c r="R1503" s="638">
        <v>0</v>
      </c>
      <c r="S1503" s="638">
        <v>8238</v>
      </c>
      <c r="T1503" s="638">
        <v>8238</v>
      </c>
      <c r="U1503" s="638">
        <v>2414</v>
      </c>
      <c r="V1503" s="636">
        <v>2022</v>
      </c>
      <c r="W1503" s="640"/>
      <c r="X1503" s="641">
        <f t="shared" si="69"/>
        <v>3.4125932062966031</v>
      </c>
      <c r="Y1503" s="642" t="str">
        <f t="shared" si="70"/>
        <v/>
      </c>
      <c r="Z1503" s="642" t="str">
        <f t="shared" si="71"/>
        <v/>
      </c>
    </row>
    <row r="1504" spans="1:26" s="127" customFormat="1" ht="25">
      <c r="A1504" s="636">
        <v>60431</v>
      </c>
      <c r="B1504" s="637" t="s">
        <v>33</v>
      </c>
      <c r="C1504" s="636" t="s">
        <v>2725</v>
      </c>
      <c r="D1504" s="637" t="s">
        <v>1931</v>
      </c>
      <c r="E1504" s="637" t="s">
        <v>1932</v>
      </c>
      <c r="F1504" s="636">
        <v>60231</v>
      </c>
      <c r="G1504" s="637" t="s">
        <v>57</v>
      </c>
      <c r="H1504" s="637" t="s">
        <v>1162</v>
      </c>
      <c r="I1504" s="637" t="s">
        <v>58</v>
      </c>
      <c r="J1504" s="636">
        <v>22</v>
      </c>
      <c r="K1504" s="636">
        <v>2</v>
      </c>
      <c r="L1504" s="637" t="s">
        <v>52</v>
      </c>
      <c r="M1504" s="637" t="s">
        <v>441</v>
      </c>
      <c r="N1504" s="637" t="s">
        <v>442</v>
      </c>
      <c r="O1504" s="637" t="s">
        <v>442</v>
      </c>
      <c r="P1504" s="637" t="s">
        <v>1156</v>
      </c>
      <c r="Q1504" s="638">
        <v>0</v>
      </c>
      <c r="R1504" s="638">
        <v>0</v>
      </c>
      <c r="S1504" s="638">
        <v>5003</v>
      </c>
      <c r="T1504" s="638">
        <v>5003</v>
      </c>
      <c r="U1504" s="638">
        <v>1466</v>
      </c>
      <c r="V1504" s="636">
        <v>2022</v>
      </c>
      <c r="W1504" s="640"/>
      <c r="X1504" s="641">
        <f t="shared" si="69"/>
        <v>3.4126875852660299</v>
      </c>
      <c r="Y1504" s="642" t="str">
        <f t="shared" si="70"/>
        <v/>
      </c>
      <c r="Z1504" s="642" t="str">
        <f t="shared" si="71"/>
        <v/>
      </c>
    </row>
    <row r="1505" spans="1:26" s="127" customFormat="1" ht="25">
      <c r="A1505" s="636">
        <v>60442</v>
      </c>
      <c r="B1505" s="637" t="s">
        <v>33</v>
      </c>
      <c r="C1505" s="636" t="s">
        <v>2725</v>
      </c>
      <c r="D1505" s="637" t="s">
        <v>2293</v>
      </c>
      <c r="E1505" s="637" t="s">
        <v>2294</v>
      </c>
      <c r="F1505" s="636">
        <v>62836</v>
      </c>
      <c r="G1505" s="637" t="s">
        <v>81</v>
      </c>
      <c r="H1505" s="637" t="s">
        <v>1163</v>
      </c>
      <c r="I1505" s="637" t="s">
        <v>58</v>
      </c>
      <c r="J1505" s="636">
        <v>22</v>
      </c>
      <c r="K1505" s="636">
        <v>2</v>
      </c>
      <c r="L1505" s="637" t="s">
        <v>52</v>
      </c>
      <c r="M1505" s="637" t="s">
        <v>441</v>
      </c>
      <c r="N1505" s="637" t="s">
        <v>442</v>
      </c>
      <c r="O1505" s="637" t="s">
        <v>442</v>
      </c>
      <c r="P1505" s="637" t="s">
        <v>1156</v>
      </c>
      <c r="Q1505" s="638">
        <v>0</v>
      </c>
      <c r="R1505" s="638">
        <v>0</v>
      </c>
      <c r="S1505" s="638">
        <v>10345</v>
      </c>
      <c r="T1505" s="638">
        <v>10345</v>
      </c>
      <c r="U1505" s="638">
        <v>3032</v>
      </c>
      <c r="V1505" s="636">
        <v>2022</v>
      </c>
      <c r="W1505" s="640"/>
      <c r="X1505" s="641">
        <f t="shared" si="69"/>
        <v>3.4119393139841687</v>
      </c>
      <c r="Y1505" s="642" t="str">
        <f t="shared" si="70"/>
        <v/>
      </c>
      <c r="Z1505" s="642" t="str">
        <f t="shared" si="71"/>
        <v/>
      </c>
    </row>
    <row r="1506" spans="1:26" s="127" customFormat="1" ht="25">
      <c r="A1506" s="636">
        <v>60443</v>
      </c>
      <c r="B1506" s="637" t="s">
        <v>33</v>
      </c>
      <c r="C1506" s="636" t="s">
        <v>2725</v>
      </c>
      <c r="D1506" s="637" t="s">
        <v>2295</v>
      </c>
      <c r="E1506" s="637" t="s">
        <v>2294</v>
      </c>
      <c r="F1506" s="636">
        <v>62836</v>
      </c>
      <c r="G1506" s="637" t="s">
        <v>81</v>
      </c>
      <c r="H1506" s="637" t="s">
        <v>1163</v>
      </c>
      <c r="I1506" s="637" t="s">
        <v>58</v>
      </c>
      <c r="J1506" s="636">
        <v>22</v>
      </c>
      <c r="K1506" s="636">
        <v>2</v>
      </c>
      <c r="L1506" s="637" t="s">
        <v>52</v>
      </c>
      <c r="M1506" s="637" t="s">
        <v>441</v>
      </c>
      <c r="N1506" s="637" t="s">
        <v>442</v>
      </c>
      <c r="O1506" s="637" t="s">
        <v>442</v>
      </c>
      <c r="P1506" s="637" t="s">
        <v>1156</v>
      </c>
      <c r="Q1506" s="638">
        <v>0</v>
      </c>
      <c r="R1506" s="638">
        <v>0</v>
      </c>
      <c r="S1506" s="638">
        <v>11225</v>
      </c>
      <c r="T1506" s="638">
        <v>11225</v>
      </c>
      <c r="U1506" s="638">
        <v>3290</v>
      </c>
      <c r="V1506" s="636">
        <v>2022</v>
      </c>
      <c r="W1506" s="640"/>
      <c r="X1506" s="641">
        <f t="shared" si="69"/>
        <v>3.4118541033434648</v>
      </c>
      <c r="Y1506" s="642" t="str">
        <f t="shared" si="70"/>
        <v/>
      </c>
      <c r="Z1506" s="642" t="str">
        <f t="shared" si="71"/>
        <v/>
      </c>
    </row>
    <row r="1507" spans="1:26" s="127" customFormat="1" ht="25">
      <c r="A1507" s="636">
        <v>60451</v>
      </c>
      <c r="B1507" s="637" t="s">
        <v>33</v>
      </c>
      <c r="C1507" s="636" t="s">
        <v>2725</v>
      </c>
      <c r="D1507" s="637" t="s">
        <v>1933</v>
      </c>
      <c r="E1507" s="637" t="s">
        <v>2739</v>
      </c>
      <c r="F1507" s="636">
        <v>63249</v>
      </c>
      <c r="G1507" s="637" t="s">
        <v>130</v>
      </c>
      <c r="H1507" s="637" t="s">
        <v>1163</v>
      </c>
      <c r="I1507" s="637" t="s">
        <v>58</v>
      </c>
      <c r="J1507" s="636">
        <v>22</v>
      </c>
      <c r="K1507" s="636">
        <v>2</v>
      </c>
      <c r="L1507" s="637" t="s">
        <v>52</v>
      </c>
      <c r="M1507" s="637" t="s">
        <v>441</v>
      </c>
      <c r="N1507" s="637" t="s">
        <v>442</v>
      </c>
      <c r="O1507" s="637" t="s">
        <v>442</v>
      </c>
      <c r="P1507" s="637" t="s">
        <v>1156</v>
      </c>
      <c r="Q1507" s="638">
        <v>0</v>
      </c>
      <c r="R1507" s="638">
        <v>0</v>
      </c>
      <c r="S1507" s="638">
        <v>5333</v>
      </c>
      <c r="T1507" s="638">
        <v>5333</v>
      </c>
      <c r="U1507" s="638">
        <v>1563</v>
      </c>
      <c r="V1507" s="636">
        <v>2022</v>
      </c>
      <c r="W1507" s="640"/>
      <c r="X1507" s="641">
        <f t="shared" si="69"/>
        <v>3.4120281509916826</v>
      </c>
      <c r="Y1507" s="642" t="str">
        <f t="shared" si="70"/>
        <v/>
      </c>
      <c r="Z1507" s="642" t="str">
        <f t="shared" si="71"/>
        <v/>
      </c>
    </row>
    <row r="1508" spans="1:26" s="127" customFormat="1" ht="25">
      <c r="A1508" s="636">
        <v>60452</v>
      </c>
      <c r="B1508" s="637" t="s">
        <v>33</v>
      </c>
      <c r="C1508" s="636" t="s">
        <v>2725</v>
      </c>
      <c r="D1508" s="637" t="s">
        <v>1934</v>
      </c>
      <c r="E1508" s="637" t="s">
        <v>2739</v>
      </c>
      <c r="F1508" s="636">
        <v>63249</v>
      </c>
      <c r="G1508" s="637" t="s">
        <v>57</v>
      </c>
      <c r="H1508" s="637" t="s">
        <v>1162</v>
      </c>
      <c r="I1508" s="637" t="s">
        <v>58</v>
      </c>
      <c r="J1508" s="636">
        <v>22</v>
      </c>
      <c r="K1508" s="636">
        <v>2</v>
      </c>
      <c r="L1508" s="637" t="s">
        <v>52</v>
      </c>
      <c r="M1508" s="637" t="s">
        <v>441</v>
      </c>
      <c r="N1508" s="637" t="s">
        <v>442</v>
      </c>
      <c r="O1508" s="637" t="s">
        <v>442</v>
      </c>
      <c r="P1508" s="637" t="s">
        <v>1156</v>
      </c>
      <c r="Q1508" s="638">
        <v>0</v>
      </c>
      <c r="R1508" s="638">
        <v>0</v>
      </c>
      <c r="S1508" s="638">
        <v>15317</v>
      </c>
      <c r="T1508" s="638">
        <v>15317</v>
      </c>
      <c r="U1508" s="638">
        <v>4489</v>
      </c>
      <c r="V1508" s="636">
        <v>2022</v>
      </c>
      <c r="W1508" s="640"/>
      <c r="X1508" s="641">
        <f t="shared" si="69"/>
        <v>3.4121185119180217</v>
      </c>
      <c r="Y1508" s="642" t="str">
        <f t="shared" si="70"/>
        <v/>
      </c>
      <c r="Z1508" s="642" t="str">
        <f t="shared" si="71"/>
        <v/>
      </c>
    </row>
    <row r="1509" spans="1:26" s="127" customFormat="1" ht="25">
      <c r="A1509" s="636">
        <v>60453</v>
      </c>
      <c r="B1509" s="637" t="s">
        <v>33</v>
      </c>
      <c r="C1509" s="636" t="s">
        <v>2725</v>
      </c>
      <c r="D1509" s="637" t="s">
        <v>1935</v>
      </c>
      <c r="E1509" s="637" t="s">
        <v>2739</v>
      </c>
      <c r="F1509" s="636">
        <v>63249</v>
      </c>
      <c r="G1509" s="637" t="s">
        <v>57</v>
      </c>
      <c r="H1509" s="637" t="s">
        <v>1162</v>
      </c>
      <c r="I1509" s="637" t="s">
        <v>58</v>
      </c>
      <c r="J1509" s="636">
        <v>22</v>
      </c>
      <c r="K1509" s="636">
        <v>2</v>
      </c>
      <c r="L1509" s="637" t="s">
        <v>52</v>
      </c>
      <c r="M1509" s="637" t="s">
        <v>441</v>
      </c>
      <c r="N1509" s="637" t="s">
        <v>442</v>
      </c>
      <c r="O1509" s="637" t="s">
        <v>442</v>
      </c>
      <c r="P1509" s="637" t="s">
        <v>1156</v>
      </c>
      <c r="Q1509" s="638">
        <v>0</v>
      </c>
      <c r="R1509" s="638">
        <v>0</v>
      </c>
      <c r="S1509" s="638">
        <v>6279</v>
      </c>
      <c r="T1509" s="638">
        <v>6279</v>
      </c>
      <c r="U1509" s="638">
        <v>1840</v>
      </c>
      <c r="V1509" s="636">
        <v>2022</v>
      </c>
      <c r="W1509" s="640"/>
      <c r="X1509" s="641">
        <f t="shared" si="69"/>
        <v>3.4125000000000001</v>
      </c>
      <c r="Y1509" s="642" t="str">
        <f t="shared" si="70"/>
        <v/>
      </c>
      <c r="Z1509" s="642" t="str">
        <f t="shared" si="71"/>
        <v/>
      </c>
    </row>
    <row r="1510" spans="1:26" s="127" customFormat="1" ht="25">
      <c r="A1510" s="636">
        <v>60454</v>
      </c>
      <c r="B1510" s="637" t="s">
        <v>33</v>
      </c>
      <c r="C1510" s="636" t="s">
        <v>2725</v>
      </c>
      <c r="D1510" s="637" t="s">
        <v>1936</v>
      </c>
      <c r="E1510" s="637" t="s">
        <v>2739</v>
      </c>
      <c r="F1510" s="636">
        <v>63249</v>
      </c>
      <c r="G1510" s="637" t="s">
        <v>57</v>
      </c>
      <c r="H1510" s="637" t="s">
        <v>1162</v>
      </c>
      <c r="I1510" s="637" t="s">
        <v>58</v>
      </c>
      <c r="J1510" s="636">
        <v>22</v>
      </c>
      <c r="K1510" s="636">
        <v>2</v>
      </c>
      <c r="L1510" s="637" t="s">
        <v>52</v>
      </c>
      <c r="M1510" s="637" t="s">
        <v>441</v>
      </c>
      <c r="N1510" s="637" t="s">
        <v>442</v>
      </c>
      <c r="O1510" s="637" t="s">
        <v>442</v>
      </c>
      <c r="P1510" s="637" t="s">
        <v>1156</v>
      </c>
      <c r="Q1510" s="638">
        <v>0</v>
      </c>
      <c r="R1510" s="638">
        <v>0</v>
      </c>
      <c r="S1510" s="638">
        <v>10175</v>
      </c>
      <c r="T1510" s="638">
        <v>10175</v>
      </c>
      <c r="U1510" s="638">
        <v>2982</v>
      </c>
      <c r="V1510" s="636">
        <v>2022</v>
      </c>
      <c r="W1510" s="640"/>
      <c r="X1510" s="641">
        <f t="shared" si="69"/>
        <v>3.4121395036887994</v>
      </c>
      <c r="Y1510" s="642" t="str">
        <f t="shared" si="70"/>
        <v/>
      </c>
      <c r="Z1510" s="642" t="str">
        <f t="shared" si="71"/>
        <v/>
      </c>
    </row>
    <row r="1511" spans="1:26" s="127" customFormat="1" ht="25">
      <c r="A1511" s="636">
        <v>60455</v>
      </c>
      <c r="B1511" s="637" t="s">
        <v>33</v>
      </c>
      <c r="C1511" s="636" t="s">
        <v>2725</v>
      </c>
      <c r="D1511" s="637" t="s">
        <v>1937</v>
      </c>
      <c r="E1511" s="637" t="s">
        <v>1938</v>
      </c>
      <c r="F1511" s="636">
        <v>60239</v>
      </c>
      <c r="G1511" s="637" t="s">
        <v>57</v>
      </c>
      <c r="H1511" s="637" t="s">
        <v>1162</v>
      </c>
      <c r="I1511" s="637" t="s">
        <v>58</v>
      </c>
      <c r="J1511" s="636">
        <v>22</v>
      </c>
      <c r="K1511" s="636">
        <v>2</v>
      </c>
      <c r="L1511" s="637" t="s">
        <v>52</v>
      </c>
      <c r="M1511" s="637" t="s">
        <v>441</v>
      </c>
      <c r="N1511" s="637" t="s">
        <v>442</v>
      </c>
      <c r="O1511" s="637" t="s">
        <v>442</v>
      </c>
      <c r="P1511" s="637" t="s">
        <v>1156</v>
      </c>
      <c r="Q1511" s="638">
        <v>0</v>
      </c>
      <c r="R1511" s="638">
        <v>0</v>
      </c>
      <c r="S1511" s="638">
        <v>8452</v>
      </c>
      <c r="T1511" s="638">
        <v>8452</v>
      </c>
      <c r="U1511" s="638">
        <v>2477</v>
      </c>
      <c r="V1511" s="636">
        <v>2022</v>
      </c>
      <c r="W1511" s="640"/>
      <c r="X1511" s="641">
        <f t="shared" si="69"/>
        <v>3.4121921679450948</v>
      </c>
      <c r="Y1511" s="642" t="str">
        <f t="shared" si="70"/>
        <v/>
      </c>
      <c r="Z1511" s="642" t="str">
        <f t="shared" si="71"/>
        <v/>
      </c>
    </row>
    <row r="1512" spans="1:26" s="127" customFormat="1" ht="25">
      <c r="A1512" s="636">
        <v>60456</v>
      </c>
      <c r="B1512" s="637" t="s">
        <v>33</v>
      </c>
      <c r="C1512" s="636" t="s">
        <v>2725</v>
      </c>
      <c r="D1512" s="637" t="s">
        <v>1939</v>
      </c>
      <c r="E1512" s="637" t="s">
        <v>1938</v>
      </c>
      <c r="F1512" s="636">
        <v>60239</v>
      </c>
      <c r="G1512" s="637" t="s">
        <v>57</v>
      </c>
      <c r="H1512" s="637" t="s">
        <v>1162</v>
      </c>
      <c r="I1512" s="637" t="s">
        <v>58</v>
      </c>
      <c r="J1512" s="636">
        <v>22</v>
      </c>
      <c r="K1512" s="636">
        <v>2</v>
      </c>
      <c r="L1512" s="637" t="s">
        <v>52</v>
      </c>
      <c r="M1512" s="637" t="s">
        <v>441</v>
      </c>
      <c r="N1512" s="637" t="s">
        <v>442</v>
      </c>
      <c r="O1512" s="637" t="s">
        <v>442</v>
      </c>
      <c r="P1512" s="637" t="s">
        <v>1156</v>
      </c>
      <c r="Q1512" s="638">
        <v>0</v>
      </c>
      <c r="R1512" s="638">
        <v>0</v>
      </c>
      <c r="S1512" s="638">
        <v>8447</v>
      </c>
      <c r="T1512" s="638">
        <v>8447</v>
      </c>
      <c r="U1512" s="638">
        <v>2476</v>
      </c>
      <c r="V1512" s="636">
        <v>2022</v>
      </c>
      <c r="W1512" s="640"/>
      <c r="X1512" s="641">
        <f t="shared" si="69"/>
        <v>3.4115508885298871</v>
      </c>
      <c r="Y1512" s="642" t="str">
        <f t="shared" si="70"/>
        <v/>
      </c>
      <c r="Z1512" s="642" t="str">
        <f t="shared" si="71"/>
        <v/>
      </c>
    </row>
    <row r="1513" spans="1:26" s="127" customFormat="1" ht="25">
      <c r="A1513" s="636">
        <v>60457</v>
      </c>
      <c r="B1513" s="637" t="s">
        <v>33</v>
      </c>
      <c r="C1513" s="636" t="s">
        <v>2725</v>
      </c>
      <c r="D1513" s="637" t="s">
        <v>1940</v>
      </c>
      <c r="E1513" s="637" t="s">
        <v>1941</v>
      </c>
      <c r="F1513" s="636">
        <v>60242</v>
      </c>
      <c r="G1513" s="637" t="s">
        <v>90</v>
      </c>
      <c r="H1513" s="637" t="s">
        <v>1163</v>
      </c>
      <c r="I1513" s="637" t="s">
        <v>58</v>
      </c>
      <c r="J1513" s="636">
        <v>22</v>
      </c>
      <c r="K1513" s="636">
        <v>2</v>
      </c>
      <c r="L1513" s="637" t="s">
        <v>52</v>
      </c>
      <c r="M1513" s="637" t="s">
        <v>1942</v>
      </c>
      <c r="N1513" s="637" t="s">
        <v>69</v>
      </c>
      <c r="O1513" s="637" t="s">
        <v>70</v>
      </c>
      <c r="P1513" s="637" t="s">
        <v>45</v>
      </c>
      <c r="Q1513" s="638">
        <v>89623</v>
      </c>
      <c r="R1513" s="638">
        <v>89623</v>
      </c>
      <c r="S1513" s="638">
        <v>761797</v>
      </c>
      <c r="T1513" s="638">
        <v>761797</v>
      </c>
      <c r="U1513" s="638">
        <v>57893</v>
      </c>
      <c r="V1513" s="636">
        <v>2022</v>
      </c>
      <c r="W1513" s="640"/>
      <c r="X1513" s="641">
        <f t="shared" si="69"/>
        <v>13.158706579379199</v>
      </c>
      <c r="Y1513" s="642" t="str">
        <f t="shared" si="70"/>
        <v/>
      </c>
      <c r="Z1513" s="642" t="str">
        <f t="shared" si="71"/>
        <v/>
      </c>
    </row>
    <row r="1514" spans="1:26" s="127" customFormat="1" ht="25">
      <c r="A1514" s="636">
        <v>60458</v>
      </c>
      <c r="B1514" s="637" t="s">
        <v>33</v>
      </c>
      <c r="C1514" s="636" t="s">
        <v>2725</v>
      </c>
      <c r="D1514" s="637" t="s">
        <v>1943</v>
      </c>
      <c r="E1514" s="637" t="s">
        <v>1944</v>
      </c>
      <c r="F1514" s="636">
        <v>60240</v>
      </c>
      <c r="G1514" s="637" t="s">
        <v>81</v>
      </c>
      <c r="H1514" s="637" t="s">
        <v>1163</v>
      </c>
      <c r="I1514" s="637" t="s">
        <v>58</v>
      </c>
      <c r="J1514" s="636">
        <v>22</v>
      </c>
      <c r="K1514" s="636">
        <v>2</v>
      </c>
      <c r="L1514" s="637" t="s">
        <v>52</v>
      </c>
      <c r="M1514" s="637" t="s">
        <v>441</v>
      </c>
      <c r="N1514" s="637" t="s">
        <v>442</v>
      </c>
      <c r="O1514" s="637" t="s">
        <v>442</v>
      </c>
      <c r="P1514" s="637" t="s">
        <v>1156</v>
      </c>
      <c r="Q1514" s="638">
        <v>0</v>
      </c>
      <c r="R1514" s="638">
        <v>0</v>
      </c>
      <c r="S1514" s="638">
        <v>13693</v>
      </c>
      <c r="T1514" s="638">
        <v>13693</v>
      </c>
      <c r="U1514" s="638">
        <v>4013</v>
      </c>
      <c r="V1514" s="636">
        <v>2022</v>
      </c>
      <c r="W1514" s="640"/>
      <c r="X1514" s="641">
        <f t="shared" si="69"/>
        <v>3.4121604784450534</v>
      </c>
      <c r="Y1514" s="642" t="str">
        <f t="shared" si="70"/>
        <v/>
      </c>
      <c r="Z1514" s="642" t="str">
        <f t="shared" si="71"/>
        <v/>
      </c>
    </row>
    <row r="1515" spans="1:26" s="127" customFormat="1" ht="25">
      <c r="A1515" s="636">
        <v>60462</v>
      </c>
      <c r="B1515" s="637" t="s">
        <v>33</v>
      </c>
      <c r="C1515" s="636" t="s">
        <v>2725</v>
      </c>
      <c r="D1515" s="637" t="s">
        <v>2098</v>
      </c>
      <c r="E1515" s="637" t="s">
        <v>1883</v>
      </c>
      <c r="F1515" s="636">
        <v>60947</v>
      </c>
      <c r="G1515" s="637" t="s">
        <v>57</v>
      </c>
      <c r="H1515" s="637" t="s">
        <v>1162</v>
      </c>
      <c r="I1515" s="637" t="s">
        <v>58</v>
      </c>
      <c r="J1515" s="636">
        <v>22</v>
      </c>
      <c r="K1515" s="636">
        <v>2</v>
      </c>
      <c r="L1515" s="637" t="s">
        <v>52</v>
      </c>
      <c r="M1515" s="637" t="s">
        <v>441</v>
      </c>
      <c r="N1515" s="637" t="s">
        <v>442</v>
      </c>
      <c r="O1515" s="637" t="s">
        <v>442</v>
      </c>
      <c r="P1515" s="637" t="s">
        <v>1156</v>
      </c>
      <c r="Q1515" s="638">
        <v>0</v>
      </c>
      <c r="R1515" s="638">
        <v>0</v>
      </c>
      <c r="S1515" s="638">
        <v>9032</v>
      </c>
      <c r="T1515" s="638">
        <v>9032</v>
      </c>
      <c r="U1515" s="638">
        <v>2647</v>
      </c>
      <c r="V1515" s="636">
        <v>2022</v>
      </c>
      <c r="W1515" s="640"/>
      <c r="X1515" s="641">
        <f t="shared" si="69"/>
        <v>3.4121647147714396</v>
      </c>
      <c r="Y1515" s="642" t="str">
        <f t="shared" si="70"/>
        <v/>
      </c>
      <c r="Z1515" s="642" t="str">
        <f t="shared" si="71"/>
        <v/>
      </c>
    </row>
    <row r="1516" spans="1:26" s="127" customFormat="1" ht="25">
      <c r="A1516" s="636">
        <v>60463</v>
      </c>
      <c r="B1516" s="637" t="s">
        <v>33</v>
      </c>
      <c r="C1516" s="636" t="s">
        <v>2725</v>
      </c>
      <c r="D1516" s="637" t="s">
        <v>1945</v>
      </c>
      <c r="E1516" s="637" t="s">
        <v>1883</v>
      </c>
      <c r="F1516" s="636">
        <v>60947</v>
      </c>
      <c r="G1516" s="637" t="s">
        <v>57</v>
      </c>
      <c r="H1516" s="637" t="s">
        <v>1162</v>
      </c>
      <c r="I1516" s="637" t="s">
        <v>58</v>
      </c>
      <c r="J1516" s="636">
        <v>22</v>
      </c>
      <c r="K1516" s="636">
        <v>2</v>
      </c>
      <c r="L1516" s="637" t="s">
        <v>52</v>
      </c>
      <c r="M1516" s="637" t="s">
        <v>441</v>
      </c>
      <c r="N1516" s="637" t="s">
        <v>442</v>
      </c>
      <c r="O1516" s="637" t="s">
        <v>442</v>
      </c>
      <c r="P1516" s="637" t="s">
        <v>1156</v>
      </c>
      <c r="Q1516" s="638">
        <v>0</v>
      </c>
      <c r="R1516" s="638">
        <v>0</v>
      </c>
      <c r="S1516" s="638">
        <v>6940</v>
      </c>
      <c r="T1516" s="638">
        <v>6940</v>
      </c>
      <c r="U1516" s="638">
        <v>2034</v>
      </c>
      <c r="V1516" s="636">
        <v>2022</v>
      </c>
      <c r="W1516" s="640"/>
      <c r="X1516" s="641">
        <f t="shared" si="69"/>
        <v>3.4119960668633236</v>
      </c>
      <c r="Y1516" s="642" t="str">
        <f t="shared" si="70"/>
        <v/>
      </c>
      <c r="Z1516" s="642" t="str">
        <f t="shared" si="71"/>
        <v/>
      </c>
    </row>
    <row r="1517" spans="1:26" s="127" customFormat="1" ht="25">
      <c r="A1517" s="636">
        <v>60473</v>
      </c>
      <c r="B1517" s="637" t="s">
        <v>33</v>
      </c>
      <c r="C1517" s="636" t="s">
        <v>2725</v>
      </c>
      <c r="D1517" s="637" t="s">
        <v>2296</v>
      </c>
      <c r="E1517" s="637" t="s">
        <v>2294</v>
      </c>
      <c r="F1517" s="636">
        <v>62836</v>
      </c>
      <c r="G1517" s="637" t="s">
        <v>81</v>
      </c>
      <c r="H1517" s="637" t="s">
        <v>1163</v>
      </c>
      <c r="I1517" s="637" t="s">
        <v>58</v>
      </c>
      <c r="J1517" s="636">
        <v>22</v>
      </c>
      <c r="K1517" s="636">
        <v>2</v>
      </c>
      <c r="L1517" s="637" t="s">
        <v>52</v>
      </c>
      <c r="M1517" s="637" t="s">
        <v>441</v>
      </c>
      <c r="N1517" s="637" t="s">
        <v>442</v>
      </c>
      <c r="O1517" s="637" t="s">
        <v>442</v>
      </c>
      <c r="P1517" s="637" t="s">
        <v>1156</v>
      </c>
      <c r="Q1517" s="638">
        <v>0</v>
      </c>
      <c r="R1517" s="638">
        <v>0</v>
      </c>
      <c r="S1517" s="638">
        <v>7446</v>
      </c>
      <c r="T1517" s="638">
        <v>7446</v>
      </c>
      <c r="U1517" s="638">
        <v>2182</v>
      </c>
      <c r="V1517" s="636">
        <v>2022</v>
      </c>
      <c r="W1517" s="640"/>
      <c r="X1517" s="641">
        <f t="shared" si="69"/>
        <v>3.4124656278643446</v>
      </c>
      <c r="Y1517" s="642" t="str">
        <f t="shared" si="70"/>
        <v/>
      </c>
      <c r="Z1517" s="642" t="str">
        <f t="shared" si="71"/>
        <v/>
      </c>
    </row>
    <row r="1518" spans="1:26" s="127" customFormat="1" ht="25">
      <c r="A1518" s="636">
        <v>60476</v>
      </c>
      <c r="B1518" s="637" t="s">
        <v>33</v>
      </c>
      <c r="C1518" s="636" t="s">
        <v>2725</v>
      </c>
      <c r="D1518" s="637" t="s">
        <v>2297</v>
      </c>
      <c r="E1518" s="637" t="s">
        <v>2294</v>
      </c>
      <c r="F1518" s="636">
        <v>62836</v>
      </c>
      <c r="G1518" s="637" t="s">
        <v>81</v>
      </c>
      <c r="H1518" s="637" t="s">
        <v>1163</v>
      </c>
      <c r="I1518" s="637" t="s">
        <v>58</v>
      </c>
      <c r="J1518" s="636">
        <v>22</v>
      </c>
      <c r="K1518" s="636">
        <v>2</v>
      </c>
      <c r="L1518" s="637" t="s">
        <v>52</v>
      </c>
      <c r="M1518" s="637" t="s">
        <v>441</v>
      </c>
      <c r="N1518" s="637" t="s">
        <v>442</v>
      </c>
      <c r="O1518" s="637" t="s">
        <v>442</v>
      </c>
      <c r="P1518" s="637" t="s">
        <v>1156</v>
      </c>
      <c r="Q1518" s="638">
        <v>0</v>
      </c>
      <c r="R1518" s="638">
        <v>0</v>
      </c>
      <c r="S1518" s="638">
        <v>6451</v>
      </c>
      <c r="T1518" s="638">
        <v>6451</v>
      </c>
      <c r="U1518" s="638">
        <v>1891</v>
      </c>
      <c r="V1518" s="636">
        <v>2022</v>
      </c>
      <c r="W1518" s="640"/>
      <c r="X1518" s="641">
        <f t="shared" si="69"/>
        <v>3.4114225277630883</v>
      </c>
      <c r="Y1518" s="642" t="str">
        <f t="shared" si="70"/>
        <v/>
      </c>
      <c r="Z1518" s="642" t="str">
        <f t="shared" si="71"/>
        <v/>
      </c>
    </row>
    <row r="1519" spans="1:26" s="127" customFormat="1" ht="25">
      <c r="A1519" s="636">
        <v>60477</v>
      </c>
      <c r="B1519" s="637" t="s">
        <v>33</v>
      </c>
      <c r="C1519" s="636" t="s">
        <v>2725</v>
      </c>
      <c r="D1519" s="637" t="s">
        <v>1946</v>
      </c>
      <c r="E1519" s="637" t="s">
        <v>1947</v>
      </c>
      <c r="F1519" s="636">
        <v>60250</v>
      </c>
      <c r="G1519" s="637" t="s">
        <v>57</v>
      </c>
      <c r="H1519" s="637" t="s">
        <v>1162</v>
      </c>
      <c r="I1519" s="637" t="s">
        <v>58</v>
      </c>
      <c r="J1519" s="636">
        <v>22</v>
      </c>
      <c r="K1519" s="636">
        <v>2</v>
      </c>
      <c r="L1519" s="637" t="s">
        <v>52</v>
      </c>
      <c r="M1519" s="637" t="s">
        <v>441</v>
      </c>
      <c r="N1519" s="637" t="s">
        <v>442</v>
      </c>
      <c r="O1519" s="637" t="s">
        <v>442</v>
      </c>
      <c r="P1519" s="637" t="s">
        <v>1156</v>
      </c>
      <c r="Q1519" s="638">
        <v>0</v>
      </c>
      <c r="R1519" s="638">
        <v>0</v>
      </c>
      <c r="S1519" s="638">
        <v>7810</v>
      </c>
      <c r="T1519" s="638">
        <v>7810</v>
      </c>
      <c r="U1519" s="638">
        <v>2289</v>
      </c>
      <c r="V1519" s="636">
        <v>2022</v>
      </c>
      <c r="W1519" s="640"/>
      <c r="X1519" s="641">
        <f t="shared" si="69"/>
        <v>3.4119702927042375</v>
      </c>
      <c r="Y1519" s="642" t="str">
        <f t="shared" si="70"/>
        <v/>
      </c>
      <c r="Z1519" s="642" t="str">
        <f t="shared" si="71"/>
        <v/>
      </c>
    </row>
    <row r="1520" spans="1:26" s="127" customFormat="1" ht="25">
      <c r="A1520" s="636">
        <v>60478</v>
      </c>
      <c r="B1520" s="637" t="s">
        <v>33</v>
      </c>
      <c r="C1520" s="636" t="s">
        <v>2725</v>
      </c>
      <c r="D1520" s="637" t="s">
        <v>1948</v>
      </c>
      <c r="E1520" s="637" t="s">
        <v>1947</v>
      </c>
      <c r="F1520" s="636">
        <v>60250</v>
      </c>
      <c r="G1520" s="637" t="s">
        <v>57</v>
      </c>
      <c r="H1520" s="637" t="s">
        <v>1162</v>
      </c>
      <c r="I1520" s="637" t="s">
        <v>58</v>
      </c>
      <c r="J1520" s="636">
        <v>22</v>
      </c>
      <c r="K1520" s="636">
        <v>2</v>
      </c>
      <c r="L1520" s="637" t="s">
        <v>52</v>
      </c>
      <c r="M1520" s="637" t="s">
        <v>441</v>
      </c>
      <c r="N1520" s="637" t="s">
        <v>442</v>
      </c>
      <c r="O1520" s="637" t="s">
        <v>442</v>
      </c>
      <c r="P1520" s="637" t="s">
        <v>1156</v>
      </c>
      <c r="Q1520" s="638">
        <v>0</v>
      </c>
      <c r="R1520" s="638">
        <v>0</v>
      </c>
      <c r="S1520" s="638">
        <v>7805</v>
      </c>
      <c r="T1520" s="638">
        <v>7805</v>
      </c>
      <c r="U1520" s="638">
        <v>2288</v>
      </c>
      <c r="V1520" s="636">
        <v>2022</v>
      </c>
      <c r="W1520" s="640"/>
      <c r="X1520" s="641">
        <f t="shared" si="69"/>
        <v>3.4112762237762237</v>
      </c>
      <c r="Y1520" s="642" t="str">
        <f t="shared" si="70"/>
        <v/>
      </c>
      <c r="Z1520" s="642" t="str">
        <f t="shared" si="71"/>
        <v/>
      </c>
    </row>
    <row r="1521" spans="1:26" s="127" customFormat="1" ht="25">
      <c r="A1521" s="636">
        <v>60492</v>
      </c>
      <c r="B1521" s="637" t="s">
        <v>33</v>
      </c>
      <c r="C1521" s="636" t="s">
        <v>2725</v>
      </c>
      <c r="D1521" s="637" t="s">
        <v>1949</v>
      </c>
      <c r="E1521" s="637" t="s">
        <v>1950</v>
      </c>
      <c r="F1521" s="636">
        <v>60281</v>
      </c>
      <c r="G1521" s="637" t="s">
        <v>81</v>
      </c>
      <c r="H1521" s="637" t="s">
        <v>1163</v>
      </c>
      <c r="I1521" s="637" t="s">
        <v>58</v>
      </c>
      <c r="J1521" s="636">
        <v>22</v>
      </c>
      <c r="K1521" s="636">
        <v>2</v>
      </c>
      <c r="L1521" s="637" t="s">
        <v>52</v>
      </c>
      <c r="M1521" s="637" t="s">
        <v>441</v>
      </c>
      <c r="N1521" s="637" t="s">
        <v>442</v>
      </c>
      <c r="O1521" s="637" t="s">
        <v>442</v>
      </c>
      <c r="P1521" s="637" t="s">
        <v>1156</v>
      </c>
      <c r="Q1521" s="638">
        <v>0</v>
      </c>
      <c r="R1521" s="638">
        <v>0</v>
      </c>
      <c r="S1521" s="638">
        <v>10973</v>
      </c>
      <c r="T1521" s="638">
        <v>10973</v>
      </c>
      <c r="U1521" s="638">
        <v>3216</v>
      </c>
      <c r="V1521" s="636">
        <v>2022</v>
      </c>
      <c r="W1521" s="640"/>
      <c r="X1521" s="641">
        <f t="shared" si="69"/>
        <v>3.412002487562189</v>
      </c>
      <c r="Y1521" s="642" t="str">
        <f t="shared" si="70"/>
        <v/>
      </c>
      <c r="Z1521" s="642" t="str">
        <f t="shared" si="71"/>
        <v/>
      </c>
    </row>
    <row r="1522" spans="1:26" s="127" customFormat="1" ht="25">
      <c r="A1522" s="636">
        <v>60493</v>
      </c>
      <c r="B1522" s="637" t="s">
        <v>33</v>
      </c>
      <c r="C1522" s="636" t="s">
        <v>2725</v>
      </c>
      <c r="D1522" s="637" t="s">
        <v>1951</v>
      </c>
      <c r="E1522" s="637" t="s">
        <v>1950</v>
      </c>
      <c r="F1522" s="636">
        <v>60281</v>
      </c>
      <c r="G1522" s="637" t="s">
        <v>81</v>
      </c>
      <c r="H1522" s="637" t="s">
        <v>1163</v>
      </c>
      <c r="I1522" s="637" t="s">
        <v>58</v>
      </c>
      <c r="J1522" s="636">
        <v>22</v>
      </c>
      <c r="K1522" s="636">
        <v>2</v>
      </c>
      <c r="L1522" s="637" t="s">
        <v>52</v>
      </c>
      <c r="M1522" s="637" t="s">
        <v>441</v>
      </c>
      <c r="N1522" s="637" t="s">
        <v>442</v>
      </c>
      <c r="O1522" s="637" t="s">
        <v>442</v>
      </c>
      <c r="P1522" s="637" t="s">
        <v>1156</v>
      </c>
      <c r="Q1522" s="638">
        <v>0</v>
      </c>
      <c r="R1522" s="638">
        <v>0</v>
      </c>
      <c r="S1522" s="638">
        <v>13097</v>
      </c>
      <c r="T1522" s="638">
        <v>13097</v>
      </c>
      <c r="U1522" s="638">
        <v>3839</v>
      </c>
      <c r="V1522" s="636">
        <v>2022</v>
      </c>
      <c r="W1522" s="640"/>
      <c r="X1522" s="641">
        <f t="shared" si="69"/>
        <v>3.4115655118520447</v>
      </c>
      <c r="Y1522" s="642" t="str">
        <f t="shared" si="70"/>
        <v/>
      </c>
      <c r="Z1522" s="642" t="str">
        <f t="shared" si="71"/>
        <v/>
      </c>
    </row>
    <row r="1523" spans="1:26" s="127" customFormat="1" ht="25">
      <c r="A1523" s="636">
        <v>60494</v>
      </c>
      <c r="B1523" s="637" t="s">
        <v>33</v>
      </c>
      <c r="C1523" s="636" t="s">
        <v>2725</v>
      </c>
      <c r="D1523" s="637" t="s">
        <v>1952</v>
      </c>
      <c r="E1523" s="637" t="s">
        <v>1950</v>
      </c>
      <c r="F1523" s="636">
        <v>60281</v>
      </c>
      <c r="G1523" s="637" t="s">
        <v>81</v>
      </c>
      <c r="H1523" s="637" t="s">
        <v>1163</v>
      </c>
      <c r="I1523" s="637" t="s">
        <v>58</v>
      </c>
      <c r="J1523" s="636">
        <v>22</v>
      </c>
      <c r="K1523" s="636">
        <v>2</v>
      </c>
      <c r="L1523" s="637" t="s">
        <v>52</v>
      </c>
      <c r="M1523" s="637" t="s">
        <v>441</v>
      </c>
      <c r="N1523" s="637" t="s">
        <v>442</v>
      </c>
      <c r="O1523" s="637" t="s">
        <v>442</v>
      </c>
      <c r="P1523" s="637" t="s">
        <v>1156</v>
      </c>
      <c r="Q1523" s="638">
        <v>0</v>
      </c>
      <c r="R1523" s="638">
        <v>0</v>
      </c>
      <c r="S1523" s="638">
        <v>15056</v>
      </c>
      <c r="T1523" s="638">
        <v>15056</v>
      </c>
      <c r="U1523" s="638">
        <v>4413</v>
      </c>
      <c r="V1523" s="636">
        <v>2022</v>
      </c>
      <c r="W1523" s="640"/>
      <c r="X1523" s="641">
        <f t="shared" si="69"/>
        <v>3.4117380466802629</v>
      </c>
      <c r="Y1523" s="642" t="str">
        <f t="shared" si="70"/>
        <v/>
      </c>
      <c r="Z1523" s="642" t="str">
        <f t="shared" si="71"/>
        <v/>
      </c>
    </row>
    <row r="1524" spans="1:26" s="127" customFormat="1" ht="25">
      <c r="A1524" s="636">
        <v>60495</v>
      </c>
      <c r="B1524" s="637" t="s">
        <v>33</v>
      </c>
      <c r="C1524" s="636" t="s">
        <v>2725</v>
      </c>
      <c r="D1524" s="637" t="s">
        <v>1953</v>
      </c>
      <c r="E1524" s="637" t="s">
        <v>1950</v>
      </c>
      <c r="F1524" s="636">
        <v>60281</v>
      </c>
      <c r="G1524" s="637" t="s">
        <v>130</v>
      </c>
      <c r="H1524" s="637" t="s">
        <v>1163</v>
      </c>
      <c r="I1524" s="637" t="s">
        <v>58</v>
      </c>
      <c r="J1524" s="636">
        <v>22</v>
      </c>
      <c r="K1524" s="636">
        <v>2</v>
      </c>
      <c r="L1524" s="637" t="s">
        <v>52</v>
      </c>
      <c r="M1524" s="637" t="s">
        <v>441</v>
      </c>
      <c r="N1524" s="637" t="s">
        <v>442</v>
      </c>
      <c r="O1524" s="637" t="s">
        <v>442</v>
      </c>
      <c r="P1524" s="637" t="s">
        <v>1156</v>
      </c>
      <c r="Q1524" s="638">
        <v>0</v>
      </c>
      <c r="R1524" s="638">
        <v>0</v>
      </c>
      <c r="S1524" s="638">
        <v>5862</v>
      </c>
      <c r="T1524" s="638">
        <v>5862</v>
      </c>
      <c r="U1524" s="638">
        <v>1718</v>
      </c>
      <c r="V1524" s="636">
        <v>2022</v>
      </c>
      <c r="W1524" s="640"/>
      <c r="X1524" s="641">
        <f t="shared" si="69"/>
        <v>3.4121071012805588</v>
      </c>
      <c r="Y1524" s="642" t="str">
        <f t="shared" si="70"/>
        <v/>
      </c>
      <c r="Z1524" s="642" t="str">
        <f t="shared" si="71"/>
        <v/>
      </c>
    </row>
    <row r="1525" spans="1:26" s="127" customFormat="1" ht="25">
      <c r="A1525" s="636">
        <v>60498</v>
      </c>
      <c r="B1525" s="637" t="s">
        <v>33</v>
      </c>
      <c r="C1525" s="636" t="s">
        <v>2725</v>
      </c>
      <c r="D1525" s="637" t="s">
        <v>1954</v>
      </c>
      <c r="E1525" s="637" t="s">
        <v>1950</v>
      </c>
      <c r="F1525" s="636">
        <v>60281</v>
      </c>
      <c r="G1525" s="637" t="s">
        <v>81</v>
      </c>
      <c r="H1525" s="637" t="s">
        <v>1163</v>
      </c>
      <c r="I1525" s="637" t="s">
        <v>58</v>
      </c>
      <c r="J1525" s="636">
        <v>22</v>
      </c>
      <c r="K1525" s="636">
        <v>2</v>
      </c>
      <c r="L1525" s="637" t="s">
        <v>52</v>
      </c>
      <c r="M1525" s="637" t="s">
        <v>441</v>
      </c>
      <c r="N1525" s="637" t="s">
        <v>442</v>
      </c>
      <c r="O1525" s="637" t="s">
        <v>442</v>
      </c>
      <c r="P1525" s="637" t="s">
        <v>1156</v>
      </c>
      <c r="Q1525" s="638">
        <v>0</v>
      </c>
      <c r="R1525" s="638">
        <v>0</v>
      </c>
      <c r="S1525" s="638">
        <v>10889</v>
      </c>
      <c r="T1525" s="638">
        <v>10889</v>
      </c>
      <c r="U1525" s="638">
        <v>3191</v>
      </c>
      <c r="V1525" s="636">
        <v>2022</v>
      </c>
      <c r="W1525" s="640"/>
      <c r="X1525" s="641">
        <f t="shared" si="69"/>
        <v>3.4124099028517705</v>
      </c>
      <c r="Y1525" s="642" t="str">
        <f t="shared" si="70"/>
        <v/>
      </c>
      <c r="Z1525" s="642" t="str">
        <f t="shared" si="71"/>
        <v/>
      </c>
    </row>
    <row r="1526" spans="1:26" s="127" customFormat="1" ht="25">
      <c r="A1526" s="636">
        <v>60507</v>
      </c>
      <c r="B1526" s="637" t="s">
        <v>33</v>
      </c>
      <c r="C1526" s="636" t="s">
        <v>2725</v>
      </c>
      <c r="D1526" s="637" t="s">
        <v>2099</v>
      </c>
      <c r="E1526" s="637" t="s">
        <v>1883</v>
      </c>
      <c r="F1526" s="636">
        <v>60947</v>
      </c>
      <c r="G1526" s="637" t="s">
        <v>57</v>
      </c>
      <c r="H1526" s="637" t="s">
        <v>1162</v>
      </c>
      <c r="I1526" s="637" t="s">
        <v>58</v>
      </c>
      <c r="J1526" s="636">
        <v>22</v>
      </c>
      <c r="K1526" s="636">
        <v>2</v>
      </c>
      <c r="L1526" s="637" t="s">
        <v>52</v>
      </c>
      <c r="M1526" s="637" t="s">
        <v>441</v>
      </c>
      <c r="N1526" s="637" t="s">
        <v>442</v>
      </c>
      <c r="O1526" s="637" t="s">
        <v>442</v>
      </c>
      <c r="P1526" s="637" t="s">
        <v>1156</v>
      </c>
      <c r="Q1526" s="638">
        <v>0</v>
      </c>
      <c r="R1526" s="638">
        <v>0</v>
      </c>
      <c r="S1526" s="638">
        <v>20529</v>
      </c>
      <c r="T1526" s="638">
        <v>20529</v>
      </c>
      <c r="U1526" s="638">
        <v>6017</v>
      </c>
      <c r="V1526" s="636">
        <v>2022</v>
      </c>
      <c r="W1526" s="640"/>
      <c r="X1526" s="641">
        <f t="shared" si="69"/>
        <v>3.4118331394382584</v>
      </c>
      <c r="Y1526" s="642" t="str">
        <f t="shared" si="70"/>
        <v/>
      </c>
      <c r="Z1526" s="642" t="str">
        <f t="shared" si="71"/>
        <v/>
      </c>
    </row>
    <row r="1527" spans="1:26" s="127" customFormat="1" ht="25">
      <c r="A1527" s="636">
        <v>60518</v>
      </c>
      <c r="B1527" s="637" t="s">
        <v>33</v>
      </c>
      <c r="C1527" s="636" t="s">
        <v>2725</v>
      </c>
      <c r="D1527" s="637" t="s">
        <v>2748</v>
      </c>
      <c r="E1527" s="637" t="s">
        <v>131</v>
      </c>
      <c r="F1527" s="636">
        <v>7601</v>
      </c>
      <c r="G1527" s="637" t="s">
        <v>89</v>
      </c>
      <c r="H1527" s="637" t="s">
        <v>1163</v>
      </c>
      <c r="I1527" s="637" t="s">
        <v>58</v>
      </c>
      <c r="J1527" s="636">
        <v>22</v>
      </c>
      <c r="K1527" s="636">
        <v>1</v>
      </c>
      <c r="L1527" s="637" t="s">
        <v>34</v>
      </c>
      <c r="M1527" s="637" t="s">
        <v>1852</v>
      </c>
      <c r="N1527" s="637" t="s">
        <v>1035</v>
      </c>
      <c r="O1527" s="637" t="s">
        <v>82</v>
      </c>
      <c r="P1527" s="637" t="s">
        <v>2726</v>
      </c>
      <c r="Q1527" s="638">
        <v>0</v>
      </c>
      <c r="R1527" s="638">
        <v>0</v>
      </c>
      <c r="S1527" s="638">
        <v>0</v>
      </c>
      <c r="T1527" s="638">
        <v>0</v>
      </c>
      <c r="U1527" s="638">
        <v>0</v>
      </c>
      <c r="V1527" s="636">
        <v>2022</v>
      </c>
      <c r="W1527" s="640"/>
      <c r="X1527" s="641" t="str">
        <f t="shared" si="69"/>
        <v/>
      </c>
      <c r="Y1527" s="642" t="str">
        <f t="shared" si="70"/>
        <v/>
      </c>
      <c r="Z1527" s="642" t="str">
        <f t="shared" si="71"/>
        <v/>
      </c>
    </row>
    <row r="1528" spans="1:26" s="127" customFormat="1" ht="25">
      <c r="A1528" s="636">
        <v>60518</v>
      </c>
      <c r="B1528" s="637" t="s">
        <v>33</v>
      </c>
      <c r="C1528" s="636" t="s">
        <v>2725</v>
      </c>
      <c r="D1528" s="637" t="s">
        <v>2748</v>
      </c>
      <c r="E1528" s="637" t="s">
        <v>131</v>
      </c>
      <c r="F1528" s="636">
        <v>7601</v>
      </c>
      <c r="G1528" s="637" t="s">
        <v>89</v>
      </c>
      <c r="H1528" s="637" t="s">
        <v>1163</v>
      </c>
      <c r="I1528" s="637" t="s">
        <v>58</v>
      </c>
      <c r="J1528" s="636">
        <v>22</v>
      </c>
      <c r="K1528" s="636">
        <v>1</v>
      </c>
      <c r="L1528" s="637" t="s">
        <v>34</v>
      </c>
      <c r="M1528" s="637" t="s">
        <v>441</v>
      </c>
      <c r="N1528" s="637" t="s">
        <v>442</v>
      </c>
      <c r="O1528" s="637" t="s">
        <v>442</v>
      </c>
      <c r="P1528" s="637" t="s">
        <v>1156</v>
      </c>
      <c r="Q1528" s="638">
        <v>0</v>
      </c>
      <c r="R1528" s="638">
        <v>0</v>
      </c>
      <c r="S1528" s="638">
        <v>5989</v>
      </c>
      <c r="T1528" s="638">
        <v>5989</v>
      </c>
      <c r="U1528" s="638">
        <v>1755</v>
      </c>
      <c r="V1528" s="636">
        <v>2022</v>
      </c>
      <c r="W1528" s="640"/>
      <c r="X1528" s="641">
        <f t="shared" si="69"/>
        <v>3.4125356125356126</v>
      </c>
      <c r="Y1528" s="642" t="str">
        <f t="shared" si="70"/>
        <v/>
      </c>
      <c r="Z1528" s="642" t="str">
        <f t="shared" si="71"/>
        <v/>
      </c>
    </row>
    <row r="1529" spans="1:26" s="127" customFormat="1" ht="25">
      <c r="A1529" s="636">
        <v>60537</v>
      </c>
      <c r="B1529" s="637" t="s">
        <v>33</v>
      </c>
      <c r="C1529" s="636" t="s">
        <v>2725</v>
      </c>
      <c r="D1529" s="637" t="s">
        <v>1955</v>
      </c>
      <c r="E1529" s="637" t="s">
        <v>1956</v>
      </c>
      <c r="F1529" s="636">
        <v>60297</v>
      </c>
      <c r="G1529" s="637" t="s">
        <v>89</v>
      </c>
      <c r="H1529" s="637" t="s">
        <v>1163</v>
      </c>
      <c r="I1529" s="637" t="s">
        <v>58</v>
      </c>
      <c r="J1529" s="636">
        <v>22</v>
      </c>
      <c r="K1529" s="636">
        <v>2</v>
      </c>
      <c r="L1529" s="637" t="s">
        <v>52</v>
      </c>
      <c r="M1529" s="637" t="s">
        <v>441</v>
      </c>
      <c r="N1529" s="637" t="s">
        <v>442</v>
      </c>
      <c r="O1529" s="637" t="s">
        <v>442</v>
      </c>
      <c r="P1529" s="637" t="s">
        <v>1156</v>
      </c>
      <c r="Q1529" s="638">
        <v>0</v>
      </c>
      <c r="R1529" s="638">
        <v>0</v>
      </c>
      <c r="S1529" s="638">
        <v>10625</v>
      </c>
      <c r="T1529" s="638">
        <v>10625</v>
      </c>
      <c r="U1529" s="638">
        <v>3114</v>
      </c>
      <c r="V1529" s="636">
        <v>2022</v>
      </c>
      <c r="W1529" s="640"/>
      <c r="X1529" s="641">
        <f t="shared" si="69"/>
        <v>3.412010276172126</v>
      </c>
      <c r="Y1529" s="642" t="str">
        <f t="shared" si="70"/>
        <v/>
      </c>
      <c r="Z1529" s="642" t="str">
        <f t="shared" si="71"/>
        <v/>
      </c>
    </row>
    <row r="1530" spans="1:26" s="127" customFormat="1" ht="25">
      <c r="A1530" s="636">
        <v>60547</v>
      </c>
      <c r="B1530" s="637" t="s">
        <v>33</v>
      </c>
      <c r="C1530" s="636" t="s">
        <v>2725</v>
      </c>
      <c r="D1530" s="637" t="s">
        <v>1957</v>
      </c>
      <c r="E1530" s="637" t="s">
        <v>131</v>
      </c>
      <c r="F1530" s="636">
        <v>7601</v>
      </c>
      <c r="G1530" s="637" t="s">
        <v>89</v>
      </c>
      <c r="H1530" s="637" t="s">
        <v>1163</v>
      </c>
      <c r="I1530" s="637" t="s">
        <v>58</v>
      </c>
      <c r="J1530" s="636">
        <v>22</v>
      </c>
      <c r="K1530" s="636">
        <v>1</v>
      </c>
      <c r="L1530" s="637" t="s">
        <v>34</v>
      </c>
      <c r="M1530" s="637" t="s">
        <v>441</v>
      </c>
      <c r="N1530" s="637" t="s">
        <v>442</v>
      </c>
      <c r="O1530" s="637" t="s">
        <v>442</v>
      </c>
      <c r="P1530" s="637" t="s">
        <v>1156</v>
      </c>
      <c r="Q1530" s="638">
        <v>0</v>
      </c>
      <c r="R1530" s="638">
        <v>0</v>
      </c>
      <c r="S1530" s="638">
        <v>9953</v>
      </c>
      <c r="T1530" s="638">
        <v>9953</v>
      </c>
      <c r="U1530" s="638">
        <v>2917</v>
      </c>
      <c r="V1530" s="636">
        <v>2022</v>
      </c>
      <c r="W1530" s="640"/>
      <c r="X1530" s="641">
        <f t="shared" si="69"/>
        <v>3.4120671923208774</v>
      </c>
      <c r="Y1530" s="642" t="str">
        <f t="shared" si="70"/>
        <v/>
      </c>
      <c r="Z1530" s="642" t="str">
        <f t="shared" si="71"/>
        <v/>
      </c>
    </row>
    <row r="1531" spans="1:26" s="127" customFormat="1" ht="25">
      <c r="A1531" s="636">
        <v>60562</v>
      </c>
      <c r="B1531" s="637" t="s">
        <v>33</v>
      </c>
      <c r="C1531" s="636" t="s">
        <v>2725</v>
      </c>
      <c r="D1531" s="637" t="s">
        <v>2749</v>
      </c>
      <c r="E1531" s="637" t="s">
        <v>131</v>
      </c>
      <c r="F1531" s="636">
        <v>7601</v>
      </c>
      <c r="G1531" s="637" t="s">
        <v>89</v>
      </c>
      <c r="H1531" s="637" t="s">
        <v>1163</v>
      </c>
      <c r="I1531" s="637" t="s">
        <v>58</v>
      </c>
      <c r="J1531" s="636">
        <v>22</v>
      </c>
      <c r="K1531" s="636">
        <v>1</v>
      </c>
      <c r="L1531" s="637" t="s">
        <v>34</v>
      </c>
      <c r="M1531" s="637" t="s">
        <v>1852</v>
      </c>
      <c r="N1531" s="637" t="s">
        <v>1035</v>
      </c>
      <c r="O1531" s="637" t="s">
        <v>82</v>
      </c>
      <c r="P1531" s="637" t="s">
        <v>2726</v>
      </c>
      <c r="Q1531" s="638">
        <v>564</v>
      </c>
      <c r="R1531" s="638">
        <v>564</v>
      </c>
      <c r="S1531" s="638">
        <v>0</v>
      </c>
      <c r="T1531" s="638">
        <v>0</v>
      </c>
      <c r="U1531" s="638">
        <v>440</v>
      </c>
      <c r="V1531" s="636">
        <v>2022</v>
      </c>
      <c r="W1531" s="640"/>
      <c r="X1531" s="641" t="str">
        <f t="shared" si="69"/>
        <v/>
      </c>
      <c r="Y1531" s="642" t="str">
        <f t="shared" si="70"/>
        <v/>
      </c>
      <c r="Z1531" s="642" t="str">
        <f t="shared" si="71"/>
        <v/>
      </c>
    </row>
    <row r="1532" spans="1:26" s="127" customFormat="1" ht="25">
      <c r="A1532" s="636">
        <v>60562</v>
      </c>
      <c r="B1532" s="637" t="s">
        <v>33</v>
      </c>
      <c r="C1532" s="636" t="s">
        <v>2725</v>
      </c>
      <c r="D1532" s="637" t="s">
        <v>2749</v>
      </c>
      <c r="E1532" s="637" t="s">
        <v>131</v>
      </c>
      <c r="F1532" s="636">
        <v>7601</v>
      </c>
      <c r="G1532" s="637" t="s">
        <v>89</v>
      </c>
      <c r="H1532" s="637" t="s">
        <v>1163</v>
      </c>
      <c r="I1532" s="637" t="s">
        <v>58</v>
      </c>
      <c r="J1532" s="636">
        <v>22</v>
      </c>
      <c r="K1532" s="636">
        <v>1</v>
      </c>
      <c r="L1532" s="637" t="s">
        <v>34</v>
      </c>
      <c r="M1532" s="637" t="s">
        <v>441</v>
      </c>
      <c r="N1532" s="637" t="s">
        <v>442</v>
      </c>
      <c r="O1532" s="637" t="s">
        <v>442</v>
      </c>
      <c r="P1532" s="637" t="s">
        <v>1156</v>
      </c>
      <c r="Q1532" s="638">
        <v>0</v>
      </c>
      <c r="R1532" s="638">
        <v>0</v>
      </c>
      <c r="S1532" s="638">
        <v>30126</v>
      </c>
      <c r="T1532" s="638">
        <v>30126</v>
      </c>
      <c r="U1532" s="638">
        <v>8829</v>
      </c>
      <c r="V1532" s="636">
        <v>2022</v>
      </c>
      <c r="W1532" s="640"/>
      <c r="X1532" s="641">
        <f t="shared" si="69"/>
        <v>3.4121644580360178</v>
      </c>
      <c r="Y1532" s="642" t="str">
        <f t="shared" si="70"/>
        <v/>
      </c>
      <c r="Z1532" s="642" t="str">
        <f t="shared" si="71"/>
        <v/>
      </c>
    </row>
    <row r="1533" spans="1:26" s="127" customFormat="1" ht="25">
      <c r="A1533" s="636">
        <v>60593</v>
      </c>
      <c r="B1533" s="637" t="s">
        <v>33</v>
      </c>
      <c r="C1533" s="636" t="s">
        <v>2725</v>
      </c>
      <c r="D1533" s="637" t="s">
        <v>1958</v>
      </c>
      <c r="E1533" s="637" t="s">
        <v>1835</v>
      </c>
      <c r="F1533" s="636">
        <v>19497</v>
      </c>
      <c r="G1533" s="637" t="s">
        <v>41</v>
      </c>
      <c r="H1533" s="637" t="s">
        <v>1163</v>
      </c>
      <c r="I1533" s="637" t="s">
        <v>58</v>
      </c>
      <c r="J1533" s="636">
        <v>22</v>
      </c>
      <c r="K1533" s="636">
        <v>1</v>
      </c>
      <c r="L1533" s="637" t="s">
        <v>34</v>
      </c>
      <c r="M1533" s="637" t="s">
        <v>1232</v>
      </c>
      <c r="N1533" s="637" t="s">
        <v>39</v>
      </c>
      <c r="O1533" s="637" t="s">
        <v>39</v>
      </c>
      <c r="P1533" s="637" t="s">
        <v>1020</v>
      </c>
      <c r="Q1533" s="638">
        <v>156010</v>
      </c>
      <c r="R1533" s="638">
        <v>156010</v>
      </c>
      <c r="S1533" s="638">
        <v>161313</v>
      </c>
      <c r="T1533" s="638">
        <v>161313</v>
      </c>
      <c r="U1533" s="638">
        <v>13668</v>
      </c>
      <c r="V1533" s="636">
        <v>2022</v>
      </c>
      <c r="W1533" s="640"/>
      <c r="X1533" s="641">
        <f t="shared" si="69"/>
        <v>11.802238805970148</v>
      </c>
      <c r="Y1533" s="642" t="str">
        <f t="shared" si="70"/>
        <v/>
      </c>
      <c r="Z1533" s="642" t="str">
        <f t="shared" si="71"/>
        <v/>
      </c>
    </row>
    <row r="1534" spans="1:26" s="127" customFormat="1" ht="25">
      <c r="A1534" s="636">
        <v>60605</v>
      </c>
      <c r="B1534" s="637" t="s">
        <v>33</v>
      </c>
      <c r="C1534" s="636" t="s">
        <v>2725</v>
      </c>
      <c r="D1534" s="637" t="s">
        <v>1959</v>
      </c>
      <c r="E1534" s="637" t="s">
        <v>1883</v>
      </c>
      <c r="F1534" s="636">
        <v>60947</v>
      </c>
      <c r="G1534" s="637" t="s">
        <v>41</v>
      </c>
      <c r="H1534" s="637" t="s">
        <v>1163</v>
      </c>
      <c r="I1534" s="637" t="s">
        <v>58</v>
      </c>
      <c r="J1534" s="636">
        <v>22</v>
      </c>
      <c r="K1534" s="636">
        <v>2</v>
      </c>
      <c r="L1534" s="637" t="s">
        <v>52</v>
      </c>
      <c r="M1534" s="637" t="s">
        <v>441</v>
      </c>
      <c r="N1534" s="637" t="s">
        <v>442</v>
      </c>
      <c r="O1534" s="637" t="s">
        <v>442</v>
      </c>
      <c r="P1534" s="637" t="s">
        <v>1156</v>
      </c>
      <c r="Q1534" s="638">
        <v>0</v>
      </c>
      <c r="R1534" s="638">
        <v>0</v>
      </c>
      <c r="S1534" s="638">
        <v>6210</v>
      </c>
      <c r="T1534" s="638">
        <v>6210</v>
      </c>
      <c r="U1534" s="638">
        <v>1820</v>
      </c>
      <c r="V1534" s="636">
        <v>2022</v>
      </c>
      <c r="W1534" s="640"/>
      <c r="X1534" s="641">
        <f t="shared" si="69"/>
        <v>3.412087912087912</v>
      </c>
      <c r="Y1534" s="642" t="str">
        <f t="shared" si="70"/>
        <v/>
      </c>
      <c r="Z1534" s="642" t="str">
        <f t="shared" si="71"/>
        <v/>
      </c>
    </row>
    <row r="1535" spans="1:26" s="127" customFormat="1" ht="25">
      <c r="A1535" s="636">
        <v>60607</v>
      </c>
      <c r="B1535" s="637" t="s">
        <v>33</v>
      </c>
      <c r="C1535" s="636" t="s">
        <v>2725</v>
      </c>
      <c r="D1535" s="637" t="s">
        <v>2750</v>
      </c>
      <c r="E1535" s="637" t="s">
        <v>1883</v>
      </c>
      <c r="F1535" s="636">
        <v>60947</v>
      </c>
      <c r="G1535" s="637" t="s">
        <v>41</v>
      </c>
      <c r="H1535" s="637" t="s">
        <v>1163</v>
      </c>
      <c r="I1535" s="637" t="s">
        <v>58</v>
      </c>
      <c r="J1535" s="636">
        <v>22</v>
      </c>
      <c r="K1535" s="636">
        <v>2</v>
      </c>
      <c r="L1535" s="637" t="s">
        <v>52</v>
      </c>
      <c r="M1535" s="637" t="s">
        <v>1852</v>
      </c>
      <c r="N1535" s="637" t="s">
        <v>1035</v>
      </c>
      <c r="O1535" s="637" t="s">
        <v>82</v>
      </c>
      <c r="P1535" s="637" t="s">
        <v>2726</v>
      </c>
      <c r="Q1535" s="638">
        <v>179</v>
      </c>
      <c r="R1535" s="638">
        <v>179</v>
      </c>
      <c r="S1535" s="638">
        <v>0</v>
      </c>
      <c r="T1535" s="638">
        <v>0</v>
      </c>
      <c r="U1535" s="638">
        <v>-106</v>
      </c>
      <c r="V1535" s="636">
        <v>2022</v>
      </c>
      <c r="W1535" s="640"/>
      <c r="X1535" s="641" t="str">
        <f t="shared" si="69"/>
        <v/>
      </c>
      <c r="Y1535" s="642" t="str">
        <f t="shared" si="70"/>
        <v/>
      </c>
      <c r="Z1535" s="642" t="str">
        <f t="shared" si="71"/>
        <v/>
      </c>
    </row>
    <row r="1536" spans="1:26" s="127" customFormat="1" ht="25">
      <c r="A1536" s="636">
        <v>60607</v>
      </c>
      <c r="B1536" s="637" t="s">
        <v>33</v>
      </c>
      <c r="C1536" s="636" t="s">
        <v>2725</v>
      </c>
      <c r="D1536" s="637" t="s">
        <v>2750</v>
      </c>
      <c r="E1536" s="637" t="s">
        <v>1883</v>
      </c>
      <c r="F1536" s="636">
        <v>60947</v>
      </c>
      <c r="G1536" s="637" t="s">
        <v>41</v>
      </c>
      <c r="H1536" s="637" t="s">
        <v>1163</v>
      </c>
      <c r="I1536" s="637" t="s">
        <v>58</v>
      </c>
      <c r="J1536" s="636">
        <v>22</v>
      </c>
      <c r="K1536" s="636">
        <v>2</v>
      </c>
      <c r="L1536" s="637" t="s">
        <v>52</v>
      </c>
      <c r="M1536" s="637" t="s">
        <v>441</v>
      </c>
      <c r="N1536" s="637" t="s">
        <v>442</v>
      </c>
      <c r="O1536" s="637" t="s">
        <v>442</v>
      </c>
      <c r="P1536" s="637" t="s">
        <v>1156</v>
      </c>
      <c r="Q1536" s="638">
        <v>0</v>
      </c>
      <c r="R1536" s="638">
        <v>0</v>
      </c>
      <c r="S1536" s="638">
        <v>17391</v>
      </c>
      <c r="T1536" s="638">
        <v>17391</v>
      </c>
      <c r="U1536" s="638">
        <v>5097</v>
      </c>
      <c r="V1536" s="636">
        <v>2022</v>
      </c>
      <c r="W1536" s="640"/>
      <c r="X1536" s="641">
        <f t="shared" si="69"/>
        <v>3.4120070629782226</v>
      </c>
      <c r="Y1536" s="642" t="str">
        <f t="shared" si="70"/>
        <v/>
      </c>
      <c r="Z1536" s="642" t="str">
        <f t="shared" si="71"/>
        <v/>
      </c>
    </row>
    <row r="1537" spans="1:26" s="127" customFormat="1" ht="25">
      <c r="A1537" s="636">
        <v>60608</v>
      </c>
      <c r="B1537" s="637" t="s">
        <v>33</v>
      </c>
      <c r="C1537" s="636" t="s">
        <v>2725</v>
      </c>
      <c r="D1537" s="637" t="s">
        <v>2100</v>
      </c>
      <c r="E1537" s="637" t="s">
        <v>1883</v>
      </c>
      <c r="F1537" s="636">
        <v>60947</v>
      </c>
      <c r="G1537" s="637" t="s">
        <v>41</v>
      </c>
      <c r="H1537" s="637" t="s">
        <v>1163</v>
      </c>
      <c r="I1537" s="637" t="s">
        <v>58</v>
      </c>
      <c r="J1537" s="636">
        <v>22</v>
      </c>
      <c r="K1537" s="636">
        <v>2</v>
      </c>
      <c r="L1537" s="637" t="s">
        <v>52</v>
      </c>
      <c r="M1537" s="637" t="s">
        <v>441</v>
      </c>
      <c r="N1537" s="637" t="s">
        <v>442</v>
      </c>
      <c r="O1537" s="637" t="s">
        <v>442</v>
      </c>
      <c r="P1537" s="637" t="s">
        <v>1156</v>
      </c>
      <c r="Q1537" s="638">
        <v>0</v>
      </c>
      <c r="R1537" s="638">
        <v>0</v>
      </c>
      <c r="S1537" s="638">
        <v>5054</v>
      </c>
      <c r="T1537" s="638">
        <v>5054</v>
      </c>
      <c r="U1537" s="638">
        <v>1481</v>
      </c>
      <c r="V1537" s="636">
        <v>2022</v>
      </c>
      <c r="W1537" s="640"/>
      <c r="X1537" s="641">
        <f t="shared" si="69"/>
        <v>3.412559081701553</v>
      </c>
      <c r="Y1537" s="642" t="str">
        <f t="shared" si="70"/>
        <v/>
      </c>
      <c r="Z1537" s="642" t="str">
        <f t="shared" si="71"/>
        <v/>
      </c>
    </row>
    <row r="1538" spans="1:26" s="127" customFormat="1" ht="25">
      <c r="A1538" s="636">
        <v>60609</v>
      </c>
      <c r="B1538" s="637" t="s">
        <v>33</v>
      </c>
      <c r="C1538" s="636" t="s">
        <v>2725</v>
      </c>
      <c r="D1538" s="637" t="s">
        <v>2751</v>
      </c>
      <c r="E1538" s="637" t="s">
        <v>1883</v>
      </c>
      <c r="F1538" s="636">
        <v>60947</v>
      </c>
      <c r="G1538" s="637" t="s">
        <v>41</v>
      </c>
      <c r="H1538" s="637" t="s">
        <v>1163</v>
      </c>
      <c r="I1538" s="637" t="s">
        <v>58</v>
      </c>
      <c r="J1538" s="636">
        <v>22</v>
      </c>
      <c r="K1538" s="636">
        <v>2</v>
      </c>
      <c r="L1538" s="637" t="s">
        <v>52</v>
      </c>
      <c r="M1538" s="637" t="s">
        <v>1852</v>
      </c>
      <c r="N1538" s="637" t="s">
        <v>1035</v>
      </c>
      <c r="O1538" s="637" t="s">
        <v>82</v>
      </c>
      <c r="P1538" s="637" t="s">
        <v>2726</v>
      </c>
      <c r="Q1538" s="638">
        <v>53</v>
      </c>
      <c r="R1538" s="638">
        <v>53</v>
      </c>
      <c r="S1538" s="638">
        <v>0</v>
      </c>
      <c r="T1538" s="638">
        <v>0</v>
      </c>
      <c r="U1538" s="638">
        <v>-18</v>
      </c>
      <c r="V1538" s="636">
        <v>2022</v>
      </c>
      <c r="W1538" s="640"/>
      <c r="X1538" s="641" t="str">
        <f t="shared" si="69"/>
        <v/>
      </c>
      <c r="Y1538" s="642" t="str">
        <f t="shared" si="70"/>
        <v/>
      </c>
      <c r="Z1538" s="642" t="str">
        <f t="shared" si="71"/>
        <v/>
      </c>
    </row>
    <row r="1539" spans="1:26" s="127" customFormat="1" ht="25">
      <c r="A1539" s="636">
        <v>60609</v>
      </c>
      <c r="B1539" s="637" t="s">
        <v>33</v>
      </c>
      <c r="C1539" s="636" t="s">
        <v>2725</v>
      </c>
      <c r="D1539" s="637" t="s">
        <v>2751</v>
      </c>
      <c r="E1539" s="637" t="s">
        <v>1883</v>
      </c>
      <c r="F1539" s="636">
        <v>60947</v>
      </c>
      <c r="G1539" s="637" t="s">
        <v>41</v>
      </c>
      <c r="H1539" s="637" t="s">
        <v>1163</v>
      </c>
      <c r="I1539" s="637" t="s">
        <v>58</v>
      </c>
      <c r="J1539" s="636">
        <v>22</v>
      </c>
      <c r="K1539" s="636">
        <v>2</v>
      </c>
      <c r="L1539" s="637" t="s">
        <v>52</v>
      </c>
      <c r="M1539" s="637" t="s">
        <v>441</v>
      </c>
      <c r="N1539" s="637" t="s">
        <v>442</v>
      </c>
      <c r="O1539" s="637" t="s">
        <v>442</v>
      </c>
      <c r="P1539" s="637" t="s">
        <v>1156</v>
      </c>
      <c r="Q1539" s="638">
        <v>0</v>
      </c>
      <c r="R1539" s="638">
        <v>0</v>
      </c>
      <c r="S1539" s="638">
        <v>19805</v>
      </c>
      <c r="T1539" s="638">
        <v>19805</v>
      </c>
      <c r="U1539" s="638">
        <v>5804</v>
      </c>
      <c r="V1539" s="636">
        <v>2022</v>
      </c>
      <c r="W1539" s="640"/>
      <c r="X1539" s="641">
        <f t="shared" si="69"/>
        <v>3.4123018607856652</v>
      </c>
      <c r="Y1539" s="642" t="str">
        <f t="shared" si="70"/>
        <v/>
      </c>
      <c r="Z1539" s="642" t="str">
        <f t="shared" si="71"/>
        <v/>
      </c>
    </row>
    <row r="1540" spans="1:26" s="127" customFormat="1" ht="25">
      <c r="A1540" s="636">
        <v>60612</v>
      </c>
      <c r="B1540" s="637" t="s">
        <v>33</v>
      </c>
      <c r="C1540" s="636" t="s">
        <v>2725</v>
      </c>
      <c r="D1540" s="637" t="s">
        <v>1960</v>
      </c>
      <c r="E1540" s="637" t="s">
        <v>3049</v>
      </c>
      <c r="F1540" s="636">
        <v>63621</v>
      </c>
      <c r="G1540" s="637" t="s">
        <v>81</v>
      </c>
      <c r="H1540" s="637" t="s">
        <v>1163</v>
      </c>
      <c r="I1540" s="637" t="s">
        <v>58</v>
      </c>
      <c r="J1540" s="636">
        <v>22</v>
      </c>
      <c r="K1540" s="636">
        <v>2</v>
      </c>
      <c r="L1540" s="637" t="s">
        <v>52</v>
      </c>
      <c r="M1540" s="637" t="s">
        <v>441</v>
      </c>
      <c r="N1540" s="637" t="s">
        <v>442</v>
      </c>
      <c r="O1540" s="637" t="s">
        <v>442</v>
      </c>
      <c r="P1540" s="637" t="s">
        <v>1156</v>
      </c>
      <c r="Q1540" s="638">
        <v>0</v>
      </c>
      <c r="R1540" s="638">
        <v>0</v>
      </c>
      <c r="S1540" s="638">
        <v>20271</v>
      </c>
      <c r="T1540" s="638">
        <v>20271</v>
      </c>
      <c r="U1540" s="638">
        <v>5941</v>
      </c>
      <c r="V1540" s="636">
        <v>2022</v>
      </c>
      <c r="W1540" s="640"/>
      <c r="X1540" s="641">
        <f t="shared" si="69"/>
        <v>3.4120518431240532</v>
      </c>
      <c r="Y1540" s="642" t="str">
        <f t="shared" si="70"/>
        <v/>
      </c>
      <c r="Z1540" s="642" t="str">
        <f t="shared" si="71"/>
        <v/>
      </c>
    </row>
    <row r="1541" spans="1:26" s="127" customFormat="1" ht="25">
      <c r="A1541" s="636">
        <v>60613</v>
      </c>
      <c r="B1541" s="637" t="s">
        <v>33</v>
      </c>
      <c r="C1541" s="636" t="s">
        <v>2725</v>
      </c>
      <c r="D1541" s="637" t="s">
        <v>1961</v>
      </c>
      <c r="E1541" s="637" t="s">
        <v>3049</v>
      </c>
      <c r="F1541" s="636">
        <v>63621</v>
      </c>
      <c r="G1541" s="637" t="s">
        <v>81</v>
      </c>
      <c r="H1541" s="637" t="s">
        <v>1163</v>
      </c>
      <c r="I1541" s="637" t="s">
        <v>58</v>
      </c>
      <c r="J1541" s="636">
        <v>22</v>
      </c>
      <c r="K1541" s="636">
        <v>2</v>
      </c>
      <c r="L1541" s="637" t="s">
        <v>52</v>
      </c>
      <c r="M1541" s="637" t="s">
        <v>441</v>
      </c>
      <c r="N1541" s="637" t="s">
        <v>442</v>
      </c>
      <c r="O1541" s="637" t="s">
        <v>442</v>
      </c>
      <c r="P1541" s="637" t="s">
        <v>1156</v>
      </c>
      <c r="Q1541" s="638">
        <v>0</v>
      </c>
      <c r="R1541" s="638">
        <v>0</v>
      </c>
      <c r="S1541" s="638">
        <v>5534</v>
      </c>
      <c r="T1541" s="638">
        <v>5534</v>
      </c>
      <c r="U1541" s="638">
        <v>1622</v>
      </c>
      <c r="V1541" s="636">
        <v>2022</v>
      </c>
      <c r="W1541" s="640"/>
      <c r="X1541" s="641">
        <f t="shared" si="69"/>
        <v>3.4118372379778052</v>
      </c>
      <c r="Y1541" s="642" t="str">
        <f t="shared" si="70"/>
        <v/>
      </c>
      <c r="Z1541" s="642" t="str">
        <f t="shared" si="71"/>
        <v/>
      </c>
    </row>
    <row r="1542" spans="1:26" s="127" customFormat="1" ht="25">
      <c r="A1542" s="636">
        <v>60614</v>
      </c>
      <c r="B1542" s="637" t="s">
        <v>33</v>
      </c>
      <c r="C1542" s="636" t="s">
        <v>2725</v>
      </c>
      <c r="D1542" s="637" t="s">
        <v>1962</v>
      </c>
      <c r="E1542" s="637" t="s">
        <v>3049</v>
      </c>
      <c r="F1542" s="636">
        <v>63621</v>
      </c>
      <c r="G1542" s="637" t="s">
        <v>81</v>
      </c>
      <c r="H1542" s="637" t="s">
        <v>1163</v>
      </c>
      <c r="I1542" s="637" t="s">
        <v>58</v>
      </c>
      <c r="J1542" s="636">
        <v>22</v>
      </c>
      <c r="K1542" s="636">
        <v>2</v>
      </c>
      <c r="L1542" s="637" t="s">
        <v>52</v>
      </c>
      <c r="M1542" s="637" t="s">
        <v>441</v>
      </c>
      <c r="N1542" s="637" t="s">
        <v>442</v>
      </c>
      <c r="O1542" s="637" t="s">
        <v>442</v>
      </c>
      <c r="P1542" s="637" t="s">
        <v>1156</v>
      </c>
      <c r="Q1542" s="638">
        <v>0</v>
      </c>
      <c r="R1542" s="638">
        <v>0</v>
      </c>
      <c r="S1542" s="638">
        <v>5367</v>
      </c>
      <c r="T1542" s="638">
        <v>5367</v>
      </c>
      <c r="U1542" s="638">
        <v>1573</v>
      </c>
      <c r="V1542" s="636">
        <v>2022</v>
      </c>
      <c r="W1542" s="640"/>
      <c r="X1542" s="641">
        <f t="shared" si="69"/>
        <v>3.4119516846789573</v>
      </c>
      <c r="Y1542" s="642" t="str">
        <f t="shared" si="70"/>
        <v/>
      </c>
      <c r="Z1542" s="642" t="str">
        <f t="shared" si="71"/>
        <v/>
      </c>
    </row>
    <row r="1543" spans="1:26" s="127" customFormat="1" ht="25">
      <c r="A1543" s="636">
        <v>60615</v>
      </c>
      <c r="B1543" s="637" t="s">
        <v>33</v>
      </c>
      <c r="C1543" s="636" t="s">
        <v>2725</v>
      </c>
      <c r="D1543" s="637" t="s">
        <v>1963</v>
      </c>
      <c r="E1543" s="637" t="s">
        <v>3051</v>
      </c>
      <c r="F1543" s="636">
        <v>60809</v>
      </c>
      <c r="G1543" s="637" t="s">
        <v>81</v>
      </c>
      <c r="H1543" s="637" t="s">
        <v>1163</v>
      </c>
      <c r="I1543" s="637" t="s">
        <v>58</v>
      </c>
      <c r="J1543" s="636">
        <v>22</v>
      </c>
      <c r="K1543" s="636">
        <v>2</v>
      </c>
      <c r="L1543" s="637" t="s">
        <v>52</v>
      </c>
      <c r="M1543" s="637" t="s">
        <v>441</v>
      </c>
      <c r="N1543" s="637" t="s">
        <v>442</v>
      </c>
      <c r="O1543" s="637" t="s">
        <v>442</v>
      </c>
      <c r="P1543" s="637" t="s">
        <v>1156</v>
      </c>
      <c r="Q1543" s="638">
        <v>0</v>
      </c>
      <c r="R1543" s="638">
        <v>0</v>
      </c>
      <c r="S1543" s="638">
        <v>12800</v>
      </c>
      <c r="T1543" s="638">
        <v>12800</v>
      </c>
      <c r="U1543" s="638">
        <v>3751</v>
      </c>
      <c r="V1543" s="636">
        <v>2022</v>
      </c>
      <c r="W1543" s="640"/>
      <c r="X1543" s="641">
        <f t="shared" si="69"/>
        <v>3.4124233537723274</v>
      </c>
      <c r="Y1543" s="642" t="str">
        <f t="shared" si="70"/>
        <v/>
      </c>
      <c r="Z1543" s="642" t="str">
        <f t="shared" si="71"/>
        <v/>
      </c>
    </row>
    <row r="1544" spans="1:26" s="127" customFormat="1" ht="25">
      <c r="A1544" s="636">
        <v>60621</v>
      </c>
      <c r="B1544" s="637" t="s">
        <v>33</v>
      </c>
      <c r="C1544" s="636" t="s">
        <v>2725</v>
      </c>
      <c r="D1544" s="637" t="s">
        <v>2101</v>
      </c>
      <c r="E1544" s="637" t="s">
        <v>2102</v>
      </c>
      <c r="F1544" s="636">
        <v>60369</v>
      </c>
      <c r="G1544" s="637" t="s">
        <v>81</v>
      </c>
      <c r="H1544" s="637" t="s">
        <v>1163</v>
      </c>
      <c r="I1544" s="637" t="s">
        <v>58</v>
      </c>
      <c r="J1544" s="636">
        <v>22</v>
      </c>
      <c r="K1544" s="636">
        <v>2</v>
      </c>
      <c r="L1544" s="637" t="s">
        <v>52</v>
      </c>
      <c r="M1544" s="637" t="s">
        <v>441</v>
      </c>
      <c r="N1544" s="637" t="s">
        <v>442</v>
      </c>
      <c r="O1544" s="637" t="s">
        <v>442</v>
      </c>
      <c r="P1544" s="637" t="s">
        <v>1156</v>
      </c>
      <c r="Q1544" s="638">
        <v>0</v>
      </c>
      <c r="R1544" s="638">
        <v>0</v>
      </c>
      <c r="S1544" s="638">
        <v>31848</v>
      </c>
      <c r="T1544" s="638">
        <v>31848</v>
      </c>
      <c r="U1544" s="638">
        <v>9334</v>
      </c>
      <c r="V1544" s="636">
        <v>2022</v>
      </c>
      <c r="W1544" s="640"/>
      <c r="X1544" s="641">
        <f t="shared" ref="X1544:X1607" si="72">IF(OR(K1544&gt;3,T1544=0,NOT(U1544&gt;0)),"",T1544/U1544)</f>
        <v>3.4120419970002143</v>
      </c>
      <c r="Y1544" s="642" t="str">
        <f t="shared" ref="Y1544:Y1607" si="73">IF(AND($M1544=$Y$2,$N1544=$Y$3,NOT($Q1544=$R1544),NOT($U1544=0)),IF($K1544=5,$S1544/($U1544+(8/5)*$U1544),IF($K1544=7,$S1544/($U1544+(29/25)*$U1544),"")),"")</f>
        <v/>
      </c>
      <c r="Z1544" s="642" t="str">
        <f t="shared" si="71"/>
        <v/>
      </c>
    </row>
    <row r="1545" spans="1:26" s="127" customFormat="1" ht="25">
      <c r="A1545" s="636">
        <v>60625</v>
      </c>
      <c r="B1545" s="637" t="s">
        <v>33</v>
      </c>
      <c r="C1545" s="636" t="s">
        <v>2725</v>
      </c>
      <c r="D1545" s="637" t="s">
        <v>2752</v>
      </c>
      <c r="E1545" s="637" t="s">
        <v>1964</v>
      </c>
      <c r="F1545" s="636">
        <v>60365</v>
      </c>
      <c r="G1545" s="637" t="s">
        <v>81</v>
      </c>
      <c r="H1545" s="637" t="s">
        <v>1163</v>
      </c>
      <c r="I1545" s="637" t="s">
        <v>58</v>
      </c>
      <c r="J1545" s="636">
        <v>22</v>
      </c>
      <c r="K1545" s="636">
        <v>2</v>
      </c>
      <c r="L1545" s="637" t="s">
        <v>52</v>
      </c>
      <c r="M1545" s="637" t="s">
        <v>441</v>
      </c>
      <c r="N1545" s="637" t="s">
        <v>442</v>
      </c>
      <c r="O1545" s="637" t="s">
        <v>442</v>
      </c>
      <c r="P1545" s="637" t="s">
        <v>1156</v>
      </c>
      <c r="Q1545" s="638">
        <v>0</v>
      </c>
      <c r="R1545" s="638">
        <v>0</v>
      </c>
      <c r="S1545" s="638">
        <v>6063</v>
      </c>
      <c r="T1545" s="638">
        <v>6063</v>
      </c>
      <c r="U1545" s="638">
        <v>1777</v>
      </c>
      <c r="V1545" s="636">
        <v>2022</v>
      </c>
      <c r="W1545" s="640"/>
      <c r="X1545" s="641">
        <f t="shared" si="72"/>
        <v>3.4119302194710186</v>
      </c>
      <c r="Y1545" s="642" t="str">
        <f t="shared" si="73"/>
        <v/>
      </c>
      <c r="Z1545" s="642" t="str">
        <f t="shared" si="71"/>
        <v/>
      </c>
    </row>
    <row r="1546" spans="1:26" s="127" customFormat="1" ht="25">
      <c r="A1546" s="636">
        <v>60640</v>
      </c>
      <c r="B1546" s="637" t="s">
        <v>33</v>
      </c>
      <c r="C1546" s="636" t="s">
        <v>2725</v>
      </c>
      <c r="D1546" s="637" t="s">
        <v>2753</v>
      </c>
      <c r="E1546" s="637" t="s">
        <v>2753</v>
      </c>
      <c r="F1546" s="636">
        <v>64658</v>
      </c>
      <c r="G1546" s="637" t="s">
        <v>90</v>
      </c>
      <c r="H1546" s="637" t="s">
        <v>1163</v>
      </c>
      <c r="I1546" s="637" t="s">
        <v>58</v>
      </c>
      <c r="J1546" s="636">
        <v>22</v>
      </c>
      <c r="K1546" s="636">
        <v>2</v>
      </c>
      <c r="L1546" s="637" t="s">
        <v>52</v>
      </c>
      <c r="M1546" s="637" t="s">
        <v>441</v>
      </c>
      <c r="N1546" s="637" t="s">
        <v>442</v>
      </c>
      <c r="O1546" s="637" t="s">
        <v>442</v>
      </c>
      <c r="P1546" s="637" t="s">
        <v>1156</v>
      </c>
      <c r="Q1546" s="638">
        <v>0</v>
      </c>
      <c r="R1546" s="638">
        <v>0</v>
      </c>
      <c r="S1546" s="638">
        <v>7639</v>
      </c>
      <c r="T1546" s="638">
        <v>7639</v>
      </c>
      <c r="U1546" s="638">
        <v>2239</v>
      </c>
      <c r="V1546" s="636">
        <v>2022</v>
      </c>
      <c r="W1546" s="640"/>
      <c r="X1546" s="641">
        <f t="shared" si="72"/>
        <v>3.41179097811523</v>
      </c>
      <c r="Y1546" s="642" t="str">
        <f t="shared" si="73"/>
        <v/>
      </c>
      <c r="Z1546" s="642" t="str">
        <f t="shared" si="71"/>
        <v/>
      </c>
    </row>
    <row r="1547" spans="1:26" s="127" customFormat="1" ht="25">
      <c r="A1547" s="636">
        <v>60644</v>
      </c>
      <c r="B1547" s="637" t="s">
        <v>33</v>
      </c>
      <c r="C1547" s="636" t="s">
        <v>2725</v>
      </c>
      <c r="D1547" s="637" t="s">
        <v>1965</v>
      </c>
      <c r="E1547" s="637" t="s">
        <v>3052</v>
      </c>
      <c r="F1547" s="636">
        <v>63622</v>
      </c>
      <c r="G1547" s="637" t="s">
        <v>81</v>
      </c>
      <c r="H1547" s="637" t="s">
        <v>1163</v>
      </c>
      <c r="I1547" s="637" t="s">
        <v>58</v>
      </c>
      <c r="J1547" s="636">
        <v>22</v>
      </c>
      <c r="K1547" s="636">
        <v>2</v>
      </c>
      <c r="L1547" s="637" t="s">
        <v>52</v>
      </c>
      <c r="M1547" s="637" t="s">
        <v>441</v>
      </c>
      <c r="N1547" s="637" t="s">
        <v>442</v>
      </c>
      <c r="O1547" s="637" t="s">
        <v>442</v>
      </c>
      <c r="P1547" s="637" t="s">
        <v>1156</v>
      </c>
      <c r="Q1547" s="638">
        <v>0</v>
      </c>
      <c r="R1547" s="638">
        <v>0</v>
      </c>
      <c r="S1547" s="638">
        <v>6957</v>
      </c>
      <c r="T1547" s="638">
        <v>6957</v>
      </c>
      <c r="U1547" s="638">
        <v>2039</v>
      </c>
      <c r="V1547" s="636">
        <v>2022</v>
      </c>
      <c r="W1547" s="640"/>
      <c r="X1547" s="641">
        <f t="shared" si="72"/>
        <v>3.4119666503187838</v>
      </c>
      <c r="Y1547" s="642" t="str">
        <f t="shared" si="73"/>
        <v/>
      </c>
      <c r="Z1547" s="642" t="str">
        <f t="shared" si="71"/>
        <v/>
      </c>
    </row>
    <row r="1548" spans="1:26" s="127" customFormat="1" ht="25">
      <c r="A1548" s="636">
        <v>60653</v>
      </c>
      <c r="B1548" s="637" t="s">
        <v>33</v>
      </c>
      <c r="C1548" s="636" t="s">
        <v>2725</v>
      </c>
      <c r="D1548" s="637" t="s">
        <v>1966</v>
      </c>
      <c r="E1548" s="637" t="s">
        <v>1950</v>
      </c>
      <c r="F1548" s="636">
        <v>60281</v>
      </c>
      <c r="G1548" s="637" t="s">
        <v>81</v>
      </c>
      <c r="H1548" s="637" t="s">
        <v>1163</v>
      </c>
      <c r="I1548" s="637" t="s">
        <v>58</v>
      </c>
      <c r="J1548" s="636">
        <v>22</v>
      </c>
      <c r="K1548" s="636">
        <v>2</v>
      </c>
      <c r="L1548" s="637" t="s">
        <v>52</v>
      </c>
      <c r="M1548" s="637" t="s">
        <v>441</v>
      </c>
      <c r="N1548" s="637" t="s">
        <v>442</v>
      </c>
      <c r="O1548" s="637" t="s">
        <v>442</v>
      </c>
      <c r="P1548" s="637" t="s">
        <v>1156</v>
      </c>
      <c r="Q1548" s="638">
        <v>0</v>
      </c>
      <c r="R1548" s="638">
        <v>0</v>
      </c>
      <c r="S1548" s="638">
        <v>4849</v>
      </c>
      <c r="T1548" s="638">
        <v>4849</v>
      </c>
      <c r="U1548" s="638">
        <v>1421</v>
      </c>
      <c r="V1548" s="636">
        <v>2022</v>
      </c>
      <c r="W1548" s="640"/>
      <c r="X1548" s="641">
        <f t="shared" si="72"/>
        <v>3.4123856439127374</v>
      </c>
      <c r="Y1548" s="642" t="str">
        <f t="shared" si="73"/>
        <v/>
      </c>
      <c r="Z1548" s="642" t="str">
        <f t="shared" si="71"/>
        <v/>
      </c>
    </row>
    <row r="1549" spans="1:26" s="127" customFormat="1" ht="37.5" hidden="1">
      <c r="A1549" s="636">
        <v>60677</v>
      </c>
      <c r="B1549" s="637" t="s">
        <v>33</v>
      </c>
      <c r="C1549" s="636" t="s">
        <v>2725</v>
      </c>
      <c r="D1549" s="637" t="s">
        <v>1967</v>
      </c>
      <c r="E1549" s="637" t="s">
        <v>1968</v>
      </c>
      <c r="F1549" s="636">
        <v>60401</v>
      </c>
      <c r="G1549" s="637" t="s">
        <v>57</v>
      </c>
      <c r="H1549" s="637" t="s">
        <v>1162</v>
      </c>
      <c r="I1549" s="637" t="s">
        <v>1135</v>
      </c>
      <c r="J1549" s="636">
        <v>562212</v>
      </c>
      <c r="K1549" s="636">
        <v>4</v>
      </c>
      <c r="L1549" s="637" t="s">
        <v>406</v>
      </c>
      <c r="M1549" s="637" t="s">
        <v>441</v>
      </c>
      <c r="N1549" s="637" t="s">
        <v>442</v>
      </c>
      <c r="O1549" s="637" t="s">
        <v>442</v>
      </c>
      <c r="P1549" s="637" t="s">
        <v>1156</v>
      </c>
      <c r="Q1549" s="638">
        <v>0</v>
      </c>
      <c r="R1549" s="638">
        <v>0</v>
      </c>
      <c r="S1549" s="638">
        <v>9672</v>
      </c>
      <c r="T1549" s="638">
        <v>9672</v>
      </c>
      <c r="U1549" s="638">
        <v>2835</v>
      </c>
      <c r="V1549" s="636">
        <v>2022</v>
      </c>
      <c r="W1549" s="640"/>
      <c r="X1549" s="641" t="str">
        <f t="shared" si="72"/>
        <v/>
      </c>
      <c r="Y1549" s="642" t="str">
        <f t="shared" si="73"/>
        <v/>
      </c>
      <c r="Z1549" s="642" t="str">
        <f t="shared" si="71"/>
        <v/>
      </c>
    </row>
    <row r="1550" spans="1:26" s="127" customFormat="1" ht="25">
      <c r="A1550" s="636">
        <v>60683</v>
      </c>
      <c r="B1550" s="637" t="s">
        <v>54</v>
      </c>
      <c r="C1550" s="636" t="s">
        <v>2725</v>
      </c>
      <c r="D1550" s="637" t="s">
        <v>2103</v>
      </c>
      <c r="E1550" s="637" t="s">
        <v>2104</v>
      </c>
      <c r="F1550" s="636">
        <v>60403</v>
      </c>
      <c r="G1550" s="637" t="s">
        <v>41</v>
      </c>
      <c r="H1550" s="637" t="s">
        <v>1163</v>
      </c>
      <c r="I1550" s="637" t="s">
        <v>58</v>
      </c>
      <c r="J1550" s="636">
        <v>22</v>
      </c>
      <c r="K1550" s="636">
        <v>3</v>
      </c>
      <c r="L1550" s="637" t="s">
        <v>55</v>
      </c>
      <c r="M1550" s="637" t="s">
        <v>1232</v>
      </c>
      <c r="N1550" s="637" t="s">
        <v>39</v>
      </c>
      <c r="O1550" s="637" t="s">
        <v>39</v>
      </c>
      <c r="P1550" s="637" t="s">
        <v>1020</v>
      </c>
      <c r="Q1550" s="638">
        <v>0</v>
      </c>
      <c r="R1550" s="638">
        <v>0</v>
      </c>
      <c r="S1550" s="638">
        <v>0</v>
      </c>
      <c r="T1550" s="638">
        <v>0</v>
      </c>
      <c r="U1550" s="638">
        <v>0</v>
      </c>
      <c r="V1550" s="636">
        <v>2022</v>
      </c>
      <c r="W1550" s="640"/>
      <c r="X1550" s="641" t="str">
        <f t="shared" si="72"/>
        <v/>
      </c>
      <c r="Y1550" s="642" t="str">
        <f t="shared" si="73"/>
        <v/>
      </c>
      <c r="Z1550" s="642" t="str">
        <f t="shared" si="71"/>
        <v/>
      </c>
    </row>
    <row r="1551" spans="1:26" s="127" customFormat="1" ht="25">
      <c r="A1551" s="636">
        <v>60700</v>
      </c>
      <c r="B1551" s="637" t="s">
        <v>33</v>
      </c>
      <c r="C1551" s="636" t="s">
        <v>2725</v>
      </c>
      <c r="D1551" s="637" t="s">
        <v>1969</v>
      </c>
      <c r="E1551" s="637" t="s">
        <v>1969</v>
      </c>
      <c r="F1551" s="636">
        <v>60430</v>
      </c>
      <c r="G1551" s="637" t="s">
        <v>41</v>
      </c>
      <c r="H1551" s="637" t="s">
        <v>1163</v>
      </c>
      <c r="I1551" s="637" t="s">
        <v>58</v>
      </c>
      <c r="J1551" s="636">
        <v>22</v>
      </c>
      <c r="K1551" s="636">
        <v>2</v>
      </c>
      <c r="L1551" s="637" t="s">
        <v>52</v>
      </c>
      <c r="M1551" s="637" t="s">
        <v>71</v>
      </c>
      <c r="N1551" s="637" t="s">
        <v>72</v>
      </c>
      <c r="O1551" s="637" t="s">
        <v>72</v>
      </c>
      <c r="P1551" s="637" t="s">
        <v>1156</v>
      </c>
      <c r="Q1551" s="638">
        <v>0</v>
      </c>
      <c r="R1551" s="638">
        <v>0</v>
      </c>
      <c r="S1551" s="638">
        <v>38731</v>
      </c>
      <c r="T1551" s="638">
        <v>38731</v>
      </c>
      <c r="U1551" s="638">
        <v>11351</v>
      </c>
      <c r="V1551" s="636">
        <v>2022</v>
      </c>
      <c r="W1551" s="640"/>
      <c r="X1551" s="641">
        <f t="shared" si="72"/>
        <v>3.4121222799753324</v>
      </c>
      <c r="Y1551" s="642" t="str">
        <f t="shared" si="73"/>
        <v/>
      </c>
      <c r="Z1551" s="642" t="str">
        <f t="shared" si="71"/>
        <v/>
      </c>
    </row>
    <row r="1552" spans="1:26" s="127" customFormat="1" ht="25">
      <c r="A1552" s="636">
        <v>60710</v>
      </c>
      <c r="B1552" s="637" t="s">
        <v>33</v>
      </c>
      <c r="C1552" s="636" t="s">
        <v>2725</v>
      </c>
      <c r="D1552" s="637" t="s">
        <v>2298</v>
      </c>
      <c r="E1552" s="637" t="s">
        <v>3623</v>
      </c>
      <c r="F1552" s="636">
        <v>61944</v>
      </c>
      <c r="G1552" s="637" t="s">
        <v>81</v>
      </c>
      <c r="H1552" s="637" t="s">
        <v>1163</v>
      </c>
      <c r="I1552" s="637" t="s">
        <v>58</v>
      </c>
      <c r="J1552" s="636">
        <v>22</v>
      </c>
      <c r="K1552" s="636">
        <v>2</v>
      </c>
      <c r="L1552" s="637" t="s">
        <v>52</v>
      </c>
      <c r="M1552" s="637" t="s">
        <v>441</v>
      </c>
      <c r="N1552" s="637" t="s">
        <v>442</v>
      </c>
      <c r="O1552" s="637" t="s">
        <v>442</v>
      </c>
      <c r="P1552" s="637" t="s">
        <v>1156</v>
      </c>
      <c r="Q1552" s="638">
        <v>0</v>
      </c>
      <c r="R1552" s="638">
        <v>0</v>
      </c>
      <c r="S1552" s="638">
        <v>11347</v>
      </c>
      <c r="T1552" s="638">
        <v>11347</v>
      </c>
      <c r="U1552" s="638">
        <v>3326</v>
      </c>
      <c r="V1552" s="636">
        <v>2022</v>
      </c>
      <c r="W1552" s="640"/>
      <c r="X1552" s="641">
        <f t="shared" si="72"/>
        <v>3.4116055321707757</v>
      </c>
      <c r="Y1552" s="642" t="str">
        <f t="shared" si="73"/>
        <v/>
      </c>
      <c r="Z1552" s="642" t="str">
        <f t="shared" ref="Z1552:Z1615" si="74">IF(AND($M1552=$Y$2,$N1552=$Y$4,NOT($Q1552=$R1552),NOT($U1552=0)),IF($K1552=5,$S1552/($U1552+(8/5)*$U1552),IF($K1552=7,$S1552/($U1552+(29/25)*$U1552),"")),"")</f>
        <v/>
      </c>
    </row>
    <row r="1553" spans="1:26" s="127" customFormat="1" ht="25">
      <c r="A1553" s="636">
        <v>60730</v>
      </c>
      <c r="B1553" s="637" t="s">
        <v>33</v>
      </c>
      <c r="C1553" s="636" t="s">
        <v>2725</v>
      </c>
      <c r="D1553" s="637" t="s">
        <v>2299</v>
      </c>
      <c r="E1553" s="637" t="s">
        <v>3623</v>
      </c>
      <c r="F1553" s="636">
        <v>61944</v>
      </c>
      <c r="G1553" s="637" t="s">
        <v>81</v>
      </c>
      <c r="H1553" s="637" t="s">
        <v>1163</v>
      </c>
      <c r="I1553" s="637" t="s">
        <v>58</v>
      </c>
      <c r="J1553" s="636">
        <v>22</v>
      </c>
      <c r="K1553" s="636">
        <v>2</v>
      </c>
      <c r="L1553" s="637" t="s">
        <v>52</v>
      </c>
      <c r="M1553" s="637" t="s">
        <v>441</v>
      </c>
      <c r="N1553" s="637" t="s">
        <v>442</v>
      </c>
      <c r="O1553" s="637" t="s">
        <v>442</v>
      </c>
      <c r="P1553" s="637" t="s">
        <v>1156</v>
      </c>
      <c r="Q1553" s="638">
        <v>0</v>
      </c>
      <c r="R1553" s="638">
        <v>0</v>
      </c>
      <c r="S1553" s="638">
        <v>14328</v>
      </c>
      <c r="T1553" s="638">
        <v>14328</v>
      </c>
      <c r="U1553" s="638">
        <v>4199</v>
      </c>
      <c r="V1553" s="636">
        <v>2022</v>
      </c>
      <c r="W1553" s="640"/>
      <c r="X1553" s="641">
        <f t="shared" si="72"/>
        <v>3.4122410097642297</v>
      </c>
      <c r="Y1553" s="642" t="str">
        <f t="shared" si="73"/>
        <v/>
      </c>
      <c r="Z1553" s="642" t="str">
        <f t="shared" si="74"/>
        <v/>
      </c>
    </row>
    <row r="1554" spans="1:26" s="127" customFormat="1" ht="25">
      <c r="A1554" s="636">
        <v>60731</v>
      </c>
      <c r="B1554" s="637" t="s">
        <v>33</v>
      </c>
      <c r="C1554" s="636" t="s">
        <v>2725</v>
      </c>
      <c r="D1554" s="637" t="s">
        <v>2300</v>
      </c>
      <c r="E1554" s="637" t="s">
        <v>3623</v>
      </c>
      <c r="F1554" s="636">
        <v>61944</v>
      </c>
      <c r="G1554" s="637" t="s">
        <v>81</v>
      </c>
      <c r="H1554" s="637" t="s">
        <v>1163</v>
      </c>
      <c r="I1554" s="637" t="s">
        <v>58</v>
      </c>
      <c r="J1554" s="636">
        <v>22</v>
      </c>
      <c r="K1554" s="636">
        <v>2</v>
      </c>
      <c r="L1554" s="637" t="s">
        <v>52</v>
      </c>
      <c r="M1554" s="637" t="s">
        <v>441</v>
      </c>
      <c r="N1554" s="637" t="s">
        <v>442</v>
      </c>
      <c r="O1554" s="637" t="s">
        <v>442</v>
      </c>
      <c r="P1554" s="637" t="s">
        <v>1156</v>
      </c>
      <c r="Q1554" s="638">
        <v>0</v>
      </c>
      <c r="R1554" s="638">
        <v>0</v>
      </c>
      <c r="S1554" s="638">
        <v>5856</v>
      </c>
      <c r="T1554" s="638">
        <v>5856</v>
      </c>
      <c r="U1554" s="638">
        <v>1716</v>
      </c>
      <c r="V1554" s="636">
        <v>2022</v>
      </c>
      <c r="W1554" s="640"/>
      <c r="X1554" s="641">
        <f t="shared" si="72"/>
        <v>3.4125874125874125</v>
      </c>
      <c r="Y1554" s="642" t="str">
        <f t="shared" si="73"/>
        <v/>
      </c>
      <c r="Z1554" s="642" t="str">
        <f t="shared" si="74"/>
        <v/>
      </c>
    </row>
    <row r="1555" spans="1:26" s="127" customFormat="1" ht="25">
      <c r="A1555" s="636">
        <v>60736</v>
      </c>
      <c r="B1555" s="637" t="s">
        <v>33</v>
      </c>
      <c r="C1555" s="636" t="s">
        <v>2725</v>
      </c>
      <c r="D1555" s="637" t="s">
        <v>1970</v>
      </c>
      <c r="E1555" s="637" t="s">
        <v>3623</v>
      </c>
      <c r="F1555" s="636">
        <v>61944</v>
      </c>
      <c r="G1555" s="637" t="s">
        <v>81</v>
      </c>
      <c r="H1555" s="637" t="s">
        <v>1163</v>
      </c>
      <c r="I1555" s="637" t="s">
        <v>58</v>
      </c>
      <c r="J1555" s="636">
        <v>22</v>
      </c>
      <c r="K1555" s="636">
        <v>2</v>
      </c>
      <c r="L1555" s="637" t="s">
        <v>52</v>
      </c>
      <c r="M1555" s="637" t="s">
        <v>441</v>
      </c>
      <c r="N1555" s="637" t="s">
        <v>442</v>
      </c>
      <c r="O1555" s="637" t="s">
        <v>442</v>
      </c>
      <c r="P1555" s="637" t="s">
        <v>1156</v>
      </c>
      <c r="Q1555" s="638">
        <v>0</v>
      </c>
      <c r="R1555" s="638">
        <v>0</v>
      </c>
      <c r="S1555" s="638">
        <v>10902</v>
      </c>
      <c r="T1555" s="638">
        <v>10902</v>
      </c>
      <c r="U1555" s="638">
        <v>3195</v>
      </c>
      <c r="V1555" s="636">
        <v>2022</v>
      </c>
      <c r="W1555" s="640"/>
      <c r="X1555" s="641">
        <f t="shared" si="72"/>
        <v>3.4122065727699531</v>
      </c>
      <c r="Y1555" s="642" t="str">
        <f t="shared" si="73"/>
        <v/>
      </c>
      <c r="Z1555" s="642" t="str">
        <f t="shared" si="74"/>
        <v/>
      </c>
    </row>
    <row r="1556" spans="1:26" s="127" customFormat="1" ht="25">
      <c r="A1556" s="636">
        <v>60738</v>
      </c>
      <c r="B1556" s="637" t="s">
        <v>33</v>
      </c>
      <c r="C1556" s="636" t="s">
        <v>2725</v>
      </c>
      <c r="D1556" s="637" t="s">
        <v>2301</v>
      </c>
      <c r="E1556" s="637" t="s">
        <v>3623</v>
      </c>
      <c r="F1556" s="636">
        <v>61944</v>
      </c>
      <c r="G1556" s="637" t="s">
        <v>81</v>
      </c>
      <c r="H1556" s="637" t="s">
        <v>1163</v>
      </c>
      <c r="I1556" s="637" t="s">
        <v>58</v>
      </c>
      <c r="J1556" s="636">
        <v>22</v>
      </c>
      <c r="K1556" s="636">
        <v>2</v>
      </c>
      <c r="L1556" s="637" t="s">
        <v>52</v>
      </c>
      <c r="M1556" s="637" t="s">
        <v>441</v>
      </c>
      <c r="N1556" s="637" t="s">
        <v>442</v>
      </c>
      <c r="O1556" s="637" t="s">
        <v>442</v>
      </c>
      <c r="P1556" s="637" t="s">
        <v>1156</v>
      </c>
      <c r="Q1556" s="638">
        <v>0</v>
      </c>
      <c r="R1556" s="638">
        <v>0</v>
      </c>
      <c r="S1556" s="638">
        <v>9298</v>
      </c>
      <c r="T1556" s="638">
        <v>9298</v>
      </c>
      <c r="U1556" s="638">
        <v>2725</v>
      </c>
      <c r="V1556" s="636">
        <v>2022</v>
      </c>
      <c r="W1556" s="640"/>
      <c r="X1556" s="641">
        <f t="shared" si="72"/>
        <v>3.4121100917431191</v>
      </c>
      <c r="Y1556" s="642" t="str">
        <f t="shared" si="73"/>
        <v/>
      </c>
      <c r="Z1556" s="642" t="str">
        <f t="shared" si="74"/>
        <v/>
      </c>
    </row>
    <row r="1557" spans="1:26" s="127" customFormat="1" ht="25">
      <c r="A1557" s="636">
        <v>60753</v>
      </c>
      <c r="B1557" s="637" t="s">
        <v>33</v>
      </c>
      <c r="C1557" s="636" t="s">
        <v>2725</v>
      </c>
      <c r="D1557" s="637" t="s">
        <v>2105</v>
      </c>
      <c r="E1557" s="637" t="s">
        <v>1950</v>
      </c>
      <c r="F1557" s="636">
        <v>60281</v>
      </c>
      <c r="G1557" s="637" t="s">
        <v>81</v>
      </c>
      <c r="H1557" s="637" t="s">
        <v>1163</v>
      </c>
      <c r="I1557" s="637" t="s">
        <v>58</v>
      </c>
      <c r="J1557" s="636">
        <v>22</v>
      </c>
      <c r="K1557" s="636">
        <v>2</v>
      </c>
      <c r="L1557" s="637" t="s">
        <v>52</v>
      </c>
      <c r="M1557" s="637" t="s">
        <v>441</v>
      </c>
      <c r="N1557" s="637" t="s">
        <v>442</v>
      </c>
      <c r="O1557" s="637" t="s">
        <v>442</v>
      </c>
      <c r="P1557" s="637" t="s">
        <v>1156</v>
      </c>
      <c r="Q1557" s="638">
        <v>0</v>
      </c>
      <c r="R1557" s="638">
        <v>0</v>
      </c>
      <c r="S1557" s="638">
        <v>5265</v>
      </c>
      <c r="T1557" s="638">
        <v>5265</v>
      </c>
      <c r="U1557" s="638">
        <v>1543</v>
      </c>
      <c r="V1557" s="636">
        <v>2022</v>
      </c>
      <c r="W1557" s="640"/>
      <c r="X1557" s="641">
        <f t="shared" si="72"/>
        <v>3.4121840570317565</v>
      </c>
      <c r="Y1557" s="642" t="str">
        <f t="shared" si="73"/>
        <v/>
      </c>
      <c r="Z1557" s="642" t="str">
        <f t="shared" si="74"/>
        <v/>
      </c>
    </row>
    <row r="1558" spans="1:26" s="127" customFormat="1" ht="25">
      <c r="A1558" s="636">
        <v>60754</v>
      </c>
      <c r="B1558" s="637" t="s">
        <v>33</v>
      </c>
      <c r="C1558" s="636" t="s">
        <v>2725</v>
      </c>
      <c r="D1558" s="637" t="s">
        <v>2106</v>
      </c>
      <c r="E1558" s="637" t="s">
        <v>1950</v>
      </c>
      <c r="F1558" s="636">
        <v>60281</v>
      </c>
      <c r="G1558" s="637" t="s">
        <v>81</v>
      </c>
      <c r="H1558" s="637" t="s">
        <v>1163</v>
      </c>
      <c r="I1558" s="637" t="s">
        <v>58</v>
      </c>
      <c r="J1558" s="636">
        <v>22</v>
      </c>
      <c r="K1558" s="636">
        <v>2</v>
      </c>
      <c r="L1558" s="637" t="s">
        <v>52</v>
      </c>
      <c r="M1558" s="637" t="s">
        <v>441</v>
      </c>
      <c r="N1558" s="637" t="s">
        <v>442</v>
      </c>
      <c r="O1558" s="637" t="s">
        <v>442</v>
      </c>
      <c r="P1558" s="637" t="s">
        <v>1156</v>
      </c>
      <c r="Q1558" s="638">
        <v>0</v>
      </c>
      <c r="R1558" s="638">
        <v>0</v>
      </c>
      <c r="S1558" s="638">
        <v>5145</v>
      </c>
      <c r="T1558" s="638">
        <v>5145</v>
      </c>
      <c r="U1558" s="638">
        <v>1508</v>
      </c>
      <c r="V1558" s="636">
        <v>2022</v>
      </c>
      <c r="W1558" s="640"/>
      <c r="X1558" s="641">
        <f t="shared" si="72"/>
        <v>3.4118037135278514</v>
      </c>
      <c r="Y1558" s="642" t="str">
        <f t="shared" si="73"/>
        <v/>
      </c>
      <c r="Z1558" s="642" t="str">
        <f t="shared" si="74"/>
        <v/>
      </c>
    </row>
    <row r="1559" spans="1:26" s="127" customFormat="1" ht="25">
      <c r="A1559" s="636">
        <v>60756</v>
      </c>
      <c r="B1559" s="637" t="s">
        <v>33</v>
      </c>
      <c r="C1559" s="636" t="s">
        <v>2725</v>
      </c>
      <c r="D1559" s="637" t="s">
        <v>1971</v>
      </c>
      <c r="E1559" s="637" t="s">
        <v>1950</v>
      </c>
      <c r="F1559" s="636">
        <v>60281</v>
      </c>
      <c r="G1559" s="637" t="s">
        <v>81</v>
      </c>
      <c r="H1559" s="637" t="s">
        <v>1163</v>
      </c>
      <c r="I1559" s="637" t="s">
        <v>58</v>
      </c>
      <c r="J1559" s="636">
        <v>22</v>
      </c>
      <c r="K1559" s="636">
        <v>2</v>
      </c>
      <c r="L1559" s="637" t="s">
        <v>52</v>
      </c>
      <c r="M1559" s="637" t="s">
        <v>441</v>
      </c>
      <c r="N1559" s="637" t="s">
        <v>442</v>
      </c>
      <c r="O1559" s="637" t="s">
        <v>442</v>
      </c>
      <c r="P1559" s="637" t="s">
        <v>1156</v>
      </c>
      <c r="Q1559" s="638">
        <v>0</v>
      </c>
      <c r="R1559" s="638">
        <v>0</v>
      </c>
      <c r="S1559" s="638">
        <v>15034</v>
      </c>
      <c r="T1559" s="638">
        <v>15034</v>
      </c>
      <c r="U1559" s="638">
        <v>4406</v>
      </c>
      <c r="V1559" s="636">
        <v>2022</v>
      </c>
      <c r="W1559" s="640"/>
      <c r="X1559" s="641">
        <f t="shared" si="72"/>
        <v>3.4121652292328641</v>
      </c>
      <c r="Y1559" s="642" t="str">
        <f t="shared" si="73"/>
        <v/>
      </c>
      <c r="Z1559" s="642" t="str">
        <f t="shared" si="74"/>
        <v/>
      </c>
    </row>
    <row r="1560" spans="1:26" s="127" customFormat="1" ht="25">
      <c r="A1560" s="636">
        <v>60757</v>
      </c>
      <c r="B1560" s="637" t="s">
        <v>33</v>
      </c>
      <c r="C1560" s="636" t="s">
        <v>2725</v>
      </c>
      <c r="D1560" s="637" t="s">
        <v>2107</v>
      </c>
      <c r="E1560" s="637" t="s">
        <v>1950</v>
      </c>
      <c r="F1560" s="636">
        <v>60281</v>
      </c>
      <c r="G1560" s="637" t="s">
        <v>81</v>
      </c>
      <c r="H1560" s="637" t="s">
        <v>1163</v>
      </c>
      <c r="I1560" s="637" t="s">
        <v>58</v>
      </c>
      <c r="J1560" s="636">
        <v>22</v>
      </c>
      <c r="K1560" s="636">
        <v>2</v>
      </c>
      <c r="L1560" s="637" t="s">
        <v>52</v>
      </c>
      <c r="M1560" s="637" t="s">
        <v>441</v>
      </c>
      <c r="N1560" s="637" t="s">
        <v>442</v>
      </c>
      <c r="O1560" s="637" t="s">
        <v>442</v>
      </c>
      <c r="P1560" s="637" t="s">
        <v>1156</v>
      </c>
      <c r="Q1560" s="638">
        <v>0</v>
      </c>
      <c r="R1560" s="638">
        <v>0</v>
      </c>
      <c r="S1560" s="638">
        <v>14500</v>
      </c>
      <c r="T1560" s="638">
        <v>14500</v>
      </c>
      <c r="U1560" s="638">
        <v>4250</v>
      </c>
      <c r="V1560" s="636">
        <v>2022</v>
      </c>
      <c r="W1560" s="640"/>
      <c r="X1560" s="641">
        <f t="shared" si="72"/>
        <v>3.4117647058823528</v>
      </c>
      <c r="Y1560" s="642" t="str">
        <f t="shared" si="73"/>
        <v/>
      </c>
      <c r="Z1560" s="642" t="str">
        <f t="shared" si="74"/>
        <v/>
      </c>
    </row>
    <row r="1561" spans="1:26" s="127" customFormat="1" ht="25">
      <c r="A1561" s="636">
        <v>60775</v>
      </c>
      <c r="B1561" s="637" t="s">
        <v>33</v>
      </c>
      <c r="C1561" s="636" t="s">
        <v>2725</v>
      </c>
      <c r="D1561" s="637" t="s">
        <v>2108</v>
      </c>
      <c r="E1561" s="637" t="s">
        <v>3623</v>
      </c>
      <c r="F1561" s="636">
        <v>61944</v>
      </c>
      <c r="G1561" s="637" t="s">
        <v>81</v>
      </c>
      <c r="H1561" s="637" t="s">
        <v>1163</v>
      </c>
      <c r="I1561" s="637" t="s">
        <v>58</v>
      </c>
      <c r="J1561" s="636">
        <v>22</v>
      </c>
      <c r="K1561" s="636">
        <v>2</v>
      </c>
      <c r="L1561" s="637" t="s">
        <v>52</v>
      </c>
      <c r="M1561" s="637" t="s">
        <v>441</v>
      </c>
      <c r="N1561" s="637" t="s">
        <v>442</v>
      </c>
      <c r="O1561" s="637" t="s">
        <v>442</v>
      </c>
      <c r="P1561" s="637" t="s">
        <v>1156</v>
      </c>
      <c r="Q1561" s="638">
        <v>0</v>
      </c>
      <c r="R1561" s="638">
        <v>0</v>
      </c>
      <c r="S1561" s="638">
        <v>22513</v>
      </c>
      <c r="T1561" s="638">
        <v>22513</v>
      </c>
      <c r="U1561" s="638">
        <v>6598</v>
      </c>
      <c r="V1561" s="636">
        <v>2022</v>
      </c>
      <c r="W1561" s="640"/>
      <c r="X1561" s="641">
        <f t="shared" si="72"/>
        <v>3.4120945741133677</v>
      </c>
      <c r="Y1561" s="642" t="str">
        <f t="shared" si="73"/>
        <v/>
      </c>
      <c r="Z1561" s="642" t="str">
        <f t="shared" si="74"/>
        <v/>
      </c>
    </row>
    <row r="1562" spans="1:26" s="127" customFormat="1" ht="25">
      <c r="A1562" s="636">
        <v>60799</v>
      </c>
      <c r="B1562" s="637" t="s">
        <v>33</v>
      </c>
      <c r="C1562" s="636" t="s">
        <v>2725</v>
      </c>
      <c r="D1562" s="637" t="s">
        <v>2109</v>
      </c>
      <c r="E1562" s="637" t="s">
        <v>2109</v>
      </c>
      <c r="F1562" s="636">
        <v>60479</v>
      </c>
      <c r="G1562" s="637" t="s">
        <v>81</v>
      </c>
      <c r="H1562" s="637" t="s">
        <v>1163</v>
      </c>
      <c r="I1562" s="637" t="s">
        <v>58</v>
      </c>
      <c r="J1562" s="636">
        <v>22</v>
      </c>
      <c r="K1562" s="636">
        <v>2</v>
      </c>
      <c r="L1562" s="637" t="s">
        <v>52</v>
      </c>
      <c r="M1562" s="637" t="s">
        <v>441</v>
      </c>
      <c r="N1562" s="637" t="s">
        <v>442</v>
      </c>
      <c r="O1562" s="637" t="s">
        <v>442</v>
      </c>
      <c r="P1562" s="637" t="s">
        <v>1156</v>
      </c>
      <c r="Q1562" s="638">
        <v>0</v>
      </c>
      <c r="R1562" s="638">
        <v>0</v>
      </c>
      <c r="S1562" s="638">
        <v>27387</v>
      </c>
      <c r="T1562" s="638">
        <v>27387</v>
      </c>
      <c r="U1562" s="638">
        <v>8027</v>
      </c>
      <c r="V1562" s="636">
        <v>2022</v>
      </c>
      <c r="W1562" s="640"/>
      <c r="X1562" s="641">
        <f t="shared" si="72"/>
        <v>3.4118599725925005</v>
      </c>
      <c r="Y1562" s="642" t="str">
        <f t="shared" si="73"/>
        <v/>
      </c>
      <c r="Z1562" s="642" t="str">
        <f t="shared" si="74"/>
        <v/>
      </c>
    </row>
    <row r="1563" spans="1:26" s="127" customFormat="1" ht="25">
      <c r="A1563" s="636">
        <v>60815</v>
      </c>
      <c r="B1563" s="637" t="s">
        <v>33</v>
      </c>
      <c r="C1563" s="636" t="s">
        <v>2725</v>
      </c>
      <c r="D1563" s="637" t="s">
        <v>2754</v>
      </c>
      <c r="E1563" s="637" t="s">
        <v>1883</v>
      </c>
      <c r="F1563" s="636">
        <v>60947</v>
      </c>
      <c r="G1563" s="637" t="s">
        <v>81</v>
      </c>
      <c r="H1563" s="637" t="s">
        <v>1163</v>
      </c>
      <c r="I1563" s="637" t="s">
        <v>58</v>
      </c>
      <c r="J1563" s="636">
        <v>22</v>
      </c>
      <c r="K1563" s="636">
        <v>2</v>
      </c>
      <c r="L1563" s="637" t="s">
        <v>52</v>
      </c>
      <c r="M1563" s="637" t="s">
        <v>1852</v>
      </c>
      <c r="N1563" s="637" t="s">
        <v>1035</v>
      </c>
      <c r="O1563" s="637" t="s">
        <v>82</v>
      </c>
      <c r="P1563" s="637" t="s">
        <v>2726</v>
      </c>
      <c r="Q1563" s="638">
        <v>48</v>
      </c>
      <c r="R1563" s="638">
        <v>48</v>
      </c>
      <c r="S1563" s="638">
        <v>0</v>
      </c>
      <c r="T1563" s="638">
        <v>0</v>
      </c>
      <c r="U1563" s="638">
        <v>-16</v>
      </c>
      <c r="V1563" s="636">
        <v>2022</v>
      </c>
      <c r="W1563" s="640"/>
      <c r="X1563" s="641" t="str">
        <f t="shared" si="72"/>
        <v/>
      </c>
      <c r="Y1563" s="642" t="str">
        <f t="shared" si="73"/>
        <v/>
      </c>
      <c r="Z1563" s="642" t="str">
        <f t="shared" si="74"/>
        <v/>
      </c>
    </row>
    <row r="1564" spans="1:26" s="127" customFormat="1" ht="25">
      <c r="A1564" s="636">
        <v>60815</v>
      </c>
      <c r="B1564" s="637" t="s">
        <v>33</v>
      </c>
      <c r="C1564" s="636" t="s">
        <v>2725</v>
      </c>
      <c r="D1564" s="637" t="s">
        <v>2754</v>
      </c>
      <c r="E1564" s="637" t="s">
        <v>1883</v>
      </c>
      <c r="F1564" s="636">
        <v>60947</v>
      </c>
      <c r="G1564" s="637" t="s">
        <v>81</v>
      </c>
      <c r="H1564" s="637" t="s">
        <v>1163</v>
      </c>
      <c r="I1564" s="637" t="s">
        <v>58</v>
      </c>
      <c r="J1564" s="636">
        <v>22</v>
      </c>
      <c r="K1564" s="636">
        <v>2</v>
      </c>
      <c r="L1564" s="637" t="s">
        <v>52</v>
      </c>
      <c r="M1564" s="637" t="s">
        <v>441</v>
      </c>
      <c r="N1564" s="637" t="s">
        <v>442</v>
      </c>
      <c r="O1564" s="637" t="s">
        <v>442</v>
      </c>
      <c r="P1564" s="637" t="s">
        <v>1156</v>
      </c>
      <c r="Q1564" s="638">
        <v>0</v>
      </c>
      <c r="R1564" s="638">
        <v>0</v>
      </c>
      <c r="S1564" s="638">
        <v>19691</v>
      </c>
      <c r="T1564" s="638">
        <v>19691</v>
      </c>
      <c r="U1564" s="638">
        <v>5771</v>
      </c>
      <c r="V1564" s="636">
        <v>2022</v>
      </c>
      <c r="W1564" s="640"/>
      <c r="X1564" s="641">
        <f t="shared" si="72"/>
        <v>3.4120603015075375</v>
      </c>
      <c r="Y1564" s="642" t="str">
        <f t="shared" si="73"/>
        <v/>
      </c>
      <c r="Z1564" s="642" t="str">
        <f t="shared" si="74"/>
        <v/>
      </c>
    </row>
    <row r="1565" spans="1:26" s="127" customFormat="1" ht="25">
      <c r="A1565" s="636">
        <v>60816</v>
      </c>
      <c r="B1565" s="637" t="s">
        <v>33</v>
      </c>
      <c r="C1565" s="636" t="s">
        <v>2725</v>
      </c>
      <c r="D1565" s="637" t="s">
        <v>2110</v>
      </c>
      <c r="E1565" s="637" t="s">
        <v>2111</v>
      </c>
      <c r="F1565" s="636">
        <v>61132</v>
      </c>
      <c r="G1565" s="637" t="s">
        <v>81</v>
      </c>
      <c r="H1565" s="637" t="s">
        <v>1163</v>
      </c>
      <c r="I1565" s="637" t="s">
        <v>58</v>
      </c>
      <c r="J1565" s="636">
        <v>22</v>
      </c>
      <c r="K1565" s="636">
        <v>2</v>
      </c>
      <c r="L1565" s="637" t="s">
        <v>52</v>
      </c>
      <c r="M1565" s="637" t="s">
        <v>441</v>
      </c>
      <c r="N1565" s="637" t="s">
        <v>442</v>
      </c>
      <c r="O1565" s="637" t="s">
        <v>442</v>
      </c>
      <c r="P1565" s="637" t="s">
        <v>1156</v>
      </c>
      <c r="Q1565" s="638">
        <v>0</v>
      </c>
      <c r="R1565" s="638">
        <v>0</v>
      </c>
      <c r="S1565" s="638">
        <v>9226</v>
      </c>
      <c r="T1565" s="638">
        <v>9226</v>
      </c>
      <c r="U1565" s="638">
        <v>2704</v>
      </c>
      <c r="V1565" s="636">
        <v>2022</v>
      </c>
      <c r="W1565" s="640"/>
      <c r="X1565" s="641">
        <f t="shared" si="72"/>
        <v>3.4119822485207099</v>
      </c>
      <c r="Y1565" s="642" t="str">
        <f t="shared" si="73"/>
        <v/>
      </c>
      <c r="Z1565" s="642" t="str">
        <f t="shared" si="74"/>
        <v/>
      </c>
    </row>
    <row r="1566" spans="1:26" s="127" customFormat="1" ht="25">
      <c r="A1566" s="636">
        <v>60817</v>
      </c>
      <c r="B1566" s="637" t="s">
        <v>33</v>
      </c>
      <c r="C1566" s="636" t="s">
        <v>2725</v>
      </c>
      <c r="D1566" s="637" t="s">
        <v>1972</v>
      </c>
      <c r="E1566" s="637" t="s">
        <v>1883</v>
      </c>
      <c r="F1566" s="636">
        <v>60947</v>
      </c>
      <c r="G1566" s="637" t="s">
        <v>57</v>
      </c>
      <c r="H1566" s="637" t="s">
        <v>1162</v>
      </c>
      <c r="I1566" s="637" t="s">
        <v>58</v>
      </c>
      <c r="J1566" s="636">
        <v>22</v>
      </c>
      <c r="K1566" s="636">
        <v>2</v>
      </c>
      <c r="L1566" s="637" t="s">
        <v>52</v>
      </c>
      <c r="M1566" s="637" t="s">
        <v>441</v>
      </c>
      <c r="N1566" s="637" t="s">
        <v>442</v>
      </c>
      <c r="O1566" s="637" t="s">
        <v>442</v>
      </c>
      <c r="P1566" s="637" t="s">
        <v>1156</v>
      </c>
      <c r="Q1566" s="638">
        <v>0</v>
      </c>
      <c r="R1566" s="638">
        <v>0</v>
      </c>
      <c r="S1566" s="638">
        <v>8776</v>
      </c>
      <c r="T1566" s="638">
        <v>8776</v>
      </c>
      <c r="U1566" s="638">
        <v>2572</v>
      </c>
      <c r="V1566" s="636">
        <v>2022</v>
      </c>
      <c r="W1566" s="640"/>
      <c r="X1566" s="641">
        <f t="shared" si="72"/>
        <v>3.4121306376360807</v>
      </c>
      <c r="Y1566" s="642" t="str">
        <f t="shared" si="73"/>
        <v/>
      </c>
      <c r="Z1566" s="642" t="str">
        <f t="shared" si="74"/>
        <v/>
      </c>
    </row>
    <row r="1567" spans="1:26" s="127" customFormat="1" ht="25">
      <c r="A1567" s="636">
        <v>60818</v>
      </c>
      <c r="B1567" s="637" t="s">
        <v>33</v>
      </c>
      <c r="C1567" s="636" t="s">
        <v>2725</v>
      </c>
      <c r="D1567" s="637" t="s">
        <v>1973</v>
      </c>
      <c r="E1567" s="637" t="s">
        <v>1883</v>
      </c>
      <c r="F1567" s="636">
        <v>60947</v>
      </c>
      <c r="G1567" s="637" t="s">
        <v>57</v>
      </c>
      <c r="H1567" s="637" t="s">
        <v>1162</v>
      </c>
      <c r="I1567" s="637" t="s">
        <v>58</v>
      </c>
      <c r="J1567" s="636">
        <v>22</v>
      </c>
      <c r="K1567" s="636">
        <v>2</v>
      </c>
      <c r="L1567" s="637" t="s">
        <v>52</v>
      </c>
      <c r="M1567" s="637" t="s">
        <v>441</v>
      </c>
      <c r="N1567" s="637" t="s">
        <v>442</v>
      </c>
      <c r="O1567" s="637" t="s">
        <v>442</v>
      </c>
      <c r="P1567" s="637" t="s">
        <v>1156</v>
      </c>
      <c r="Q1567" s="638">
        <v>0</v>
      </c>
      <c r="R1567" s="638">
        <v>0</v>
      </c>
      <c r="S1567" s="638">
        <v>8566</v>
      </c>
      <c r="T1567" s="638">
        <v>8566</v>
      </c>
      <c r="U1567" s="638">
        <v>2511</v>
      </c>
      <c r="V1567" s="636">
        <v>2022</v>
      </c>
      <c r="W1567" s="640"/>
      <c r="X1567" s="641">
        <f t="shared" si="72"/>
        <v>3.4113898845081643</v>
      </c>
      <c r="Y1567" s="642" t="str">
        <f t="shared" si="73"/>
        <v/>
      </c>
      <c r="Z1567" s="642" t="str">
        <f t="shared" si="74"/>
        <v/>
      </c>
    </row>
    <row r="1568" spans="1:26" s="127" customFormat="1" ht="25">
      <c r="A1568" s="636">
        <v>60819</v>
      </c>
      <c r="B1568" s="637" t="s">
        <v>33</v>
      </c>
      <c r="C1568" s="636" t="s">
        <v>2725</v>
      </c>
      <c r="D1568" s="637" t="s">
        <v>2112</v>
      </c>
      <c r="E1568" s="637" t="s">
        <v>2113</v>
      </c>
      <c r="F1568" s="636">
        <v>61060</v>
      </c>
      <c r="G1568" s="637" t="s">
        <v>57</v>
      </c>
      <c r="H1568" s="637" t="s">
        <v>1162</v>
      </c>
      <c r="I1568" s="637" t="s">
        <v>58</v>
      </c>
      <c r="J1568" s="636">
        <v>22</v>
      </c>
      <c r="K1568" s="636">
        <v>2</v>
      </c>
      <c r="L1568" s="637" t="s">
        <v>52</v>
      </c>
      <c r="M1568" s="637" t="s">
        <v>441</v>
      </c>
      <c r="N1568" s="637" t="s">
        <v>442</v>
      </c>
      <c r="O1568" s="637" t="s">
        <v>442</v>
      </c>
      <c r="P1568" s="637" t="s">
        <v>1156</v>
      </c>
      <c r="Q1568" s="638">
        <v>0</v>
      </c>
      <c r="R1568" s="638">
        <v>0</v>
      </c>
      <c r="S1568" s="638">
        <v>9342</v>
      </c>
      <c r="T1568" s="638">
        <v>9342</v>
      </c>
      <c r="U1568" s="638">
        <v>2738</v>
      </c>
      <c r="V1568" s="636">
        <v>2022</v>
      </c>
      <c r="W1568" s="640"/>
      <c r="X1568" s="641">
        <f t="shared" si="72"/>
        <v>3.4119795471146821</v>
      </c>
      <c r="Y1568" s="642" t="str">
        <f t="shared" si="73"/>
        <v/>
      </c>
      <c r="Z1568" s="642" t="str">
        <f t="shared" si="74"/>
        <v/>
      </c>
    </row>
    <row r="1569" spans="1:26" s="127" customFormat="1" ht="25">
      <c r="A1569" s="636">
        <v>60831</v>
      </c>
      <c r="B1569" s="637" t="s">
        <v>33</v>
      </c>
      <c r="C1569" s="636" t="s">
        <v>2725</v>
      </c>
      <c r="D1569" s="637" t="s">
        <v>2114</v>
      </c>
      <c r="E1569" s="637" t="s">
        <v>3286</v>
      </c>
      <c r="F1569" s="636">
        <v>64553</v>
      </c>
      <c r="G1569" s="637" t="s">
        <v>130</v>
      </c>
      <c r="H1569" s="637" t="s">
        <v>1163</v>
      </c>
      <c r="I1569" s="637" t="s">
        <v>58</v>
      </c>
      <c r="J1569" s="636">
        <v>22</v>
      </c>
      <c r="K1569" s="636">
        <v>2</v>
      </c>
      <c r="L1569" s="637" t="s">
        <v>52</v>
      </c>
      <c r="M1569" s="637" t="s">
        <v>51</v>
      </c>
      <c r="N1569" s="637" t="s">
        <v>68</v>
      </c>
      <c r="O1569" s="637" t="s">
        <v>49</v>
      </c>
      <c r="P1569" s="637" t="s">
        <v>40</v>
      </c>
      <c r="Q1569" s="638">
        <v>55701</v>
      </c>
      <c r="R1569" s="638">
        <v>55701</v>
      </c>
      <c r="S1569" s="638">
        <v>37875</v>
      </c>
      <c r="T1569" s="638">
        <v>37875</v>
      </c>
      <c r="U1569" s="638">
        <v>3666.18</v>
      </c>
      <c r="V1569" s="636">
        <v>2022</v>
      </c>
      <c r="W1569" s="640"/>
      <c r="X1569" s="641">
        <f t="shared" si="72"/>
        <v>10.330916648937041</v>
      </c>
      <c r="Y1569" s="642" t="str">
        <f t="shared" si="73"/>
        <v/>
      </c>
      <c r="Z1569" s="642" t="str">
        <f t="shared" si="74"/>
        <v/>
      </c>
    </row>
    <row r="1570" spans="1:26" s="127" customFormat="1" ht="25">
      <c r="A1570" s="636">
        <v>60851</v>
      </c>
      <c r="B1570" s="637" t="s">
        <v>33</v>
      </c>
      <c r="C1570" s="636" t="s">
        <v>2725</v>
      </c>
      <c r="D1570" s="637" t="s">
        <v>2302</v>
      </c>
      <c r="E1570" s="637" t="s">
        <v>2303</v>
      </c>
      <c r="F1570" s="636">
        <v>61561</v>
      </c>
      <c r="G1570" s="637" t="s">
        <v>81</v>
      </c>
      <c r="H1570" s="637" t="s">
        <v>1163</v>
      </c>
      <c r="I1570" s="637" t="s">
        <v>58</v>
      </c>
      <c r="J1570" s="636">
        <v>22</v>
      </c>
      <c r="K1570" s="636">
        <v>2</v>
      </c>
      <c r="L1570" s="637" t="s">
        <v>52</v>
      </c>
      <c r="M1570" s="637" t="s">
        <v>441</v>
      </c>
      <c r="N1570" s="637" t="s">
        <v>442</v>
      </c>
      <c r="O1570" s="637" t="s">
        <v>442</v>
      </c>
      <c r="P1570" s="637" t="s">
        <v>1156</v>
      </c>
      <c r="Q1570" s="638">
        <v>0</v>
      </c>
      <c r="R1570" s="638">
        <v>0</v>
      </c>
      <c r="S1570" s="638">
        <v>12449</v>
      </c>
      <c r="T1570" s="638">
        <v>12449</v>
      </c>
      <c r="U1570" s="638">
        <v>3649</v>
      </c>
      <c r="V1570" s="636">
        <v>2022</v>
      </c>
      <c r="W1570" s="640"/>
      <c r="X1570" s="641">
        <f t="shared" si="72"/>
        <v>3.4116196218141956</v>
      </c>
      <c r="Y1570" s="642" t="str">
        <f t="shared" si="73"/>
        <v/>
      </c>
      <c r="Z1570" s="642" t="str">
        <f t="shared" si="74"/>
        <v/>
      </c>
    </row>
    <row r="1571" spans="1:26" s="127" customFormat="1" ht="25">
      <c r="A1571" s="636">
        <v>60852</v>
      </c>
      <c r="B1571" s="637" t="s">
        <v>33</v>
      </c>
      <c r="C1571" s="636" t="s">
        <v>2725</v>
      </c>
      <c r="D1571" s="637" t="s">
        <v>2304</v>
      </c>
      <c r="E1571" s="637" t="s">
        <v>2303</v>
      </c>
      <c r="F1571" s="636">
        <v>61561</v>
      </c>
      <c r="G1571" s="637" t="s">
        <v>81</v>
      </c>
      <c r="H1571" s="637" t="s">
        <v>1163</v>
      </c>
      <c r="I1571" s="637" t="s">
        <v>58</v>
      </c>
      <c r="J1571" s="636">
        <v>22</v>
      </c>
      <c r="K1571" s="636">
        <v>2</v>
      </c>
      <c r="L1571" s="637" t="s">
        <v>52</v>
      </c>
      <c r="M1571" s="637" t="s">
        <v>441</v>
      </c>
      <c r="N1571" s="637" t="s">
        <v>442</v>
      </c>
      <c r="O1571" s="637" t="s">
        <v>442</v>
      </c>
      <c r="P1571" s="637" t="s">
        <v>1156</v>
      </c>
      <c r="Q1571" s="638">
        <v>0</v>
      </c>
      <c r="R1571" s="638">
        <v>0</v>
      </c>
      <c r="S1571" s="638">
        <v>12610</v>
      </c>
      <c r="T1571" s="638">
        <v>12610</v>
      </c>
      <c r="U1571" s="638">
        <v>3696</v>
      </c>
      <c r="V1571" s="636">
        <v>2022</v>
      </c>
      <c r="W1571" s="640"/>
      <c r="X1571" s="641">
        <f t="shared" si="72"/>
        <v>3.4117965367965368</v>
      </c>
      <c r="Y1571" s="642" t="str">
        <f t="shared" si="73"/>
        <v/>
      </c>
      <c r="Z1571" s="642" t="str">
        <f t="shared" si="74"/>
        <v/>
      </c>
    </row>
    <row r="1572" spans="1:26" s="127" customFormat="1" ht="25">
      <c r="A1572" s="636">
        <v>60854</v>
      </c>
      <c r="B1572" s="637" t="s">
        <v>33</v>
      </c>
      <c r="C1572" s="636" t="s">
        <v>2725</v>
      </c>
      <c r="D1572" s="637" t="s">
        <v>2115</v>
      </c>
      <c r="E1572" s="637" t="s">
        <v>2116</v>
      </c>
      <c r="F1572" s="636">
        <v>60513</v>
      </c>
      <c r="G1572" s="637" t="s">
        <v>81</v>
      </c>
      <c r="H1572" s="637" t="s">
        <v>1163</v>
      </c>
      <c r="I1572" s="637" t="s">
        <v>58</v>
      </c>
      <c r="J1572" s="636">
        <v>22</v>
      </c>
      <c r="K1572" s="636">
        <v>2</v>
      </c>
      <c r="L1572" s="637" t="s">
        <v>52</v>
      </c>
      <c r="M1572" s="637" t="s">
        <v>441</v>
      </c>
      <c r="N1572" s="637" t="s">
        <v>442</v>
      </c>
      <c r="O1572" s="637" t="s">
        <v>442</v>
      </c>
      <c r="P1572" s="637" t="s">
        <v>1156</v>
      </c>
      <c r="Q1572" s="638">
        <v>0</v>
      </c>
      <c r="R1572" s="638">
        <v>0</v>
      </c>
      <c r="S1572" s="638">
        <v>20971</v>
      </c>
      <c r="T1572" s="638">
        <v>20971</v>
      </c>
      <c r="U1572" s="638">
        <v>6146</v>
      </c>
      <c r="V1572" s="636">
        <v>2022</v>
      </c>
      <c r="W1572" s="640"/>
      <c r="X1572" s="641">
        <f t="shared" si="72"/>
        <v>3.4121379759192969</v>
      </c>
      <c r="Y1572" s="642" t="str">
        <f t="shared" si="73"/>
        <v/>
      </c>
      <c r="Z1572" s="642" t="str">
        <f t="shared" si="74"/>
        <v/>
      </c>
    </row>
    <row r="1573" spans="1:26" s="127" customFormat="1" ht="25">
      <c r="A1573" s="636">
        <v>60855</v>
      </c>
      <c r="B1573" s="637" t="s">
        <v>33</v>
      </c>
      <c r="C1573" s="636" t="s">
        <v>2725</v>
      </c>
      <c r="D1573" s="637" t="s">
        <v>1974</v>
      </c>
      <c r="E1573" s="637" t="s">
        <v>1975</v>
      </c>
      <c r="F1573" s="636">
        <v>60514</v>
      </c>
      <c r="G1573" s="637" t="s">
        <v>81</v>
      </c>
      <c r="H1573" s="637" t="s">
        <v>1163</v>
      </c>
      <c r="I1573" s="637" t="s">
        <v>58</v>
      </c>
      <c r="J1573" s="636">
        <v>22</v>
      </c>
      <c r="K1573" s="636">
        <v>2</v>
      </c>
      <c r="L1573" s="637" t="s">
        <v>52</v>
      </c>
      <c r="M1573" s="637" t="s">
        <v>441</v>
      </c>
      <c r="N1573" s="637" t="s">
        <v>442</v>
      </c>
      <c r="O1573" s="637" t="s">
        <v>442</v>
      </c>
      <c r="P1573" s="637" t="s">
        <v>1156</v>
      </c>
      <c r="Q1573" s="638">
        <v>0</v>
      </c>
      <c r="R1573" s="638">
        <v>0</v>
      </c>
      <c r="S1573" s="638">
        <v>15787</v>
      </c>
      <c r="T1573" s="638">
        <v>15787</v>
      </c>
      <c r="U1573" s="638">
        <v>4627</v>
      </c>
      <c r="V1573" s="636">
        <v>2022</v>
      </c>
      <c r="W1573" s="640"/>
      <c r="X1573" s="641">
        <f t="shared" si="72"/>
        <v>3.4119299762264967</v>
      </c>
      <c r="Y1573" s="642" t="str">
        <f t="shared" si="73"/>
        <v/>
      </c>
      <c r="Z1573" s="642" t="str">
        <f t="shared" si="74"/>
        <v/>
      </c>
    </row>
    <row r="1574" spans="1:26" s="127" customFormat="1" ht="25">
      <c r="A1574" s="636">
        <v>60858</v>
      </c>
      <c r="B1574" s="637" t="s">
        <v>33</v>
      </c>
      <c r="C1574" s="636" t="s">
        <v>2725</v>
      </c>
      <c r="D1574" s="637" t="s">
        <v>1976</v>
      </c>
      <c r="E1574" s="637" t="s">
        <v>1950</v>
      </c>
      <c r="F1574" s="636">
        <v>60281</v>
      </c>
      <c r="G1574" s="637" t="s">
        <v>81</v>
      </c>
      <c r="H1574" s="637" t="s">
        <v>1163</v>
      </c>
      <c r="I1574" s="637" t="s">
        <v>58</v>
      </c>
      <c r="J1574" s="636">
        <v>22</v>
      </c>
      <c r="K1574" s="636">
        <v>2</v>
      </c>
      <c r="L1574" s="637" t="s">
        <v>52</v>
      </c>
      <c r="M1574" s="637" t="s">
        <v>441</v>
      </c>
      <c r="N1574" s="637" t="s">
        <v>442</v>
      </c>
      <c r="O1574" s="637" t="s">
        <v>442</v>
      </c>
      <c r="P1574" s="637" t="s">
        <v>1156</v>
      </c>
      <c r="Q1574" s="638">
        <v>0</v>
      </c>
      <c r="R1574" s="638">
        <v>0</v>
      </c>
      <c r="S1574" s="638">
        <v>8349</v>
      </c>
      <c r="T1574" s="638">
        <v>8349</v>
      </c>
      <c r="U1574" s="638">
        <v>2447</v>
      </c>
      <c r="V1574" s="636">
        <v>2022</v>
      </c>
      <c r="W1574" s="640"/>
      <c r="X1574" s="641">
        <f t="shared" si="72"/>
        <v>3.411932979158153</v>
      </c>
      <c r="Y1574" s="642" t="str">
        <f t="shared" si="73"/>
        <v/>
      </c>
      <c r="Z1574" s="642" t="str">
        <f t="shared" si="74"/>
        <v/>
      </c>
    </row>
    <row r="1575" spans="1:26" s="127" customFormat="1" ht="25">
      <c r="A1575" s="636">
        <v>60860</v>
      </c>
      <c r="B1575" s="637" t="s">
        <v>33</v>
      </c>
      <c r="C1575" s="636" t="s">
        <v>2725</v>
      </c>
      <c r="D1575" s="637" t="s">
        <v>1977</v>
      </c>
      <c r="E1575" s="637" t="s">
        <v>1978</v>
      </c>
      <c r="F1575" s="636">
        <v>60520</v>
      </c>
      <c r="G1575" s="637" t="s">
        <v>89</v>
      </c>
      <c r="H1575" s="637" t="s">
        <v>1163</v>
      </c>
      <c r="I1575" s="637" t="s">
        <v>58</v>
      </c>
      <c r="J1575" s="636">
        <v>22</v>
      </c>
      <c r="K1575" s="636">
        <v>2</v>
      </c>
      <c r="L1575" s="637" t="s">
        <v>52</v>
      </c>
      <c r="M1575" s="637" t="s">
        <v>441</v>
      </c>
      <c r="N1575" s="637" t="s">
        <v>442</v>
      </c>
      <c r="O1575" s="637" t="s">
        <v>442</v>
      </c>
      <c r="P1575" s="637" t="s">
        <v>1156</v>
      </c>
      <c r="Q1575" s="638">
        <v>0</v>
      </c>
      <c r="R1575" s="638">
        <v>0</v>
      </c>
      <c r="S1575" s="638">
        <v>4600</v>
      </c>
      <c r="T1575" s="638">
        <v>4600</v>
      </c>
      <c r="U1575" s="638">
        <v>1348</v>
      </c>
      <c r="V1575" s="636">
        <v>2022</v>
      </c>
      <c r="W1575" s="640"/>
      <c r="X1575" s="641">
        <f t="shared" si="72"/>
        <v>3.4124629080118694</v>
      </c>
      <c r="Y1575" s="642" t="str">
        <f t="shared" si="73"/>
        <v/>
      </c>
      <c r="Z1575" s="642" t="str">
        <f t="shared" si="74"/>
        <v/>
      </c>
    </row>
    <row r="1576" spans="1:26" s="127" customFormat="1" ht="25">
      <c r="A1576" s="636">
        <v>60865</v>
      </c>
      <c r="B1576" s="637" t="s">
        <v>33</v>
      </c>
      <c r="C1576" s="636" t="s">
        <v>2725</v>
      </c>
      <c r="D1576" s="637" t="s">
        <v>1979</v>
      </c>
      <c r="E1576" s="637" t="s">
        <v>1979</v>
      </c>
      <c r="F1576" s="636">
        <v>60521</v>
      </c>
      <c r="G1576" s="637" t="s">
        <v>81</v>
      </c>
      <c r="H1576" s="637" t="s">
        <v>1163</v>
      </c>
      <c r="I1576" s="637" t="s">
        <v>58</v>
      </c>
      <c r="J1576" s="636">
        <v>22</v>
      </c>
      <c r="K1576" s="636">
        <v>2</v>
      </c>
      <c r="L1576" s="637" t="s">
        <v>52</v>
      </c>
      <c r="M1576" s="637" t="s">
        <v>71</v>
      </c>
      <c r="N1576" s="637" t="s">
        <v>72</v>
      </c>
      <c r="O1576" s="637" t="s">
        <v>72</v>
      </c>
      <c r="P1576" s="637" t="s">
        <v>1156</v>
      </c>
      <c r="Q1576" s="638">
        <v>0</v>
      </c>
      <c r="R1576" s="638">
        <v>0</v>
      </c>
      <c r="S1576" s="638">
        <v>22423</v>
      </c>
      <c r="T1576" s="638">
        <v>22423</v>
      </c>
      <c r="U1576" s="638">
        <v>6572</v>
      </c>
      <c r="V1576" s="636">
        <v>2022</v>
      </c>
      <c r="W1576" s="640"/>
      <c r="X1576" s="641">
        <f t="shared" si="72"/>
        <v>3.4118989653073646</v>
      </c>
      <c r="Y1576" s="642" t="str">
        <f t="shared" si="73"/>
        <v/>
      </c>
      <c r="Z1576" s="642" t="str">
        <f t="shared" si="74"/>
        <v/>
      </c>
    </row>
    <row r="1577" spans="1:26" s="127" customFormat="1" ht="25">
      <c r="A1577" s="636">
        <v>60866</v>
      </c>
      <c r="B1577" s="637" t="s">
        <v>33</v>
      </c>
      <c r="C1577" s="636" t="s">
        <v>2725</v>
      </c>
      <c r="D1577" s="637" t="s">
        <v>1980</v>
      </c>
      <c r="E1577" s="637" t="s">
        <v>1981</v>
      </c>
      <c r="F1577" s="636">
        <v>60484</v>
      </c>
      <c r="G1577" s="637" t="s">
        <v>81</v>
      </c>
      <c r="H1577" s="637" t="s">
        <v>1163</v>
      </c>
      <c r="I1577" s="637" t="s">
        <v>58</v>
      </c>
      <c r="J1577" s="636">
        <v>22</v>
      </c>
      <c r="K1577" s="636">
        <v>2</v>
      </c>
      <c r="L1577" s="637" t="s">
        <v>52</v>
      </c>
      <c r="M1577" s="637" t="s">
        <v>441</v>
      </c>
      <c r="N1577" s="637" t="s">
        <v>442</v>
      </c>
      <c r="O1577" s="637" t="s">
        <v>442</v>
      </c>
      <c r="P1577" s="637" t="s">
        <v>1156</v>
      </c>
      <c r="Q1577" s="638">
        <v>0</v>
      </c>
      <c r="R1577" s="638">
        <v>0</v>
      </c>
      <c r="S1577" s="638">
        <v>10578</v>
      </c>
      <c r="T1577" s="638">
        <v>10578</v>
      </c>
      <c r="U1577" s="638">
        <v>3100</v>
      </c>
      <c r="V1577" s="636">
        <v>2022</v>
      </c>
      <c r="W1577" s="640"/>
      <c r="X1577" s="641">
        <f t="shared" si="72"/>
        <v>3.4122580645161289</v>
      </c>
      <c r="Y1577" s="642" t="str">
        <f t="shared" si="73"/>
        <v/>
      </c>
      <c r="Z1577" s="642" t="str">
        <f t="shared" si="74"/>
        <v/>
      </c>
    </row>
    <row r="1578" spans="1:26" s="127" customFormat="1" ht="25">
      <c r="A1578" s="636">
        <v>60867</v>
      </c>
      <c r="B1578" s="637" t="s">
        <v>33</v>
      </c>
      <c r="C1578" s="636" t="s">
        <v>2725</v>
      </c>
      <c r="D1578" s="637" t="s">
        <v>1982</v>
      </c>
      <c r="E1578" s="637" t="s">
        <v>1724</v>
      </c>
      <c r="F1578" s="636">
        <v>59232</v>
      </c>
      <c r="G1578" s="637" t="s">
        <v>81</v>
      </c>
      <c r="H1578" s="637" t="s">
        <v>1163</v>
      </c>
      <c r="I1578" s="637" t="s">
        <v>58</v>
      </c>
      <c r="J1578" s="636">
        <v>22</v>
      </c>
      <c r="K1578" s="636">
        <v>2</v>
      </c>
      <c r="L1578" s="637" t="s">
        <v>52</v>
      </c>
      <c r="M1578" s="637" t="s">
        <v>441</v>
      </c>
      <c r="N1578" s="637" t="s">
        <v>442</v>
      </c>
      <c r="O1578" s="637" t="s">
        <v>442</v>
      </c>
      <c r="P1578" s="637" t="s">
        <v>1156</v>
      </c>
      <c r="Q1578" s="638">
        <v>0</v>
      </c>
      <c r="R1578" s="638">
        <v>0</v>
      </c>
      <c r="S1578" s="638">
        <v>21288</v>
      </c>
      <c r="T1578" s="638">
        <v>21288</v>
      </c>
      <c r="U1578" s="638">
        <v>6239</v>
      </c>
      <c r="V1578" s="636">
        <v>2022</v>
      </c>
      <c r="W1578" s="640"/>
      <c r="X1578" s="641">
        <f t="shared" si="72"/>
        <v>3.4120852700753326</v>
      </c>
      <c r="Y1578" s="642" t="str">
        <f t="shared" si="73"/>
        <v/>
      </c>
      <c r="Z1578" s="642" t="str">
        <f t="shared" si="74"/>
        <v/>
      </c>
    </row>
    <row r="1579" spans="1:26" s="127" customFormat="1" ht="25">
      <c r="A1579" s="636">
        <v>60874</v>
      </c>
      <c r="B1579" s="637" t="s">
        <v>33</v>
      </c>
      <c r="C1579" s="636" t="s">
        <v>2725</v>
      </c>
      <c r="D1579" s="637" t="s">
        <v>1983</v>
      </c>
      <c r="E1579" s="637" t="s">
        <v>131</v>
      </c>
      <c r="F1579" s="636">
        <v>7601</v>
      </c>
      <c r="G1579" s="637" t="s">
        <v>89</v>
      </c>
      <c r="H1579" s="637" t="s">
        <v>1163</v>
      </c>
      <c r="I1579" s="637" t="s">
        <v>58</v>
      </c>
      <c r="J1579" s="636">
        <v>22</v>
      </c>
      <c r="K1579" s="636">
        <v>1</v>
      </c>
      <c r="L1579" s="637" t="s">
        <v>34</v>
      </c>
      <c r="M1579" s="637" t="s">
        <v>441</v>
      </c>
      <c r="N1579" s="637" t="s">
        <v>442</v>
      </c>
      <c r="O1579" s="637" t="s">
        <v>442</v>
      </c>
      <c r="P1579" s="637" t="s">
        <v>1156</v>
      </c>
      <c r="Q1579" s="638">
        <v>0</v>
      </c>
      <c r="R1579" s="638">
        <v>0</v>
      </c>
      <c r="S1579" s="638">
        <v>26878</v>
      </c>
      <c r="T1579" s="638">
        <v>26878</v>
      </c>
      <c r="U1579" s="638">
        <v>7878</v>
      </c>
      <c r="V1579" s="636">
        <v>2022</v>
      </c>
      <c r="W1579" s="640"/>
      <c r="X1579" s="641">
        <f t="shared" si="72"/>
        <v>3.4117796395024116</v>
      </c>
      <c r="Y1579" s="642" t="str">
        <f t="shared" si="73"/>
        <v/>
      </c>
      <c r="Z1579" s="642" t="str">
        <f t="shared" si="74"/>
        <v/>
      </c>
    </row>
    <row r="1580" spans="1:26" s="127" customFormat="1" ht="25">
      <c r="A1580" s="636">
        <v>60875</v>
      </c>
      <c r="B1580" s="637" t="s">
        <v>33</v>
      </c>
      <c r="C1580" s="636" t="s">
        <v>2725</v>
      </c>
      <c r="D1580" s="637" t="s">
        <v>1984</v>
      </c>
      <c r="E1580" s="637" t="s">
        <v>131</v>
      </c>
      <c r="F1580" s="636">
        <v>7601</v>
      </c>
      <c r="G1580" s="637" t="s">
        <v>89</v>
      </c>
      <c r="H1580" s="637" t="s">
        <v>1163</v>
      </c>
      <c r="I1580" s="637" t="s">
        <v>58</v>
      </c>
      <c r="J1580" s="636">
        <v>22</v>
      </c>
      <c r="K1580" s="636">
        <v>1</v>
      </c>
      <c r="L1580" s="637" t="s">
        <v>34</v>
      </c>
      <c r="M1580" s="637" t="s">
        <v>441</v>
      </c>
      <c r="N1580" s="637" t="s">
        <v>442</v>
      </c>
      <c r="O1580" s="637" t="s">
        <v>442</v>
      </c>
      <c r="P1580" s="637" t="s">
        <v>1156</v>
      </c>
      <c r="Q1580" s="638">
        <v>0</v>
      </c>
      <c r="R1580" s="638">
        <v>0</v>
      </c>
      <c r="S1580" s="638">
        <v>24477</v>
      </c>
      <c r="T1580" s="638">
        <v>24477</v>
      </c>
      <c r="U1580" s="638">
        <v>7174</v>
      </c>
      <c r="V1580" s="636">
        <v>2022</v>
      </c>
      <c r="W1580" s="640"/>
      <c r="X1580" s="641">
        <f t="shared" si="72"/>
        <v>3.411904098132144</v>
      </c>
      <c r="Y1580" s="642" t="str">
        <f t="shared" si="73"/>
        <v/>
      </c>
      <c r="Z1580" s="642" t="str">
        <f t="shared" si="74"/>
        <v/>
      </c>
    </row>
    <row r="1581" spans="1:26" s="127" customFormat="1" ht="25">
      <c r="A1581" s="636">
        <v>60877</v>
      </c>
      <c r="B1581" s="637" t="s">
        <v>33</v>
      </c>
      <c r="C1581" s="636" t="s">
        <v>2725</v>
      </c>
      <c r="D1581" s="637" t="s">
        <v>1985</v>
      </c>
      <c r="E1581" s="637" t="s">
        <v>131</v>
      </c>
      <c r="F1581" s="636">
        <v>7601</v>
      </c>
      <c r="G1581" s="637" t="s">
        <v>89</v>
      </c>
      <c r="H1581" s="637" t="s">
        <v>1163</v>
      </c>
      <c r="I1581" s="637" t="s">
        <v>58</v>
      </c>
      <c r="J1581" s="636">
        <v>22</v>
      </c>
      <c r="K1581" s="636">
        <v>1</v>
      </c>
      <c r="L1581" s="637" t="s">
        <v>34</v>
      </c>
      <c r="M1581" s="637" t="s">
        <v>441</v>
      </c>
      <c r="N1581" s="637" t="s">
        <v>442</v>
      </c>
      <c r="O1581" s="637" t="s">
        <v>442</v>
      </c>
      <c r="P1581" s="637" t="s">
        <v>1156</v>
      </c>
      <c r="Q1581" s="638">
        <v>0</v>
      </c>
      <c r="R1581" s="638">
        <v>0</v>
      </c>
      <c r="S1581" s="638">
        <v>25567</v>
      </c>
      <c r="T1581" s="638">
        <v>25567</v>
      </c>
      <c r="U1581" s="638">
        <v>7493</v>
      </c>
      <c r="V1581" s="636">
        <v>2022</v>
      </c>
      <c r="W1581" s="640"/>
      <c r="X1581" s="641">
        <f t="shared" si="72"/>
        <v>3.4121179767783265</v>
      </c>
      <c r="Y1581" s="642" t="str">
        <f t="shared" si="73"/>
        <v/>
      </c>
      <c r="Z1581" s="642" t="str">
        <f t="shared" si="74"/>
        <v/>
      </c>
    </row>
    <row r="1582" spans="1:26" s="127" customFormat="1" ht="25">
      <c r="A1582" s="636">
        <v>60878</v>
      </c>
      <c r="B1582" s="637" t="s">
        <v>33</v>
      </c>
      <c r="C1582" s="636" t="s">
        <v>2725</v>
      </c>
      <c r="D1582" s="637" t="s">
        <v>2117</v>
      </c>
      <c r="E1582" s="637" t="s">
        <v>1986</v>
      </c>
      <c r="F1582" s="636">
        <v>60529</v>
      </c>
      <c r="G1582" s="637" t="s">
        <v>81</v>
      </c>
      <c r="H1582" s="637" t="s">
        <v>1163</v>
      </c>
      <c r="I1582" s="637" t="s">
        <v>58</v>
      </c>
      <c r="J1582" s="636">
        <v>22</v>
      </c>
      <c r="K1582" s="636">
        <v>2</v>
      </c>
      <c r="L1582" s="637" t="s">
        <v>52</v>
      </c>
      <c r="M1582" s="637" t="s">
        <v>441</v>
      </c>
      <c r="N1582" s="637" t="s">
        <v>442</v>
      </c>
      <c r="O1582" s="637" t="s">
        <v>442</v>
      </c>
      <c r="P1582" s="637" t="s">
        <v>1156</v>
      </c>
      <c r="Q1582" s="638">
        <v>0</v>
      </c>
      <c r="R1582" s="638">
        <v>0</v>
      </c>
      <c r="S1582" s="638">
        <v>11548</v>
      </c>
      <c r="T1582" s="638">
        <v>11548</v>
      </c>
      <c r="U1582" s="638">
        <v>3385</v>
      </c>
      <c r="V1582" s="636">
        <v>2022</v>
      </c>
      <c r="W1582" s="640"/>
      <c r="X1582" s="641">
        <f t="shared" si="72"/>
        <v>3.4115214180206794</v>
      </c>
      <c r="Y1582" s="642" t="str">
        <f t="shared" si="73"/>
        <v/>
      </c>
      <c r="Z1582" s="642" t="str">
        <f t="shared" si="74"/>
        <v/>
      </c>
    </row>
    <row r="1583" spans="1:26" s="127" customFormat="1" ht="25">
      <c r="A1583" s="636">
        <v>60879</v>
      </c>
      <c r="B1583" s="637" t="s">
        <v>33</v>
      </c>
      <c r="C1583" s="636" t="s">
        <v>2725</v>
      </c>
      <c r="D1583" s="637" t="s">
        <v>2118</v>
      </c>
      <c r="E1583" s="637" t="s">
        <v>1987</v>
      </c>
      <c r="F1583" s="636">
        <v>60530</v>
      </c>
      <c r="G1583" s="637" t="s">
        <v>81</v>
      </c>
      <c r="H1583" s="637" t="s">
        <v>1163</v>
      </c>
      <c r="I1583" s="637" t="s">
        <v>58</v>
      </c>
      <c r="J1583" s="636">
        <v>22</v>
      </c>
      <c r="K1583" s="636">
        <v>2</v>
      </c>
      <c r="L1583" s="637" t="s">
        <v>52</v>
      </c>
      <c r="M1583" s="637" t="s">
        <v>441</v>
      </c>
      <c r="N1583" s="637" t="s">
        <v>442</v>
      </c>
      <c r="O1583" s="637" t="s">
        <v>442</v>
      </c>
      <c r="P1583" s="637" t="s">
        <v>1156</v>
      </c>
      <c r="Q1583" s="638">
        <v>0</v>
      </c>
      <c r="R1583" s="638">
        <v>0</v>
      </c>
      <c r="S1583" s="638">
        <v>7483</v>
      </c>
      <c r="T1583" s="638">
        <v>7483</v>
      </c>
      <c r="U1583" s="638">
        <v>2193</v>
      </c>
      <c r="V1583" s="636">
        <v>2022</v>
      </c>
      <c r="W1583" s="640"/>
      <c r="X1583" s="641">
        <f t="shared" si="72"/>
        <v>3.4122207022343822</v>
      </c>
      <c r="Y1583" s="642" t="str">
        <f t="shared" si="73"/>
        <v/>
      </c>
      <c r="Z1583" s="642" t="str">
        <f t="shared" si="74"/>
        <v/>
      </c>
    </row>
    <row r="1584" spans="1:26" s="127" customFormat="1" ht="25">
      <c r="A1584" s="636">
        <v>60880</v>
      </c>
      <c r="B1584" s="637" t="s">
        <v>33</v>
      </c>
      <c r="C1584" s="636" t="s">
        <v>2725</v>
      </c>
      <c r="D1584" s="637" t="s">
        <v>2305</v>
      </c>
      <c r="E1584" s="637" t="s">
        <v>1988</v>
      </c>
      <c r="F1584" s="636">
        <v>60911</v>
      </c>
      <c r="G1584" s="637" t="s">
        <v>41</v>
      </c>
      <c r="H1584" s="637" t="s">
        <v>1163</v>
      </c>
      <c r="I1584" s="637" t="s">
        <v>58</v>
      </c>
      <c r="J1584" s="636">
        <v>22</v>
      </c>
      <c r="K1584" s="636">
        <v>2</v>
      </c>
      <c r="L1584" s="637" t="s">
        <v>52</v>
      </c>
      <c r="M1584" s="637" t="s">
        <v>441</v>
      </c>
      <c r="N1584" s="637" t="s">
        <v>442</v>
      </c>
      <c r="O1584" s="637" t="s">
        <v>442</v>
      </c>
      <c r="P1584" s="637" t="s">
        <v>1156</v>
      </c>
      <c r="Q1584" s="638">
        <v>0</v>
      </c>
      <c r="R1584" s="638">
        <v>0</v>
      </c>
      <c r="S1584" s="638">
        <v>11478</v>
      </c>
      <c r="T1584" s="638">
        <v>11478</v>
      </c>
      <c r="U1584" s="638">
        <v>3364</v>
      </c>
      <c r="V1584" s="636">
        <v>2022</v>
      </c>
      <c r="W1584" s="640"/>
      <c r="X1584" s="641">
        <f t="shared" si="72"/>
        <v>3.4120095124851368</v>
      </c>
      <c r="Y1584" s="642" t="str">
        <f t="shared" si="73"/>
        <v/>
      </c>
      <c r="Z1584" s="642" t="str">
        <f t="shared" si="74"/>
        <v/>
      </c>
    </row>
    <row r="1585" spans="1:26" s="127" customFormat="1" ht="25">
      <c r="A1585" s="636">
        <v>60903</v>
      </c>
      <c r="B1585" s="637" t="s">
        <v>33</v>
      </c>
      <c r="C1585" s="636" t="s">
        <v>2725</v>
      </c>
      <c r="D1585" s="637" t="s">
        <v>3287</v>
      </c>
      <c r="E1585" s="637" t="s">
        <v>3287</v>
      </c>
      <c r="F1585" s="636">
        <v>59928</v>
      </c>
      <c r="G1585" s="637" t="s">
        <v>81</v>
      </c>
      <c r="H1585" s="637" t="s">
        <v>1163</v>
      </c>
      <c r="I1585" s="637" t="s">
        <v>58</v>
      </c>
      <c r="J1585" s="636">
        <v>22</v>
      </c>
      <c r="K1585" s="636">
        <v>2</v>
      </c>
      <c r="L1585" s="637" t="s">
        <v>52</v>
      </c>
      <c r="M1585" s="637" t="s">
        <v>38</v>
      </c>
      <c r="N1585" s="637" t="s">
        <v>39</v>
      </c>
      <c r="O1585" s="637" t="s">
        <v>39</v>
      </c>
      <c r="P1585" s="637" t="s">
        <v>1020</v>
      </c>
      <c r="Q1585" s="638">
        <v>67143</v>
      </c>
      <c r="R1585" s="638">
        <v>67143</v>
      </c>
      <c r="S1585" s="638">
        <v>69177</v>
      </c>
      <c r="T1585" s="638">
        <v>69177</v>
      </c>
      <c r="U1585" s="638">
        <v>201944</v>
      </c>
      <c r="V1585" s="636">
        <v>2022</v>
      </c>
      <c r="W1585" s="640" t="s">
        <v>3934</v>
      </c>
      <c r="X1585" s="641">
        <f t="shared" si="72"/>
        <v>0.34255536188250207</v>
      </c>
      <c r="Y1585" s="642" t="str">
        <f t="shared" si="73"/>
        <v/>
      </c>
      <c r="Z1585" s="642" t="str">
        <f t="shared" si="74"/>
        <v/>
      </c>
    </row>
    <row r="1586" spans="1:26" s="127" customFormat="1" ht="25">
      <c r="A1586" s="636">
        <v>60903</v>
      </c>
      <c r="B1586" s="637" t="s">
        <v>33</v>
      </c>
      <c r="C1586" s="636" t="s">
        <v>2725</v>
      </c>
      <c r="D1586" s="637" t="s">
        <v>3287</v>
      </c>
      <c r="E1586" s="637" t="s">
        <v>3287</v>
      </c>
      <c r="F1586" s="636">
        <v>59928</v>
      </c>
      <c r="G1586" s="637" t="s">
        <v>81</v>
      </c>
      <c r="H1586" s="637" t="s">
        <v>1163</v>
      </c>
      <c r="I1586" s="637" t="s">
        <v>58</v>
      </c>
      <c r="J1586" s="636">
        <v>22</v>
      </c>
      <c r="K1586" s="636">
        <v>2</v>
      </c>
      <c r="L1586" s="637" t="s">
        <v>52</v>
      </c>
      <c r="M1586" s="637" t="s">
        <v>41</v>
      </c>
      <c r="N1586" s="637" t="s">
        <v>39</v>
      </c>
      <c r="O1586" s="637" t="s">
        <v>39</v>
      </c>
      <c r="P1586" s="637" t="s">
        <v>1020</v>
      </c>
      <c r="Q1586" s="638">
        <v>4131260</v>
      </c>
      <c r="R1586" s="638">
        <v>4131260</v>
      </c>
      <c r="S1586" s="638">
        <v>4257447</v>
      </c>
      <c r="T1586" s="638">
        <v>4257447</v>
      </c>
      <c r="U1586" s="638">
        <v>342730</v>
      </c>
      <c r="V1586" s="636">
        <v>2022</v>
      </c>
      <c r="W1586" s="640" t="s">
        <v>3934</v>
      </c>
      <c r="X1586" s="641">
        <f t="shared" si="72"/>
        <v>12.422160301111662</v>
      </c>
      <c r="Y1586" s="642" t="str">
        <f t="shared" si="73"/>
        <v/>
      </c>
      <c r="Z1586" s="642" t="str">
        <f t="shared" si="74"/>
        <v/>
      </c>
    </row>
    <row r="1587" spans="1:26" s="127" customFormat="1" ht="25">
      <c r="A1587" s="636">
        <v>60904</v>
      </c>
      <c r="B1587" s="637" t="s">
        <v>33</v>
      </c>
      <c r="C1587" s="636" t="s">
        <v>2725</v>
      </c>
      <c r="D1587" s="637" t="s">
        <v>2119</v>
      </c>
      <c r="E1587" s="637" t="s">
        <v>1883</v>
      </c>
      <c r="F1587" s="636">
        <v>60947</v>
      </c>
      <c r="G1587" s="637" t="s">
        <v>57</v>
      </c>
      <c r="H1587" s="637" t="s">
        <v>1162</v>
      </c>
      <c r="I1587" s="637" t="s">
        <v>58</v>
      </c>
      <c r="J1587" s="636">
        <v>22</v>
      </c>
      <c r="K1587" s="636">
        <v>2</v>
      </c>
      <c r="L1587" s="637" t="s">
        <v>52</v>
      </c>
      <c r="M1587" s="637" t="s">
        <v>441</v>
      </c>
      <c r="N1587" s="637" t="s">
        <v>442</v>
      </c>
      <c r="O1587" s="637" t="s">
        <v>442</v>
      </c>
      <c r="P1587" s="637" t="s">
        <v>1156</v>
      </c>
      <c r="Q1587" s="638">
        <v>0</v>
      </c>
      <c r="R1587" s="638">
        <v>0</v>
      </c>
      <c r="S1587" s="638">
        <v>10066</v>
      </c>
      <c r="T1587" s="638">
        <v>10066</v>
      </c>
      <c r="U1587" s="638">
        <v>2950</v>
      </c>
      <c r="V1587" s="636">
        <v>2022</v>
      </c>
      <c r="W1587" s="640"/>
      <c r="X1587" s="641">
        <f t="shared" si="72"/>
        <v>3.4122033898305086</v>
      </c>
      <c r="Y1587" s="642" t="str">
        <f t="shared" si="73"/>
        <v/>
      </c>
      <c r="Z1587" s="642" t="str">
        <f t="shared" si="74"/>
        <v/>
      </c>
    </row>
    <row r="1588" spans="1:26" s="127" customFormat="1" ht="25">
      <c r="A1588" s="636">
        <v>60906</v>
      </c>
      <c r="B1588" s="637" t="s">
        <v>33</v>
      </c>
      <c r="C1588" s="636" t="s">
        <v>2725</v>
      </c>
      <c r="D1588" s="637" t="s">
        <v>2755</v>
      </c>
      <c r="E1588" s="637" t="s">
        <v>1989</v>
      </c>
      <c r="F1588" s="636">
        <v>60471</v>
      </c>
      <c r="G1588" s="637" t="s">
        <v>81</v>
      </c>
      <c r="H1588" s="637" t="s">
        <v>1163</v>
      </c>
      <c r="I1588" s="637" t="s">
        <v>58</v>
      </c>
      <c r="J1588" s="636">
        <v>22</v>
      </c>
      <c r="K1588" s="636">
        <v>2</v>
      </c>
      <c r="L1588" s="637" t="s">
        <v>52</v>
      </c>
      <c r="M1588" s="637" t="s">
        <v>1852</v>
      </c>
      <c r="N1588" s="637" t="s">
        <v>1035</v>
      </c>
      <c r="O1588" s="637" t="s">
        <v>82</v>
      </c>
      <c r="P1588" s="637" t="s">
        <v>2726</v>
      </c>
      <c r="Q1588" s="638">
        <v>613</v>
      </c>
      <c r="R1588" s="638">
        <v>613</v>
      </c>
      <c r="S1588" s="638">
        <v>0</v>
      </c>
      <c r="T1588" s="638">
        <v>0</v>
      </c>
      <c r="U1588" s="638">
        <v>-275</v>
      </c>
      <c r="V1588" s="636">
        <v>2022</v>
      </c>
      <c r="W1588" s="640"/>
      <c r="X1588" s="641" t="str">
        <f t="shared" si="72"/>
        <v/>
      </c>
      <c r="Y1588" s="642" t="str">
        <f t="shared" si="73"/>
        <v/>
      </c>
      <c r="Z1588" s="642" t="str">
        <f t="shared" si="74"/>
        <v/>
      </c>
    </row>
    <row r="1589" spans="1:26" s="127" customFormat="1" ht="25">
      <c r="A1589" s="636">
        <v>60906</v>
      </c>
      <c r="B1589" s="637" t="s">
        <v>33</v>
      </c>
      <c r="C1589" s="636" t="s">
        <v>2725</v>
      </c>
      <c r="D1589" s="637" t="s">
        <v>2755</v>
      </c>
      <c r="E1589" s="637" t="s">
        <v>1989</v>
      </c>
      <c r="F1589" s="636">
        <v>60471</v>
      </c>
      <c r="G1589" s="637" t="s">
        <v>81</v>
      </c>
      <c r="H1589" s="637" t="s">
        <v>1163</v>
      </c>
      <c r="I1589" s="637" t="s">
        <v>58</v>
      </c>
      <c r="J1589" s="636">
        <v>22</v>
      </c>
      <c r="K1589" s="636">
        <v>2</v>
      </c>
      <c r="L1589" s="637" t="s">
        <v>52</v>
      </c>
      <c r="M1589" s="637" t="s">
        <v>441</v>
      </c>
      <c r="N1589" s="637" t="s">
        <v>442</v>
      </c>
      <c r="O1589" s="637" t="s">
        <v>442</v>
      </c>
      <c r="P1589" s="637" t="s">
        <v>1156</v>
      </c>
      <c r="Q1589" s="638">
        <v>0</v>
      </c>
      <c r="R1589" s="638">
        <v>0</v>
      </c>
      <c r="S1589" s="638">
        <v>23136</v>
      </c>
      <c r="T1589" s="638">
        <v>23136</v>
      </c>
      <c r="U1589" s="638">
        <v>6781</v>
      </c>
      <c r="V1589" s="636">
        <v>2022</v>
      </c>
      <c r="W1589" s="640"/>
      <c r="X1589" s="641">
        <f t="shared" si="72"/>
        <v>3.4118861524848842</v>
      </c>
      <c r="Y1589" s="642" t="str">
        <f t="shared" si="73"/>
        <v/>
      </c>
      <c r="Z1589" s="642" t="str">
        <f t="shared" si="74"/>
        <v/>
      </c>
    </row>
    <row r="1590" spans="1:26" s="127" customFormat="1" ht="25">
      <c r="A1590" s="636">
        <v>60908</v>
      </c>
      <c r="B1590" s="637" t="s">
        <v>33</v>
      </c>
      <c r="C1590" s="636" t="s">
        <v>2725</v>
      </c>
      <c r="D1590" s="637" t="s">
        <v>2120</v>
      </c>
      <c r="E1590" s="637" t="s">
        <v>2121</v>
      </c>
      <c r="F1590" s="636">
        <v>60541</v>
      </c>
      <c r="G1590" s="637" t="s">
        <v>81</v>
      </c>
      <c r="H1590" s="637" t="s">
        <v>1163</v>
      </c>
      <c r="I1590" s="637" t="s">
        <v>58</v>
      </c>
      <c r="J1590" s="636">
        <v>22</v>
      </c>
      <c r="K1590" s="636">
        <v>2</v>
      </c>
      <c r="L1590" s="637" t="s">
        <v>52</v>
      </c>
      <c r="M1590" s="637" t="s">
        <v>441</v>
      </c>
      <c r="N1590" s="637" t="s">
        <v>442</v>
      </c>
      <c r="O1590" s="637" t="s">
        <v>442</v>
      </c>
      <c r="P1590" s="637" t="s">
        <v>1156</v>
      </c>
      <c r="Q1590" s="638">
        <v>0</v>
      </c>
      <c r="R1590" s="638">
        <v>0</v>
      </c>
      <c r="S1590" s="638">
        <v>13561</v>
      </c>
      <c r="T1590" s="638">
        <v>13561</v>
      </c>
      <c r="U1590" s="638">
        <v>3974</v>
      </c>
      <c r="V1590" s="636">
        <v>2022</v>
      </c>
      <c r="W1590" s="640"/>
      <c r="X1590" s="641">
        <f t="shared" si="72"/>
        <v>3.4124308002013084</v>
      </c>
      <c r="Y1590" s="642" t="str">
        <f t="shared" si="73"/>
        <v/>
      </c>
      <c r="Z1590" s="642" t="str">
        <f t="shared" si="74"/>
        <v/>
      </c>
    </row>
    <row r="1591" spans="1:26" s="127" customFormat="1" ht="25">
      <c r="A1591" s="636">
        <v>60909</v>
      </c>
      <c r="B1591" s="637" t="s">
        <v>33</v>
      </c>
      <c r="C1591" s="636" t="s">
        <v>2725</v>
      </c>
      <c r="D1591" s="637" t="s">
        <v>1990</v>
      </c>
      <c r="E1591" s="637" t="s">
        <v>1991</v>
      </c>
      <c r="F1591" s="636">
        <v>60166</v>
      </c>
      <c r="G1591" s="637" t="s">
        <v>41</v>
      </c>
      <c r="H1591" s="637" t="s">
        <v>1163</v>
      </c>
      <c r="I1591" s="637" t="s">
        <v>58</v>
      </c>
      <c r="J1591" s="636">
        <v>22</v>
      </c>
      <c r="K1591" s="636">
        <v>2</v>
      </c>
      <c r="L1591" s="637" t="s">
        <v>52</v>
      </c>
      <c r="M1591" s="637" t="s">
        <v>441</v>
      </c>
      <c r="N1591" s="637" t="s">
        <v>442</v>
      </c>
      <c r="O1591" s="637" t="s">
        <v>442</v>
      </c>
      <c r="P1591" s="637" t="s">
        <v>1156</v>
      </c>
      <c r="Q1591" s="638">
        <v>0</v>
      </c>
      <c r="R1591" s="638">
        <v>0</v>
      </c>
      <c r="S1591" s="638">
        <v>5210</v>
      </c>
      <c r="T1591" s="638">
        <v>5210</v>
      </c>
      <c r="U1591" s="638">
        <v>1527</v>
      </c>
      <c r="V1591" s="636">
        <v>2022</v>
      </c>
      <c r="W1591" s="640"/>
      <c r="X1591" s="641">
        <f t="shared" si="72"/>
        <v>3.4119187950229208</v>
      </c>
      <c r="Y1591" s="642" t="str">
        <f t="shared" si="73"/>
        <v/>
      </c>
      <c r="Z1591" s="642" t="str">
        <f t="shared" si="74"/>
        <v/>
      </c>
    </row>
    <row r="1592" spans="1:26" s="127" customFormat="1" ht="25">
      <c r="A1592" s="636">
        <v>60912</v>
      </c>
      <c r="B1592" s="637" t="s">
        <v>33</v>
      </c>
      <c r="C1592" s="636" t="s">
        <v>2725</v>
      </c>
      <c r="D1592" s="637" t="s">
        <v>1992</v>
      </c>
      <c r="E1592" s="637" t="s">
        <v>3053</v>
      </c>
      <c r="F1592" s="636">
        <v>60571</v>
      </c>
      <c r="G1592" s="637" t="s">
        <v>89</v>
      </c>
      <c r="H1592" s="637" t="s">
        <v>1163</v>
      </c>
      <c r="I1592" s="637" t="s">
        <v>58</v>
      </c>
      <c r="J1592" s="636">
        <v>22</v>
      </c>
      <c r="K1592" s="636">
        <v>2</v>
      </c>
      <c r="L1592" s="637" t="s">
        <v>52</v>
      </c>
      <c r="M1592" s="637" t="s">
        <v>441</v>
      </c>
      <c r="N1592" s="637" t="s">
        <v>442</v>
      </c>
      <c r="O1592" s="637" t="s">
        <v>442</v>
      </c>
      <c r="P1592" s="637" t="s">
        <v>1156</v>
      </c>
      <c r="Q1592" s="638">
        <v>0</v>
      </c>
      <c r="R1592" s="638">
        <v>0</v>
      </c>
      <c r="S1592" s="638">
        <v>11960</v>
      </c>
      <c r="T1592" s="638">
        <v>11960</v>
      </c>
      <c r="U1592" s="638">
        <v>3505</v>
      </c>
      <c r="V1592" s="636">
        <v>2022</v>
      </c>
      <c r="W1592" s="640"/>
      <c r="X1592" s="641">
        <f t="shared" si="72"/>
        <v>3.4122681883024253</v>
      </c>
      <c r="Y1592" s="642" t="str">
        <f t="shared" si="73"/>
        <v/>
      </c>
      <c r="Z1592" s="642" t="str">
        <f t="shared" si="74"/>
        <v/>
      </c>
    </row>
    <row r="1593" spans="1:26" s="127" customFormat="1" ht="25">
      <c r="A1593" s="636">
        <v>60954</v>
      </c>
      <c r="B1593" s="637" t="s">
        <v>33</v>
      </c>
      <c r="C1593" s="636" t="s">
        <v>2725</v>
      </c>
      <c r="D1593" s="637" t="s">
        <v>2122</v>
      </c>
      <c r="E1593" s="637" t="s">
        <v>1978</v>
      </c>
      <c r="F1593" s="636">
        <v>60520</v>
      </c>
      <c r="G1593" s="637" t="s">
        <v>89</v>
      </c>
      <c r="H1593" s="637" t="s">
        <v>1163</v>
      </c>
      <c r="I1593" s="637" t="s">
        <v>58</v>
      </c>
      <c r="J1593" s="636">
        <v>22</v>
      </c>
      <c r="K1593" s="636">
        <v>2</v>
      </c>
      <c r="L1593" s="637" t="s">
        <v>52</v>
      </c>
      <c r="M1593" s="637" t="s">
        <v>441</v>
      </c>
      <c r="N1593" s="637" t="s">
        <v>442</v>
      </c>
      <c r="O1593" s="637" t="s">
        <v>442</v>
      </c>
      <c r="P1593" s="637" t="s">
        <v>1156</v>
      </c>
      <c r="Q1593" s="638">
        <v>0</v>
      </c>
      <c r="R1593" s="638">
        <v>0</v>
      </c>
      <c r="S1593" s="638">
        <v>6169</v>
      </c>
      <c r="T1593" s="638">
        <v>6169</v>
      </c>
      <c r="U1593" s="638">
        <v>1808</v>
      </c>
      <c r="V1593" s="636">
        <v>2022</v>
      </c>
      <c r="W1593" s="640"/>
      <c r="X1593" s="641">
        <f t="shared" si="72"/>
        <v>3.4120575221238938</v>
      </c>
      <c r="Y1593" s="642" t="str">
        <f t="shared" si="73"/>
        <v/>
      </c>
      <c r="Z1593" s="642" t="str">
        <f t="shared" si="74"/>
        <v/>
      </c>
    </row>
    <row r="1594" spans="1:26" s="127" customFormat="1" ht="25">
      <c r="A1594" s="636">
        <v>60959</v>
      </c>
      <c r="B1594" s="637" t="s">
        <v>33</v>
      </c>
      <c r="C1594" s="636" t="s">
        <v>2725</v>
      </c>
      <c r="D1594" s="637" t="s">
        <v>1993</v>
      </c>
      <c r="E1594" s="637" t="s">
        <v>1994</v>
      </c>
      <c r="F1594" s="636">
        <v>58375</v>
      </c>
      <c r="G1594" s="637" t="s">
        <v>81</v>
      </c>
      <c r="H1594" s="637" t="s">
        <v>1163</v>
      </c>
      <c r="I1594" s="637" t="s">
        <v>58</v>
      </c>
      <c r="J1594" s="636">
        <v>22</v>
      </c>
      <c r="K1594" s="636">
        <v>1</v>
      </c>
      <c r="L1594" s="637" t="s">
        <v>34</v>
      </c>
      <c r="M1594" s="637" t="s">
        <v>1852</v>
      </c>
      <c r="N1594" s="637" t="s">
        <v>1035</v>
      </c>
      <c r="O1594" s="637" t="s">
        <v>82</v>
      </c>
      <c r="P1594" s="637" t="s">
        <v>2726</v>
      </c>
      <c r="Q1594" s="638">
        <v>98</v>
      </c>
      <c r="R1594" s="638">
        <v>98</v>
      </c>
      <c r="S1594" s="638">
        <v>0</v>
      </c>
      <c r="T1594" s="638">
        <v>0</v>
      </c>
      <c r="U1594" s="638">
        <v>35</v>
      </c>
      <c r="V1594" s="636">
        <v>2022</v>
      </c>
      <c r="W1594" s="640"/>
      <c r="X1594" s="641" t="str">
        <f t="shared" si="72"/>
        <v/>
      </c>
      <c r="Y1594" s="642" t="str">
        <f t="shared" si="73"/>
        <v/>
      </c>
      <c r="Z1594" s="642" t="str">
        <f t="shared" si="74"/>
        <v/>
      </c>
    </row>
    <row r="1595" spans="1:26" s="127" customFormat="1" ht="25">
      <c r="A1595" s="636">
        <v>60967</v>
      </c>
      <c r="B1595" s="637" t="s">
        <v>33</v>
      </c>
      <c r="C1595" s="636" t="s">
        <v>2725</v>
      </c>
      <c r="D1595" s="637" t="s">
        <v>2306</v>
      </c>
      <c r="E1595" s="637" t="s">
        <v>1995</v>
      </c>
      <c r="F1595" s="636">
        <v>60584</v>
      </c>
      <c r="G1595" s="637" t="s">
        <v>57</v>
      </c>
      <c r="H1595" s="637" t="s">
        <v>1162</v>
      </c>
      <c r="I1595" s="637" t="s">
        <v>58</v>
      </c>
      <c r="J1595" s="636">
        <v>22</v>
      </c>
      <c r="K1595" s="636">
        <v>2</v>
      </c>
      <c r="L1595" s="637" t="s">
        <v>52</v>
      </c>
      <c r="M1595" s="637" t="s">
        <v>441</v>
      </c>
      <c r="N1595" s="637" t="s">
        <v>442</v>
      </c>
      <c r="O1595" s="637" t="s">
        <v>442</v>
      </c>
      <c r="P1595" s="637" t="s">
        <v>1156</v>
      </c>
      <c r="Q1595" s="638">
        <v>0</v>
      </c>
      <c r="R1595" s="638">
        <v>0</v>
      </c>
      <c r="S1595" s="638">
        <v>9554</v>
      </c>
      <c r="T1595" s="638">
        <v>9554</v>
      </c>
      <c r="U1595" s="638">
        <v>2800</v>
      </c>
      <c r="V1595" s="636">
        <v>2022</v>
      </c>
      <c r="W1595" s="640"/>
      <c r="X1595" s="641">
        <f t="shared" si="72"/>
        <v>3.4121428571428569</v>
      </c>
      <c r="Y1595" s="642" t="str">
        <f t="shared" si="73"/>
        <v/>
      </c>
      <c r="Z1595" s="642" t="str">
        <f t="shared" si="74"/>
        <v/>
      </c>
    </row>
    <row r="1596" spans="1:26" s="127" customFormat="1" ht="25">
      <c r="A1596" s="636">
        <v>60986</v>
      </c>
      <c r="B1596" s="637" t="s">
        <v>33</v>
      </c>
      <c r="C1596" s="636" t="s">
        <v>2725</v>
      </c>
      <c r="D1596" s="637" t="s">
        <v>3288</v>
      </c>
      <c r="E1596" s="637" t="s">
        <v>2739</v>
      </c>
      <c r="F1596" s="636">
        <v>63249</v>
      </c>
      <c r="G1596" s="637" t="s">
        <v>81</v>
      </c>
      <c r="H1596" s="637" t="s">
        <v>1163</v>
      </c>
      <c r="I1596" s="637" t="s">
        <v>58</v>
      </c>
      <c r="J1596" s="636">
        <v>22</v>
      </c>
      <c r="K1596" s="636">
        <v>2</v>
      </c>
      <c r="L1596" s="637" t="s">
        <v>52</v>
      </c>
      <c r="M1596" s="637" t="s">
        <v>441</v>
      </c>
      <c r="N1596" s="637" t="s">
        <v>442</v>
      </c>
      <c r="O1596" s="637" t="s">
        <v>442</v>
      </c>
      <c r="P1596" s="637" t="s">
        <v>1156</v>
      </c>
      <c r="Q1596" s="638">
        <v>0</v>
      </c>
      <c r="R1596" s="638">
        <v>0</v>
      </c>
      <c r="S1596" s="638">
        <v>13565</v>
      </c>
      <c r="T1596" s="638">
        <v>13565</v>
      </c>
      <c r="U1596" s="638">
        <v>3976</v>
      </c>
      <c r="V1596" s="636">
        <v>2022</v>
      </c>
      <c r="W1596" s="640"/>
      <c r="X1596" s="641">
        <f t="shared" si="72"/>
        <v>3.4117203219315897</v>
      </c>
      <c r="Y1596" s="642" t="str">
        <f t="shared" si="73"/>
        <v/>
      </c>
      <c r="Z1596" s="642" t="str">
        <f t="shared" si="74"/>
        <v/>
      </c>
    </row>
    <row r="1597" spans="1:26" s="127" customFormat="1" ht="25">
      <c r="A1597" s="636">
        <v>61002</v>
      </c>
      <c r="B1597" s="637" t="s">
        <v>33</v>
      </c>
      <c r="C1597" s="636" t="s">
        <v>2725</v>
      </c>
      <c r="D1597" s="637" t="s">
        <v>1996</v>
      </c>
      <c r="E1597" s="637" t="s">
        <v>1996</v>
      </c>
      <c r="F1597" s="636">
        <v>60621</v>
      </c>
      <c r="G1597" s="637" t="s">
        <v>130</v>
      </c>
      <c r="H1597" s="637" t="s">
        <v>1163</v>
      </c>
      <c r="I1597" s="637" t="s">
        <v>58</v>
      </c>
      <c r="J1597" s="636">
        <v>22</v>
      </c>
      <c r="K1597" s="636">
        <v>2</v>
      </c>
      <c r="L1597" s="637" t="s">
        <v>52</v>
      </c>
      <c r="M1597" s="637" t="s">
        <v>71</v>
      </c>
      <c r="N1597" s="637" t="s">
        <v>72</v>
      </c>
      <c r="O1597" s="637" t="s">
        <v>72</v>
      </c>
      <c r="P1597" s="637" t="s">
        <v>1156</v>
      </c>
      <c r="Q1597" s="638">
        <v>0</v>
      </c>
      <c r="R1597" s="638">
        <v>0</v>
      </c>
      <c r="S1597" s="638">
        <v>15705</v>
      </c>
      <c r="T1597" s="638">
        <v>15705</v>
      </c>
      <c r="U1597" s="638">
        <v>4603</v>
      </c>
      <c r="V1597" s="636">
        <v>2022</v>
      </c>
      <c r="W1597" s="640"/>
      <c r="X1597" s="641">
        <f t="shared" si="72"/>
        <v>3.4119052791657616</v>
      </c>
      <c r="Y1597" s="642" t="str">
        <f t="shared" si="73"/>
        <v/>
      </c>
      <c r="Z1597" s="642" t="str">
        <f t="shared" si="74"/>
        <v/>
      </c>
    </row>
    <row r="1598" spans="1:26" s="127" customFormat="1" ht="25">
      <c r="A1598" s="636">
        <v>61003</v>
      </c>
      <c r="B1598" s="637" t="s">
        <v>33</v>
      </c>
      <c r="C1598" s="636" t="s">
        <v>2725</v>
      </c>
      <c r="D1598" s="637" t="s">
        <v>1997</v>
      </c>
      <c r="E1598" s="637" t="s">
        <v>1998</v>
      </c>
      <c r="F1598" s="636">
        <v>60643</v>
      </c>
      <c r="G1598" s="637" t="s">
        <v>57</v>
      </c>
      <c r="H1598" s="637" t="s">
        <v>1162</v>
      </c>
      <c r="I1598" s="637" t="s">
        <v>58</v>
      </c>
      <c r="J1598" s="636">
        <v>22</v>
      </c>
      <c r="K1598" s="636">
        <v>2</v>
      </c>
      <c r="L1598" s="637" t="s">
        <v>52</v>
      </c>
      <c r="M1598" s="637" t="s">
        <v>441</v>
      </c>
      <c r="N1598" s="637" t="s">
        <v>442</v>
      </c>
      <c r="O1598" s="637" t="s">
        <v>442</v>
      </c>
      <c r="P1598" s="637" t="s">
        <v>1156</v>
      </c>
      <c r="Q1598" s="638">
        <v>0</v>
      </c>
      <c r="R1598" s="638">
        <v>0</v>
      </c>
      <c r="S1598" s="638">
        <v>10871</v>
      </c>
      <c r="T1598" s="638">
        <v>10871</v>
      </c>
      <c r="U1598" s="638">
        <v>3186</v>
      </c>
      <c r="V1598" s="636">
        <v>2022</v>
      </c>
      <c r="W1598" s="640"/>
      <c r="X1598" s="641">
        <f t="shared" si="72"/>
        <v>3.4121155053358443</v>
      </c>
      <c r="Y1598" s="642" t="str">
        <f t="shared" si="73"/>
        <v/>
      </c>
      <c r="Z1598" s="642" t="str">
        <f t="shared" si="74"/>
        <v/>
      </c>
    </row>
    <row r="1599" spans="1:26" s="127" customFormat="1" ht="25">
      <c r="A1599" s="636">
        <v>61007</v>
      </c>
      <c r="B1599" s="637" t="s">
        <v>33</v>
      </c>
      <c r="C1599" s="636" t="s">
        <v>2725</v>
      </c>
      <c r="D1599" s="637" t="s">
        <v>2123</v>
      </c>
      <c r="E1599" s="637" t="s">
        <v>2124</v>
      </c>
      <c r="F1599" s="636">
        <v>60649</v>
      </c>
      <c r="G1599" s="637" t="s">
        <v>81</v>
      </c>
      <c r="H1599" s="637" t="s">
        <v>1163</v>
      </c>
      <c r="I1599" s="637" t="s">
        <v>58</v>
      </c>
      <c r="J1599" s="636">
        <v>22</v>
      </c>
      <c r="K1599" s="636">
        <v>2</v>
      </c>
      <c r="L1599" s="637" t="s">
        <v>52</v>
      </c>
      <c r="M1599" s="637" t="s">
        <v>441</v>
      </c>
      <c r="N1599" s="637" t="s">
        <v>442</v>
      </c>
      <c r="O1599" s="637" t="s">
        <v>442</v>
      </c>
      <c r="P1599" s="637" t="s">
        <v>1156</v>
      </c>
      <c r="Q1599" s="638">
        <v>0</v>
      </c>
      <c r="R1599" s="638">
        <v>0</v>
      </c>
      <c r="S1599" s="638">
        <v>34379</v>
      </c>
      <c r="T1599" s="638">
        <v>34379</v>
      </c>
      <c r="U1599" s="638">
        <v>10076</v>
      </c>
      <c r="V1599" s="636">
        <v>2022</v>
      </c>
      <c r="W1599" s="640"/>
      <c r="X1599" s="641">
        <f t="shared" si="72"/>
        <v>3.4119690353314809</v>
      </c>
      <c r="Y1599" s="642" t="str">
        <f t="shared" si="73"/>
        <v/>
      </c>
      <c r="Z1599" s="642" t="str">
        <f t="shared" si="74"/>
        <v/>
      </c>
    </row>
    <row r="1600" spans="1:26" s="127" customFormat="1" ht="25">
      <c r="A1600" s="636">
        <v>61008</v>
      </c>
      <c r="B1600" s="637" t="s">
        <v>33</v>
      </c>
      <c r="C1600" s="636" t="s">
        <v>2725</v>
      </c>
      <c r="D1600" s="637" t="s">
        <v>2125</v>
      </c>
      <c r="E1600" s="637" t="s">
        <v>2126</v>
      </c>
      <c r="F1600" s="636">
        <v>60650</v>
      </c>
      <c r="G1600" s="637" t="s">
        <v>81</v>
      </c>
      <c r="H1600" s="637" t="s">
        <v>1163</v>
      </c>
      <c r="I1600" s="637" t="s">
        <v>58</v>
      </c>
      <c r="J1600" s="636">
        <v>22</v>
      </c>
      <c r="K1600" s="636">
        <v>2</v>
      </c>
      <c r="L1600" s="637" t="s">
        <v>52</v>
      </c>
      <c r="M1600" s="637" t="s">
        <v>441</v>
      </c>
      <c r="N1600" s="637" t="s">
        <v>442</v>
      </c>
      <c r="O1600" s="637" t="s">
        <v>442</v>
      </c>
      <c r="P1600" s="637" t="s">
        <v>1156</v>
      </c>
      <c r="Q1600" s="638">
        <v>0</v>
      </c>
      <c r="R1600" s="638">
        <v>0</v>
      </c>
      <c r="S1600" s="638">
        <v>18922</v>
      </c>
      <c r="T1600" s="638">
        <v>18922</v>
      </c>
      <c r="U1600" s="638">
        <v>5546</v>
      </c>
      <c r="V1600" s="636">
        <v>2022</v>
      </c>
      <c r="W1600" s="640"/>
      <c r="X1600" s="641">
        <f t="shared" si="72"/>
        <v>3.4118283447529749</v>
      </c>
      <c r="Y1600" s="642" t="str">
        <f t="shared" si="73"/>
        <v/>
      </c>
      <c r="Z1600" s="642" t="str">
        <f t="shared" si="74"/>
        <v/>
      </c>
    </row>
    <row r="1601" spans="1:26" s="127" customFormat="1" ht="25">
      <c r="A1601" s="636">
        <v>61009</v>
      </c>
      <c r="B1601" s="637" t="s">
        <v>33</v>
      </c>
      <c r="C1601" s="636" t="s">
        <v>2725</v>
      </c>
      <c r="D1601" s="637" t="s">
        <v>2127</v>
      </c>
      <c r="E1601" s="637" t="s">
        <v>2128</v>
      </c>
      <c r="F1601" s="636">
        <v>60651</v>
      </c>
      <c r="G1601" s="637" t="s">
        <v>81</v>
      </c>
      <c r="H1601" s="637" t="s">
        <v>1163</v>
      </c>
      <c r="I1601" s="637" t="s">
        <v>58</v>
      </c>
      <c r="J1601" s="636">
        <v>22</v>
      </c>
      <c r="K1601" s="636">
        <v>2</v>
      </c>
      <c r="L1601" s="637" t="s">
        <v>52</v>
      </c>
      <c r="M1601" s="637" t="s">
        <v>441</v>
      </c>
      <c r="N1601" s="637" t="s">
        <v>442</v>
      </c>
      <c r="O1601" s="637" t="s">
        <v>442</v>
      </c>
      <c r="P1601" s="637" t="s">
        <v>1156</v>
      </c>
      <c r="Q1601" s="638">
        <v>0</v>
      </c>
      <c r="R1601" s="638">
        <v>0</v>
      </c>
      <c r="S1601" s="638">
        <v>11195</v>
      </c>
      <c r="T1601" s="638">
        <v>11195</v>
      </c>
      <c r="U1601" s="638">
        <v>3281</v>
      </c>
      <c r="V1601" s="636">
        <v>2022</v>
      </c>
      <c r="W1601" s="640"/>
      <c r="X1601" s="641">
        <f t="shared" si="72"/>
        <v>3.4120694910088387</v>
      </c>
      <c r="Y1601" s="642" t="str">
        <f t="shared" si="73"/>
        <v/>
      </c>
      <c r="Z1601" s="642" t="str">
        <f t="shared" si="74"/>
        <v/>
      </c>
    </row>
    <row r="1602" spans="1:26" s="127" customFormat="1" ht="25">
      <c r="A1602" s="636">
        <v>61010</v>
      </c>
      <c r="B1602" s="637" t="s">
        <v>33</v>
      </c>
      <c r="C1602" s="636" t="s">
        <v>2725</v>
      </c>
      <c r="D1602" s="637" t="s">
        <v>2129</v>
      </c>
      <c r="E1602" s="637" t="s">
        <v>2130</v>
      </c>
      <c r="F1602" s="636">
        <v>60655</v>
      </c>
      <c r="G1602" s="637" t="s">
        <v>81</v>
      </c>
      <c r="H1602" s="637" t="s">
        <v>1163</v>
      </c>
      <c r="I1602" s="637" t="s">
        <v>58</v>
      </c>
      <c r="J1602" s="636">
        <v>22</v>
      </c>
      <c r="K1602" s="636">
        <v>2</v>
      </c>
      <c r="L1602" s="637" t="s">
        <v>52</v>
      </c>
      <c r="M1602" s="637" t="s">
        <v>441</v>
      </c>
      <c r="N1602" s="637" t="s">
        <v>442</v>
      </c>
      <c r="O1602" s="637" t="s">
        <v>442</v>
      </c>
      <c r="P1602" s="637" t="s">
        <v>1156</v>
      </c>
      <c r="Q1602" s="638">
        <v>0</v>
      </c>
      <c r="R1602" s="638">
        <v>0</v>
      </c>
      <c r="S1602" s="638">
        <v>40892</v>
      </c>
      <c r="T1602" s="638">
        <v>40892</v>
      </c>
      <c r="U1602" s="638">
        <v>11985</v>
      </c>
      <c r="V1602" s="636">
        <v>2022</v>
      </c>
      <c r="W1602" s="640"/>
      <c r="X1602" s="641">
        <f t="shared" si="72"/>
        <v>3.4119315811430955</v>
      </c>
      <c r="Y1602" s="642" t="str">
        <f t="shared" si="73"/>
        <v/>
      </c>
      <c r="Z1602" s="642" t="str">
        <f t="shared" si="74"/>
        <v/>
      </c>
    </row>
    <row r="1603" spans="1:26" s="127" customFormat="1" ht="25">
      <c r="A1603" s="636">
        <v>61012</v>
      </c>
      <c r="B1603" s="637" t="s">
        <v>33</v>
      </c>
      <c r="C1603" s="636" t="s">
        <v>2725</v>
      </c>
      <c r="D1603" s="637" t="s">
        <v>1999</v>
      </c>
      <c r="E1603" s="637" t="s">
        <v>892</v>
      </c>
      <c r="F1603" s="636">
        <v>54842</v>
      </c>
      <c r="G1603" s="637" t="s">
        <v>57</v>
      </c>
      <c r="H1603" s="637" t="s">
        <v>1162</v>
      </c>
      <c r="I1603" s="637" t="s">
        <v>58</v>
      </c>
      <c r="J1603" s="636">
        <v>22</v>
      </c>
      <c r="K1603" s="636">
        <v>2</v>
      </c>
      <c r="L1603" s="637" t="s">
        <v>52</v>
      </c>
      <c r="M1603" s="637" t="s">
        <v>51</v>
      </c>
      <c r="N1603" s="637" t="s">
        <v>63</v>
      </c>
      <c r="O1603" s="637" t="s">
        <v>64</v>
      </c>
      <c r="P1603" s="637" t="s">
        <v>1020</v>
      </c>
      <c r="Q1603" s="638">
        <v>1174862</v>
      </c>
      <c r="R1603" s="638">
        <v>1174862</v>
      </c>
      <c r="S1603" s="638">
        <v>605053</v>
      </c>
      <c r="T1603" s="638">
        <v>605053</v>
      </c>
      <c r="U1603" s="638">
        <v>49291</v>
      </c>
      <c r="V1603" s="636">
        <v>2022</v>
      </c>
      <c r="W1603" s="640"/>
      <c r="X1603" s="641">
        <f t="shared" si="72"/>
        <v>12.275121218883772</v>
      </c>
      <c r="Y1603" s="642" t="str">
        <f t="shared" si="73"/>
        <v/>
      </c>
      <c r="Z1603" s="642" t="str">
        <f t="shared" si="74"/>
        <v/>
      </c>
    </row>
    <row r="1604" spans="1:26" s="127" customFormat="1" ht="25">
      <c r="A1604" s="636">
        <v>61015</v>
      </c>
      <c r="B1604" s="637" t="s">
        <v>33</v>
      </c>
      <c r="C1604" s="636" t="s">
        <v>2725</v>
      </c>
      <c r="D1604" s="637" t="s">
        <v>2000</v>
      </c>
      <c r="E1604" s="637" t="s">
        <v>1998</v>
      </c>
      <c r="F1604" s="636">
        <v>60643</v>
      </c>
      <c r="G1604" s="637" t="s">
        <v>57</v>
      </c>
      <c r="H1604" s="637" t="s">
        <v>1162</v>
      </c>
      <c r="I1604" s="637" t="s">
        <v>58</v>
      </c>
      <c r="J1604" s="636">
        <v>22</v>
      </c>
      <c r="K1604" s="636">
        <v>2</v>
      </c>
      <c r="L1604" s="637" t="s">
        <v>52</v>
      </c>
      <c r="M1604" s="637" t="s">
        <v>441</v>
      </c>
      <c r="N1604" s="637" t="s">
        <v>442</v>
      </c>
      <c r="O1604" s="637" t="s">
        <v>442</v>
      </c>
      <c r="P1604" s="637" t="s">
        <v>1156</v>
      </c>
      <c r="Q1604" s="638">
        <v>0</v>
      </c>
      <c r="R1604" s="638">
        <v>0</v>
      </c>
      <c r="S1604" s="638">
        <v>10190</v>
      </c>
      <c r="T1604" s="638">
        <v>10190</v>
      </c>
      <c r="U1604" s="638">
        <v>2987</v>
      </c>
      <c r="V1604" s="636">
        <v>2022</v>
      </c>
      <c r="W1604" s="640"/>
      <c r="X1604" s="641">
        <f t="shared" si="72"/>
        <v>3.4114496149983262</v>
      </c>
      <c r="Y1604" s="642" t="str">
        <f t="shared" si="73"/>
        <v/>
      </c>
      <c r="Z1604" s="642" t="str">
        <f t="shared" si="74"/>
        <v/>
      </c>
    </row>
    <row r="1605" spans="1:26" s="127" customFormat="1" ht="25">
      <c r="A1605" s="636">
        <v>61016</v>
      </c>
      <c r="B1605" s="637" t="s">
        <v>33</v>
      </c>
      <c r="C1605" s="636" t="s">
        <v>2725</v>
      </c>
      <c r="D1605" s="637" t="s">
        <v>2131</v>
      </c>
      <c r="E1605" s="637" t="s">
        <v>2132</v>
      </c>
      <c r="F1605" s="636">
        <v>60652</v>
      </c>
      <c r="G1605" s="637" t="s">
        <v>81</v>
      </c>
      <c r="H1605" s="637" t="s">
        <v>1163</v>
      </c>
      <c r="I1605" s="637" t="s">
        <v>58</v>
      </c>
      <c r="J1605" s="636">
        <v>22</v>
      </c>
      <c r="K1605" s="636">
        <v>2</v>
      </c>
      <c r="L1605" s="637" t="s">
        <v>52</v>
      </c>
      <c r="M1605" s="637" t="s">
        <v>441</v>
      </c>
      <c r="N1605" s="637" t="s">
        <v>442</v>
      </c>
      <c r="O1605" s="637" t="s">
        <v>442</v>
      </c>
      <c r="P1605" s="637" t="s">
        <v>1156</v>
      </c>
      <c r="Q1605" s="638">
        <v>0</v>
      </c>
      <c r="R1605" s="638">
        <v>0</v>
      </c>
      <c r="S1605" s="638">
        <v>12136</v>
      </c>
      <c r="T1605" s="638">
        <v>12136</v>
      </c>
      <c r="U1605" s="638">
        <v>3557</v>
      </c>
      <c r="V1605" s="636">
        <v>2022</v>
      </c>
      <c r="W1605" s="640"/>
      <c r="X1605" s="641">
        <f t="shared" si="72"/>
        <v>3.4118639302783245</v>
      </c>
      <c r="Y1605" s="642" t="str">
        <f t="shared" si="73"/>
        <v/>
      </c>
      <c r="Z1605" s="642" t="str">
        <f t="shared" si="74"/>
        <v/>
      </c>
    </row>
    <row r="1606" spans="1:26" s="127" customFormat="1" ht="25">
      <c r="A1606" s="636">
        <v>61017</v>
      </c>
      <c r="B1606" s="637" t="s">
        <v>33</v>
      </c>
      <c r="C1606" s="636" t="s">
        <v>2725</v>
      </c>
      <c r="D1606" s="637" t="s">
        <v>2133</v>
      </c>
      <c r="E1606" s="637" t="s">
        <v>2134</v>
      </c>
      <c r="F1606" s="636">
        <v>60653</v>
      </c>
      <c r="G1606" s="637" t="s">
        <v>81</v>
      </c>
      <c r="H1606" s="637" t="s">
        <v>1163</v>
      </c>
      <c r="I1606" s="637" t="s">
        <v>58</v>
      </c>
      <c r="J1606" s="636">
        <v>22</v>
      </c>
      <c r="K1606" s="636">
        <v>2</v>
      </c>
      <c r="L1606" s="637" t="s">
        <v>52</v>
      </c>
      <c r="M1606" s="637" t="s">
        <v>441</v>
      </c>
      <c r="N1606" s="637" t="s">
        <v>442</v>
      </c>
      <c r="O1606" s="637" t="s">
        <v>442</v>
      </c>
      <c r="P1606" s="637" t="s">
        <v>1156</v>
      </c>
      <c r="Q1606" s="638">
        <v>0</v>
      </c>
      <c r="R1606" s="638">
        <v>0</v>
      </c>
      <c r="S1606" s="638">
        <v>12340</v>
      </c>
      <c r="T1606" s="638">
        <v>12340</v>
      </c>
      <c r="U1606" s="638">
        <v>3616</v>
      </c>
      <c r="V1606" s="636">
        <v>2022</v>
      </c>
      <c r="W1606" s="640"/>
      <c r="X1606" s="641">
        <f t="shared" si="72"/>
        <v>3.4126106194690267</v>
      </c>
      <c r="Y1606" s="642" t="str">
        <f t="shared" si="73"/>
        <v/>
      </c>
      <c r="Z1606" s="642" t="str">
        <f t="shared" si="74"/>
        <v/>
      </c>
    </row>
    <row r="1607" spans="1:26" s="127" customFormat="1" ht="25">
      <c r="A1607" s="636">
        <v>61018</v>
      </c>
      <c r="B1607" s="637" t="s">
        <v>33</v>
      </c>
      <c r="C1607" s="636" t="s">
        <v>2725</v>
      </c>
      <c r="D1607" s="637" t="s">
        <v>2135</v>
      </c>
      <c r="E1607" s="637" t="s">
        <v>2136</v>
      </c>
      <c r="F1607" s="636">
        <v>60654</v>
      </c>
      <c r="G1607" s="637" t="s">
        <v>81</v>
      </c>
      <c r="H1607" s="637" t="s">
        <v>1163</v>
      </c>
      <c r="I1607" s="637" t="s">
        <v>58</v>
      </c>
      <c r="J1607" s="636">
        <v>22</v>
      </c>
      <c r="K1607" s="636">
        <v>2</v>
      </c>
      <c r="L1607" s="637" t="s">
        <v>52</v>
      </c>
      <c r="M1607" s="637" t="s">
        <v>441</v>
      </c>
      <c r="N1607" s="637" t="s">
        <v>442</v>
      </c>
      <c r="O1607" s="637" t="s">
        <v>442</v>
      </c>
      <c r="P1607" s="637" t="s">
        <v>1156</v>
      </c>
      <c r="Q1607" s="638">
        <v>0</v>
      </c>
      <c r="R1607" s="638">
        <v>0</v>
      </c>
      <c r="S1607" s="638">
        <v>5925</v>
      </c>
      <c r="T1607" s="638">
        <v>5925</v>
      </c>
      <c r="U1607" s="638">
        <v>1737</v>
      </c>
      <c r="V1607" s="636">
        <v>2022</v>
      </c>
      <c r="W1607" s="640"/>
      <c r="X1607" s="641">
        <f t="shared" si="72"/>
        <v>3.4110535405872193</v>
      </c>
      <c r="Y1607" s="642" t="str">
        <f t="shared" si="73"/>
        <v/>
      </c>
      <c r="Z1607" s="642" t="str">
        <f t="shared" si="74"/>
        <v/>
      </c>
    </row>
    <row r="1608" spans="1:26" s="127" customFormat="1" ht="37.5" hidden="1">
      <c r="A1608" s="636">
        <v>61025</v>
      </c>
      <c r="B1608" s="637" t="s">
        <v>33</v>
      </c>
      <c r="C1608" s="636" t="s">
        <v>2725</v>
      </c>
      <c r="D1608" s="637" t="s">
        <v>2001</v>
      </c>
      <c r="E1608" s="637" t="s">
        <v>2002</v>
      </c>
      <c r="F1608" s="636">
        <v>60675</v>
      </c>
      <c r="G1608" s="637" t="s">
        <v>57</v>
      </c>
      <c r="H1608" s="637" t="s">
        <v>1162</v>
      </c>
      <c r="I1608" s="637" t="s">
        <v>58</v>
      </c>
      <c r="J1608" s="636">
        <v>622</v>
      </c>
      <c r="K1608" s="636">
        <v>4</v>
      </c>
      <c r="L1608" s="637" t="s">
        <v>406</v>
      </c>
      <c r="M1608" s="637" t="s">
        <v>51</v>
      </c>
      <c r="N1608" s="637" t="s">
        <v>46</v>
      </c>
      <c r="O1608" s="637" t="s">
        <v>46</v>
      </c>
      <c r="P1608" s="637" t="s">
        <v>47</v>
      </c>
      <c r="Q1608" s="638">
        <v>9</v>
      </c>
      <c r="R1608" s="638">
        <v>9</v>
      </c>
      <c r="S1608" s="638">
        <v>51</v>
      </c>
      <c r="T1608" s="638">
        <v>51</v>
      </c>
      <c r="U1608" s="638">
        <v>2</v>
      </c>
      <c r="V1608" s="636">
        <v>2022</v>
      </c>
      <c r="W1608" s="640"/>
      <c r="X1608" s="641" t="str">
        <f t="shared" ref="X1608:X1671" si="75">IF(OR(K1608&gt;3,T1608=0,NOT(U1608&gt;0)),"",T1608/U1608)</f>
        <v/>
      </c>
      <c r="Y1608" s="642" t="str">
        <f t="shared" ref="Y1608:Y1671" si="76">IF(AND($M1608=$Y$2,$N1608=$Y$3,NOT($Q1608=$R1608),NOT($U1608=0)),IF($K1608=5,$S1608/($U1608+(8/5)*$U1608),IF($K1608=7,$S1608/($U1608+(29/25)*$U1608),"")),"")</f>
        <v/>
      </c>
      <c r="Z1608" s="642" t="str">
        <f t="shared" si="74"/>
        <v/>
      </c>
    </row>
    <row r="1609" spans="1:26" s="127" customFormat="1" ht="37.5" hidden="1">
      <c r="A1609" s="636">
        <v>61026</v>
      </c>
      <c r="B1609" s="637" t="s">
        <v>33</v>
      </c>
      <c r="C1609" s="636" t="s">
        <v>2725</v>
      </c>
      <c r="D1609" s="637" t="s">
        <v>2003</v>
      </c>
      <c r="E1609" s="637" t="s">
        <v>2004</v>
      </c>
      <c r="F1609" s="636">
        <v>60676</v>
      </c>
      <c r="G1609" s="637" t="s">
        <v>57</v>
      </c>
      <c r="H1609" s="637" t="s">
        <v>1162</v>
      </c>
      <c r="I1609" s="637" t="s">
        <v>58</v>
      </c>
      <c r="J1609" s="636">
        <v>622</v>
      </c>
      <c r="K1609" s="636">
        <v>4</v>
      </c>
      <c r="L1609" s="637" t="s">
        <v>406</v>
      </c>
      <c r="M1609" s="637" t="s">
        <v>51</v>
      </c>
      <c r="N1609" s="637" t="s">
        <v>46</v>
      </c>
      <c r="O1609" s="637" t="s">
        <v>46</v>
      </c>
      <c r="P1609" s="637" t="s">
        <v>47</v>
      </c>
      <c r="Q1609" s="638">
        <v>275</v>
      </c>
      <c r="R1609" s="638">
        <v>275</v>
      </c>
      <c r="S1609" s="638">
        <v>1516</v>
      </c>
      <c r="T1609" s="638">
        <v>1516</v>
      </c>
      <c r="U1609" s="638">
        <v>54</v>
      </c>
      <c r="V1609" s="636">
        <v>2022</v>
      </c>
      <c r="W1609" s="640"/>
      <c r="X1609" s="641" t="str">
        <f t="shared" si="75"/>
        <v/>
      </c>
      <c r="Y1609" s="642" t="str">
        <f t="shared" si="76"/>
        <v/>
      </c>
      <c r="Z1609" s="642" t="str">
        <f t="shared" si="74"/>
        <v/>
      </c>
    </row>
    <row r="1610" spans="1:26" s="127" customFormat="1" ht="25">
      <c r="A1610" s="636">
        <v>61030</v>
      </c>
      <c r="B1610" s="637" t="s">
        <v>33</v>
      </c>
      <c r="C1610" s="636" t="s">
        <v>2725</v>
      </c>
      <c r="D1610" s="637" t="s">
        <v>2005</v>
      </c>
      <c r="E1610" s="637" t="s">
        <v>2006</v>
      </c>
      <c r="F1610" s="636">
        <v>60669</v>
      </c>
      <c r="G1610" s="637" t="s">
        <v>57</v>
      </c>
      <c r="H1610" s="637" t="s">
        <v>1162</v>
      </c>
      <c r="I1610" s="637" t="s">
        <v>58</v>
      </c>
      <c r="J1610" s="636">
        <v>22</v>
      </c>
      <c r="K1610" s="636">
        <v>2</v>
      </c>
      <c r="L1610" s="637" t="s">
        <v>52</v>
      </c>
      <c r="M1610" s="637" t="s">
        <v>441</v>
      </c>
      <c r="N1610" s="637" t="s">
        <v>442</v>
      </c>
      <c r="O1610" s="637" t="s">
        <v>442</v>
      </c>
      <c r="P1610" s="637" t="s">
        <v>1156</v>
      </c>
      <c r="Q1610" s="638">
        <v>0</v>
      </c>
      <c r="R1610" s="638">
        <v>0</v>
      </c>
      <c r="S1610" s="638">
        <v>9927</v>
      </c>
      <c r="T1610" s="638">
        <v>9927</v>
      </c>
      <c r="U1610" s="638">
        <v>2909</v>
      </c>
      <c r="V1610" s="636">
        <v>2022</v>
      </c>
      <c r="W1610" s="640"/>
      <c r="X1610" s="641">
        <f t="shared" si="75"/>
        <v>3.4125128910278448</v>
      </c>
      <c r="Y1610" s="642" t="str">
        <f t="shared" si="76"/>
        <v/>
      </c>
      <c r="Z1610" s="642" t="str">
        <f t="shared" si="74"/>
        <v/>
      </c>
    </row>
    <row r="1611" spans="1:26" s="127" customFormat="1" ht="25">
      <c r="A1611" s="636">
        <v>61039</v>
      </c>
      <c r="B1611" s="637" t="s">
        <v>33</v>
      </c>
      <c r="C1611" s="636" t="s">
        <v>2725</v>
      </c>
      <c r="D1611" s="637" t="s">
        <v>2137</v>
      </c>
      <c r="E1611" s="637" t="s">
        <v>1875</v>
      </c>
      <c r="F1611" s="636">
        <v>15399</v>
      </c>
      <c r="G1611" s="637" t="s">
        <v>89</v>
      </c>
      <c r="H1611" s="637" t="s">
        <v>1163</v>
      </c>
      <c r="I1611" s="637" t="s">
        <v>58</v>
      </c>
      <c r="J1611" s="636">
        <v>22</v>
      </c>
      <c r="K1611" s="636">
        <v>2</v>
      </c>
      <c r="L1611" s="637" t="s">
        <v>52</v>
      </c>
      <c r="M1611" s="637" t="s">
        <v>71</v>
      </c>
      <c r="N1611" s="637" t="s">
        <v>72</v>
      </c>
      <c r="O1611" s="637" t="s">
        <v>72</v>
      </c>
      <c r="P1611" s="637" t="s">
        <v>1156</v>
      </c>
      <c r="Q1611" s="638">
        <v>0</v>
      </c>
      <c r="R1611" s="638">
        <v>0</v>
      </c>
      <c r="S1611" s="638">
        <v>356424</v>
      </c>
      <c r="T1611" s="638">
        <v>356424</v>
      </c>
      <c r="U1611" s="638">
        <v>104462</v>
      </c>
      <c r="V1611" s="636">
        <v>2022</v>
      </c>
      <c r="W1611" s="640"/>
      <c r="X1611" s="641">
        <f t="shared" si="75"/>
        <v>3.4119967069364936</v>
      </c>
      <c r="Y1611" s="642" t="str">
        <f t="shared" si="76"/>
        <v/>
      </c>
      <c r="Z1611" s="642" t="str">
        <f t="shared" si="74"/>
        <v/>
      </c>
    </row>
    <row r="1612" spans="1:26" s="127" customFormat="1" ht="25">
      <c r="A1612" s="636">
        <v>61041</v>
      </c>
      <c r="B1612" s="637" t="s">
        <v>33</v>
      </c>
      <c r="C1612" s="636" t="s">
        <v>2725</v>
      </c>
      <c r="D1612" s="637" t="s">
        <v>3289</v>
      </c>
      <c r="E1612" s="637" t="s">
        <v>1875</v>
      </c>
      <c r="F1612" s="636">
        <v>15399</v>
      </c>
      <c r="G1612" s="637" t="s">
        <v>57</v>
      </c>
      <c r="H1612" s="637" t="s">
        <v>1162</v>
      </c>
      <c r="I1612" s="637" t="s">
        <v>58</v>
      </c>
      <c r="J1612" s="636">
        <v>22</v>
      </c>
      <c r="K1612" s="636">
        <v>2</v>
      </c>
      <c r="L1612" s="637" t="s">
        <v>52</v>
      </c>
      <c r="M1612" s="637" t="s">
        <v>71</v>
      </c>
      <c r="N1612" s="637" t="s">
        <v>72</v>
      </c>
      <c r="O1612" s="637" t="s">
        <v>72</v>
      </c>
      <c r="P1612" s="637" t="s">
        <v>1156</v>
      </c>
      <c r="Q1612" s="638">
        <v>0</v>
      </c>
      <c r="R1612" s="638">
        <v>0</v>
      </c>
      <c r="S1612" s="638">
        <v>611553</v>
      </c>
      <c r="T1612" s="638">
        <v>611553</v>
      </c>
      <c r="U1612" s="638">
        <v>179236</v>
      </c>
      <c r="V1612" s="636">
        <v>2022</v>
      </c>
      <c r="W1612" s="640"/>
      <c r="X1612" s="641">
        <f t="shared" si="75"/>
        <v>3.411998705617175</v>
      </c>
      <c r="Y1612" s="642" t="str">
        <f t="shared" si="76"/>
        <v/>
      </c>
      <c r="Z1612" s="642" t="str">
        <f t="shared" si="74"/>
        <v/>
      </c>
    </row>
    <row r="1613" spans="1:26" s="127" customFormat="1" ht="25">
      <c r="A1613" s="636">
        <v>61042</v>
      </c>
      <c r="B1613" s="637" t="s">
        <v>33</v>
      </c>
      <c r="C1613" s="636" t="s">
        <v>2725</v>
      </c>
      <c r="D1613" s="637" t="s">
        <v>2138</v>
      </c>
      <c r="E1613" s="637" t="s">
        <v>3053</v>
      </c>
      <c r="F1613" s="636">
        <v>60571</v>
      </c>
      <c r="G1613" s="637" t="s">
        <v>57</v>
      </c>
      <c r="H1613" s="637" t="s">
        <v>1162</v>
      </c>
      <c r="I1613" s="637" t="s">
        <v>58</v>
      </c>
      <c r="J1613" s="636">
        <v>22</v>
      </c>
      <c r="K1613" s="636">
        <v>2</v>
      </c>
      <c r="L1613" s="637" t="s">
        <v>52</v>
      </c>
      <c r="M1613" s="637" t="s">
        <v>441</v>
      </c>
      <c r="N1613" s="637" t="s">
        <v>442</v>
      </c>
      <c r="O1613" s="637" t="s">
        <v>442</v>
      </c>
      <c r="P1613" s="637" t="s">
        <v>1156</v>
      </c>
      <c r="Q1613" s="638">
        <v>0</v>
      </c>
      <c r="R1613" s="638">
        <v>0</v>
      </c>
      <c r="S1613" s="638">
        <v>6267</v>
      </c>
      <c r="T1613" s="638">
        <v>6267</v>
      </c>
      <c r="U1613" s="638">
        <v>1837</v>
      </c>
      <c r="V1613" s="636">
        <v>2022</v>
      </c>
      <c r="W1613" s="640"/>
      <c r="X1613" s="641">
        <f t="shared" si="75"/>
        <v>3.4115405552531302</v>
      </c>
      <c r="Y1613" s="642" t="str">
        <f t="shared" si="76"/>
        <v/>
      </c>
      <c r="Z1613" s="642" t="str">
        <f t="shared" si="74"/>
        <v/>
      </c>
    </row>
    <row r="1614" spans="1:26" s="127" customFormat="1" ht="25">
      <c r="A1614" s="636">
        <v>61043</v>
      </c>
      <c r="B1614" s="637" t="s">
        <v>33</v>
      </c>
      <c r="C1614" s="636" t="s">
        <v>2725</v>
      </c>
      <c r="D1614" s="637" t="s">
        <v>2007</v>
      </c>
      <c r="E1614" s="637" t="s">
        <v>3053</v>
      </c>
      <c r="F1614" s="636">
        <v>60571</v>
      </c>
      <c r="G1614" s="637" t="s">
        <v>57</v>
      </c>
      <c r="H1614" s="637" t="s">
        <v>1162</v>
      </c>
      <c r="I1614" s="637" t="s">
        <v>58</v>
      </c>
      <c r="J1614" s="636">
        <v>22</v>
      </c>
      <c r="K1614" s="636">
        <v>2</v>
      </c>
      <c r="L1614" s="637" t="s">
        <v>52</v>
      </c>
      <c r="M1614" s="637" t="s">
        <v>441</v>
      </c>
      <c r="N1614" s="637" t="s">
        <v>442</v>
      </c>
      <c r="O1614" s="637" t="s">
        <v>442</v>
      </c>
      <c r="P1614" s="637" t="s">
        <v>1156</v>
      </c>
      <c r="Q1614" s="638">
        <v>0</v>
      </c>
      <c r="R1614" s="638">
        <v>0</v>
      </c>
      <c r="S1614" s="638">
        <v>8732</v>
      </c>
      <c r="T1614" s="638">
        <v>8732</v>
      </c>
      <c r="U1614" s="638">
        <v>2559</v>
      </c>
      <c r="V1614" s="636">
        <v>2022</v>
      </c>
      <c r="W1614" s="640"/>
      <c r="X1614" s="641">
        <f t="shared" si="75"/>
        <v>3.4122704181320826</v>
      </c>
      <c r="Y1614" s="642" t="str">
        <f t="shared" si="76"/>
        <v/>
      </c>
      <c r="Z1614" s="642" t="str">
        <f t="shared" si="74"/>
        <v/>
      </c>
    </row>
    <row r="1615" spans="1:26" s="127" customFormat="1" ht="25">
      <c r="A1615" s="636">
        <v>61069</v>
      </c>
      <c r="B1615" s="637" t="s">
        <v>33</v>
      </c>
      <c r="C1615" s="636" t="s">
        <v>2725</v>
      </c>
      <c r="D1615" s="637" t="s">
        <v>2139</v>
      </c>
      <c r="E1615" s="637" t="s">
        <v>2140</v>
      </c>
      <c r="F1615" s="636">
        <v>60692</v>
      </c>
      <c r="G1615" s="637" t="s">
        <v>81</v>
      </c>
      <c r="H1615" s="637" t="s">
        <v>1163</v>
      </c>
      <c r="I1615" s="637" t="s">
        <v>58</v>
      </c>
      <c r="J1615" s="636">
        <v>22</v>
      </c>
      <c r="K1615" s="636">
        <v>2</v>
      </c>
      <c r="L1615" s="637" t="s">
        <v>52</v>
      </c>
      <c r="M1615" s="637" t="s">
        <v>441</v>
      </c>
      <c r="N1615" s="637" t="s">
        <v>442</v>
      </c>
      <c r="O1615" s="637" t="s">
        <v>442</v>
      </c>
      <c r="P1615" s="637" t="s">
        <v>1156</v>
      </c>
      <c r="Q1615" s="638">
        <v>0</v>
      </c>
      <c r="R1615" s="638">
        <v>0</v>
      </c>
      <c r="S1615" s="638">
        <v>17988</v>
      </c>
      <c r="T1615" s="638">
        <v>17988</v>
      </c>
      <c r="U1615" s="638">
        <v>5272</v>
      </c>
      <c r="V1615" s="636">
        <v>2022</v>
      </c>
      <c r="W1615" s="640"/>
      <c r="X1615" s="641">
        <f t="shared" si="75"/>
        <v>3.4119878603945373</v>
      </c>
      <c r="Y1615" s="642" t="str">
        <f t="shared" si="76"/>
        <v/>
      </c>
      <c r="Z1615" s="642" t="str">
        <f t="shared" si="74"/>
        <v/>
      </c>
    </row>
    <row r="1616" spans="1:26" s="127" customFormat="1" ht="25">
      <c r="A1616" s="636">
        <v>61097</v>
      </c>
      <c r="B1616" s="637" t="s">
        <v>33</v>
      </c>
      <c r="C1616" s="636" t="s">
        <v>2725</v>
      </c>
      <c r="D1616" s="637" t="s">
        <v>2008</v>
      </c>
      <c r="E1616" s="637" t="s">
        <v>2009</v>
      </c>
      <c r="F1616" s="636">
        <v>60710</v>
      </c>
      <c r="G1616" s="637" t="s">
        <v>81</v>
      </c>
      <c r="H1616" s="637" t="s">
        <v>1163</v>
      </c>
      <c r="I1616" s="637" t="s">
        <v>58</v>
      </c>
      <c r="J1616" s="636">
        <v>22</v>
      </c>
      <c r="K1616" s="636">
        <v>2</v>
      </c>
      <c r="L1616" s="637" t="s">
        <v>52</v>
      </c>
      <c r="M1616" s="637" t="s">
        <v>441</v>
      </c>
      <c r="N1616" s="637" t="s">
        <v>442</v>
      </c>
      <c r="O1616" s="637" t="s">
        <v>442</v>
      </c>
      <c r="P1616" s="637" t="s">
        <v>1156</v>
      </c>
      <c r="Q1616" s="638">
        <v>0</v>
      </c>
      <c r="R1616" s="638">
        <v>0</v>
      </c>
      <c r="S1616" s="638">
        <v>22756</v>
      </c>
      <c r="T1616" s="638">
        <v>22756</v>
      </c>
      <c r="U1616" s="638">
        <v>6670</v>
      </c>
      <c r="V1616" s="636">
        <v>2022</v>
      </c>
      <c r="W1616" s="640"/>
      <c r="X1616" s="641">
        <f t="shared" si="75"/>
        <v>3.4116941529235381</v>
      </c>
      <c r="Y1616" s="642" t="str">
        <f t="shared" si="76"/>
        <v/>
      </c>
      <c r="Z1616" s="642" t="str">
        <f t="shared" ref="Z1616:Z1679" si="77">IF(AND($M1616=$Y$2,$N1616=$Y$4,NOT($Q1616=$R1616),NOT($U1616=0)),IF($K1616=5,$S1616/($U1616+(8/5)*$U1616),IF($K1616=7,$S1616/($U1616+(29/25)*$U1616),"")),"")</f>
        <v/>
      </c>
    </row>
    <row r="1617" spans="1:26" s="127" customFormat="1" ht="25">
      <c r="A1617" s="636">
        <v>61124</v>
      </c>
      <c r="B1617" s="637" t="s">
        <v>33</v>
      </c>
      <c r="C1617" s="636" t="s">
        <v>2725</v>
      </c>
      <c r="D1617" s="637" t="s">
        <v>2141</v>
      </c>
      <c r="E1617" s="637" t="s">
        <v>2142</v>
      </c>
      <c r="F1617" s="636">
        <v>60734</v>
      </c>
      <c r="G1617" s="637" t="s">
        <v>89</v>
      </c>
      <c r="H1617" s="637" t="s">
        <v>1163</v>
      </c>
      <c r="I1617" s="637" t="s">
        <v>58</v>
      </c>
      <c r="J1617" s="636">
        <v>22</v>
      </c>
      <c r="K1617" s="636">
        <v>2</v>
      </c>
      <c r="L1617" s="637" t="s">
        <v>52</v>
      </c>
      <c r="M1617" s="637" t="s">
        <v>441</v>
      </c>
      <c r="N1617" s="637" t="s">
        <v>442</v>
      </c>
      <c r="O1617" s="637" t="s">
        <v>442</v>
      </c>
      <c r="P1617" s="637" t="s">
        <v>1156</v>
      </c>
      <c r="Q1617" s="638">
        <v>0</v>
      </c>
      <c r="R1617" s="638">
        <v>0</v>
      </c>
      <c r="S1617" s="638">
        <v>25398</v>
      </c>
      <c r="T1617" s="638">
        <v>25398</v>
      </c>
      <c r="U1617" s="638">
        <v>7444</v>
      </c>
      <c r="V1617" s="636">
        <v>2022</v>
      </c>
      <c r="W1617" s="640"/>
      <c r="X1617" s="641">
        <f t="shared" si="75"/>
        <v>3.4118753358409459</v>
      </c>
      <c r="Y1617" s="642" t="str">
        <f t="shared" si="76"/>
        <v/>
      </c>
      <c r="Z1617" s="642" t="str">
        <f t="shared" si="77"/>
        <v/>
      </c>
    </row>
    <row r="1618" spans="1:26" s="127" customFormat="1" ht="25">
      <c r="A1618" s="636">
        <v>61125</v>
      </c>
      <c r="B1618" s="637" t="s">
        <v>33</v>
      </c>
      <c r="C1618" s="636" t="s">
        <v>2725</v>
      </c>
      <c r="D1618" s="637" t="s">
        <v>2010</v>
      </c>
      <c r="E1618" s="637" t="s">
        <v>2011</v>
      </c>
      <c r="F1618" s="636">
        <v>27316</v>
      </c>
      <c r="G1618" s="637" t="s">
        <v>89</v>
      </c>
      <c r="H1618" s="637" t="s">
        <v>1163</v>
      </c>
      <c r="I1618" s="637" t="s">
        <v>58</v>
      </c>
      <c r="J1618" s="636">
        <v>22</v>
      </c>
      <c r="K1618" s="636">
        <v>1</v>
      </c>
      <c r="L1618" s="637" t="s">
        <v>34</v>
      </c>
      <c r="M1618" s="637" t="s">
        <v>441</v>
      </c>
      <c r="N1618" s="637" t="s">
        <v>442</v>
      </c>
      <c r="O1618" s="637" t="s">
        <v>442</v>
      </c>
      <c r="P1618" s="637" t="s">
        <v>1156</v>
      </c>
      <c r="Q1618" s="638">
        <v>0</v>
      </c>
      <c r="R1618" s="638">
        <v>0</v>
      </c>
      <c r="S1618" s="638">
        <v>4309</v>
      </c>
      <c r="T1618" s="638">
        <v>4309</v>
      </c>
      <c r="U1618" s="638">
        <v>1263</v>
      </c>
      <c r="V1618" s="636">
        <v>2022</v>
      </c>
      <c r="W1618" s="640"/>
      <c r="X1618" s="641">
        <f t="shared" si="75"/>
        <v>3.411718131433096</v>
      </c>
      <c r="Y1618" s="642" t="str">
        <f t="shared" si="76"/>
        <v/>
      </c>
      <c r="Z1618" s="642" t="str">
        <f t="shared" si="77"/>
        <v/>
      </c>
    </row>
    <row r="1619" spans="1:26" s="127" customFormat="1" ht="25">
      <c r="A1619" s="636">
        <v>61163</v>
      </c>
      <c r="B1619" s="637" t="s">
        <v>33</v>
      </c>
      <c r="C1619" s="636" t="s">
        <v>2725</v>
      </c>
      <c r="D1619" s="637" t="s">
        <v>2307</v>
      </c>
      <c r="E1619" s="637" t="s">
        <v>2012</v>
      </c>
      <c r="F1619" s="636">
        <v>60792</v>
      </c>
      <c r="G1619" s="637" t="s">
        <v>81</v>
      </c>
      <c r="H1619" s="637" t="s">
        <v>1163</v>
      </c>
      <c r="I1619" s="637" t="s">
        <v>58</v>
      </c>
      <c r="J1619" s="636">
        <v>22</v>
      </c>
      <c r="K1619" s="636">
        <v>2</v>
      </c>
      <c r="L1619" s="637" t="s">
        <v>52</v>
      </c>
      <c r="M1619" s="637" t="s">
        <v>441</v>
      </c>
      <c r="N1619" s="637" t="s">
        <v>442</v>
      </c>
      <c r="O1619" s="637" t="s">
        <v>442</v>
      </c>
      <c r="P1619" s="637" t="s">
        <v>1156</v>
      </c>
      <c r="Q1619" s="638">
        <v>0</v>
      </c>
      <c r="R1619" s="638">
        <v>0</v>
      </c>
      <c r="S1619" s="638">
        <v>6200</v>
      </c>
      <c r="T1619" s="638">
        <v>6200</v>
      </c>
      <c r="U1619" s="638">
        <v>1817</v>
      </c>
      <c r="V1619" s="636">
        <v>2022</v>
      </c>
      <c r="W1619" s="640"/>
      <c r="X1619" s="641">
        <f t="shared" si="75"/>
        <v>3.4122179416620804</v>
      </c>
      <c r="Y1619" s="642" t="str">
        <f t="shared" si="76"/>
        <v/>
      </c>
      <c r="Z1619" s="642" t="str">
        <f t="shared" si="77"/>
        <v/>
      </c>
    </row>
    <row r="1620" spans="1:26" s="127" customFormat="1" ht="25">
      <c r="A1620" s="636">
        <v>61164</v>
      </c>
      <c r="B1620" s="637" t="s">
        <v>33</v>
      </c>
      <c r="C1620" s="636" t="s">
        <v>2725</v>
      </c>
      <c r="D1620" s="637" t="s">
        <v>2308</v>
      </c>
      <c r="E1620" s="637" t="s">
        <v>2012</v>
      </c>
      <c r="F1620" s="636">
        <v>60792</v>
      </c>
      <c r="G1620" s="637" t="s">
        <v>81</v>
      </c>
      <c r="H1620" s="637" t="s">
        <v>1163</v>
      </c>
      <c r="I1620" s="637" t="s">
        <v>58</v>
      </c>
      <c r="J1620" s="636">
        <v>22</v>
      </c>
      <c r="K1620" s="636">
        <v>2</v>
      </c>
      <c r="L1620" s="637" t="s">
        <v>52</v>
      </c>
      <c r="M1620" s="637" t="s">
        <v>441</v>
      </c>
      <c r="N1620" s="637" t="s">
        <v>442</v>
      </c>
      <c r="O1620" s="637" t="s">
        <v>442</v>
      </c>
      <c r="P1620" s="637" t="s">
        <v>1156</v>
      </c>
      <c r="Q1620" s="638">
        <v>0</v>
      </c>
      <c r="R1620" s="638">
        <v>0</v>
      </c>
      <c r="S1620" s="638">
        <v>6323</v>
      </c>
      <c r="T1620" s="638">
        <v>6323</v>
      </c>
      <c r="U1620" s="638">
        <v>1854</v>
      </c>
      <c r="V1620" s="636">
        <v>2022</v>
      </c>
      <c r="W1620" s="640"/>
      <c r="X1620" s="641">
        <f t="shared" si="75"/>
        <v>3.4104638619201726</v>
      </c>
      <c r="Y1620" s="642" t="str">
        <f t="shared" si="76"/>
        <v/>
      </c>
      <c r="Z1620" s="642" t="str">
        <f t="shared" si="77"/>
        <v/>
      </c>
    </row>
    <row r="1621" spans="1:26" s="127" customFormat="1" ht="37.5" hidden="1">
      <c r="A1621" s="636">
        <v>61186</v>
      </c>
      <c r="B1621" s="637" t="s">
        <v>54</v>
      </c>
      <c r="C1621" s="636" t="s">
        <v>2725</v>
      </c>
      <c r="D1621" s="637" t="s">
        <v>2143</v>
      </c>
      <c r="E1621" s="637" t="s">
        <v>2144</v>
      </c>
      <c r="F1621" s="636">
        <v>60816</v>
      </c>
      <c r="G1621" s="637" t="s">
        <v>81</v>
      </c>
      <c r="H1621" s="637" t="s">
        <v>1163</v>
      </c>
      <c r="I1621" s="637" t="s">
        <v>58</v>
      </c>
      <c r="J1621" s="636">
        <v>622</v>
      </c>
      <c r="K1621" s="636">
        <v>5</v>
      </c>
      <c r="L1621" s="637" t="s">
        <v>407</v>
      </c>
      <c r="M1621" s="637" t="s">
        <v>51</v>
      </c>
      <c r="N1621" s="637" t="s">
        <v>39</v>
      </c>
      <c r="O1621" s="637" t="s">
        <v>39</v>
      </c>
      <c r="P1621" s="637" t="s">
        <v>1020</v>
      </c>
      <c r="Q1621" s="638">
        <v>136335</v>
      </c>
      <c r="R1621" s="638">
        <v>132444</v>
      </c>
      <c r="S1621" s="638">
        <v>141787</v>
      </c>
      <c r="T1621" s="638">
        <v>137743</v>
      </c>
      <c r="U1621" s="638">
        <v>11863</v>
      </c>
      <c r="V1621" s="636">
        <v>2022</v>
      </c>
      <c r="W1621" s="640"/>
      <c r="X1621" s="641" t="str">
        <f t="shared" si="75"/>
        <v/>
      </c>
      <c r="Y1621" s="642" t="str">
        <f t="shared" si="76"/>
        <v/>
      </c>
      <c r="Z1621" s="642" t="str">
        <f t="shared" si="77"/>
        <v/>
      </c>
    </row>
    <row r="1622" spans="1:26" s="127" customFormat="1" ht="25">
      <c r="A1622" s="636">
        <v>61207</v>
      </c>
      <c r="B1622" s="637" t="s">
        <v>33</v>
      </c>
      <c r="C1622" s="636" t="s">
        <v>2725</v>
      </c>
      <c r="D1622" s="637" t="s">
        <v>2013</v>
      </c>
      <c r="E1622" s="637" t="s">
        <v>1614</v>
      </c>
      <c r="F1622" s="636">
        <v>58756</v>
      </c>
      <c r="G1622" s="637" t="s">
        <v>57</v>
      </c>
      <c r="H1622" s="637" t="s">
        <v>1162</v>
      </c>
      <c r="I1622" s="637" t="s">
        <v>58</v>
      </c>
      <c r="J1622" s="636">
        <v>22</v>
      </c>
      <c r="K1622" s="636">
        <v>2</v>
      </c>
      <c r="L1622" s="637" t="s">
        <v>52</v>
      </c>
      <c r="M1622" s="637" t="s">
        <v>35</v>
      </c>
      <c r="N1622" s="637" t="s">
        <v>36</v>
      </c>
      <c r="O1622" s="637" t="s">
        <v>37</v>
      </c>
      <c r="P1622" s="637" t="s">
        <v>1156</v>
      </c>
      <c r="Q1622" s="638">
        <v>0</v>
      </c>
      <c r="R1622" s="638">
        <v>0</v>
      </c>
      <c r="S1622" s="638">
        <v>132488</v>
      </c>
      <c r="T1622" s="638">
        <v>132488</v>
      </c>
      <c r="U1622" s="638">
        <v>38830</v>
      </c>
      <c r="V1622" s="636">
        <v>2022</v>
      </c>
      <c r="W1622" s="640"/>
      <c r="X1622" s="641">
        <f t="shared" si="75"/>
        <v>3.4120010301313419</v>
      </c>
      <c r="Y1622" s="642" t="str">
        <f t="shared" si="76"/>
        <v/>
      </c>
      <c r="Z1622" s="642" t="str">
        <f t="shared" si="77"/>
        <v/>
      </c>
    </row>
    <row r="1623" spans="1:26" s="127" customFormat="1" ht="25">
      <c r="A1623" s="636">
        <v>61210</v>
      </c>
      <c r="B1623" s="637" t="s">
        <v>33</v>
      </c>
      <c r="C1623" s="636" t="s">
        <v>2725</v>
      </c>
      <c r="D1623" s="637" t="s">
        <v>2014</v>
      </c>
      <c r="E1623" s="637" t="s">
        <v>2015</v>
      </c>
      <c r="F1623" s="636">
        <v>60833</v>
      </c>
      <c r="G1623" s="637" t="s">
        <v>57</v>
      </c>
      <c r="H1623" s="637" t="s">
        <v>1162</v>
      </c>
      <c r="I1623" s="637" t="s">
        <v>58</v>
      </c>
      <c r="J1623" s="636">
        <v>22</v>
      </c>
      <c r="K1623" s="636">
        <v>2</v>
      </c>
      <c r="L1623" s="637" t="s">
        <v>52</v>
      </c>
      <c r="M1623" s="637" t="s">
        <v>441</v>
      </c>
      <c r="N1623" s="637" t="s">
        <v>442</v>
      </c>
      <c r="O1623" s="637" t="s">
        <v>442</v>
      </c>
      <c r="P1623" s="637" t="s">
        <v>1156</v>
      </c>
      <c r="Q1623" s="638">
        <v>0</v>
      </c>
      <c r="R1623" s="638">
        <v>0</v>
      </c>
      <c r="S1623" s="638">
        <v>10991</v>
      </c>
      <c r="T1623" s="638">
        <v>10991</v>
      </c>
      <c r="U1623" s="638">
        <v>3221</v>
      </c>
      <c r="V1623" s="636">
        <v>2022</v>
      </c>
      <c r="W1623" s="640"/>
      <c r="X1623" s="641">
        <f t="shared" si="75"/>
        <v>3.4122943185346166</v>
      </c>
      <c r="Y1623" s="642" t="str">
        <f t="shared" si="76"/>
        <v/>
      </c>
      <c r="Z1623" s="642" t="str">
        <f t="shared" si="77"/>
        <v/>
      </c>
    </row>
    <row r="1624" spans="1:26" s="127" customFormat="1" ht="25">
      <c r="A1624" s="636">
        <v>61237</v>
      </c>
      <c r="B1624" s="637" t="s">
        <v>33</v>
      </c>
      <c r="C1624" s="636" t="s">
        <v>2725</v>
      </c>
      <c r="D1624" s="637" t="s">
        <v>2016</v>
      </c>
      <c r="E1624" s="637" t="s">
        <v>1731</v>
      </c>
      <c r="F1624" s="636">
        <v>59254</v>
      </c>
      <c r="G1624" s="637" t="s">
        <v>81</v>
      </c>
      <c r="H1624" s="637" t="s">
        <v>1163</v>
      </c>
      <c r="I1624" s="637" t="s">
        <v>58</v>
      </c>
      <c r="J1624" s="636">
        <v>22</v>
      </c>
      <c r="K1624" s="636">
        <v>2</v>
      </c>
      <c r="L1624" s="637" t="s">
        <v>52</v>
      </c>
      <c r="M1624" s="637" t="s">
        <v>441</v>
      </c>
      <c r="N1624" s="637" t="s">
        <v>442</v>
      </c>
      <c r="O1624" s="637" t="s">
        <v>442</v>
      </c>
      <c r="P1624" s="637" t="s">
        <v>1156</v>
      </c>
      <c r="Q1624" s="638">
        <v>0</v>
      </c>
      <c r="R1624" s="638">
        <v>0</v>
      </c>
      <c r="S1624" s="638">
        <v>14138</v>
      </c>
      <c r="T1624" s="638">
        <v>14138</v>
      </c>
      <c r="U1624" s="638">
        <v>4144</v>
      </c>
      <c r="V1624" s="636">
        <v>2022</v>
      </c>
      <c r="W1624" s="640"/>
      <c r="X1624" s="641">
        <f t="shared" si="75"/>
        <v>3.4116795366795367</v>
      </c>
      <c r="Y1624" s="642" t="str">
        <f t="shared" si="76"/>
        <v/>
      </c>
      <c r="Z1624" s="642" t="str">
        <f t="shared" si="77"/>
        <v/>
      </c>
    </row>
    <row r="1625" spans="1:26" s="127" customFormat="1" ht="37.5" hidden="1">
      <c r="A1625" s="636">
        <v>61238</v>
      </c>
      <c r="B1625" s="637" t="s">
        <v>54</v>
      </c>
      <c r="C1625" s="636" t="s">
        <v>2725</v>
      </c>
      <c r="D1625" s="637" t="s">
        <v>2017</v>
      </c>
      <c r="E1625" s="637" t="s">
        <v>2018</v>
      </c>
      <c r="F1625" s="636">
        <v>60883</v>
      </c>
      <c r="G1625" s="637" t="s">
        <v>57</v>
      </c>
      <c r="H1625" s="637" t="s">
        <v>1162</v>
      </c>
      <c r="I1625" s="637" t="s">
        <v>58</v>
      </c>
      <c r="J1625" s="636">
        <v>622</v>
      </c>
      <c r="K1625" s="636">
        <v>5</v>
      </c>
      <c r="L1625" s="637" t="s">
        <v>407</v>
      </c>
      <c r="M1625" s="637" t="s">
        <v>50</v>
      </c>
      <c r="N1625" s="637" t="s">
        <v>39</v>
      </c>
      <c r="O1625" s="637" t="s">
        <v>39</v>
      </c>
      <c r="P1625" s="637" t="s">
        <v>1020</v>
      </c>
      <c r="Q1625" s="638">
        <v>650820</v>
      </c>
      <c r="R1625" s="638">
        <v>650820</v>
      </c>
      <c r="S1625" s="638">
        <v>670345</v>
      </c>
      <c r="T1625" s="638">
        <v>670345</v>
      </c>
      <c r="U1625" s="638">
        <v>60919</v>
      </c>
      <c r="V1625" s="636">
        <v>2022</v>
      </c>
      <c r="W1625" s="640"/>
      <c r="X1625" s="641" t="str">
        <f t="shared" si="75"/>
        <v/>
      </c>
      <c r="Y1625" s="642" t="str">
        <f t="shared" si="76"/>
        <v/>
      </c>
      <c r="Z1625" s="642" t="str">
        <f t="shared" si="77"/>
        <v/>
      </c>
    </row>
    <row r="1626" spans="1:26" s="127" customFormat="1" ht="37.5" hidden="1">
      <c r="A1626" s="636">
        <v>61238</v>
      </c>
      <c r="B1626" s="637" t="s">
        <v>54</v>
      </c>
      <c r="C1626" s="636" t="s">
        <v>2725</v>
      </c>
      <c r="D1626" s="637" t="s">
        <v>2017</v>
      </c>
      <c r="E1626" s="637" t="s">
        <v>2018</v>
      </c>
      <c r="F1626" s="636">
        <v>60883</v>
      </c>
      <c r="G1626" s="637" t="s">
        <v>57</v>
      </c>
      <c r="H1626" s="637" t="s">
        <v>1162</v>
      </c>
      <c r="I1626" s="637" t="s">
        <v>58</v>
      </c>
      <c r="J1626" s="636">
        <v>622</v>
      </c>
      <c r="K1626" s="636">
        <v>5</v>
      </c>
      <c r="L1626" s="637" t="s">
        <v>407</v>
      </c>
      <c r="M1626" s="637" t="s">
        <v>51</v>
      </c>
      <c r="N1626" s="637" t="s">
        <v>46</v>
      </c>
      <c r="O1626" s="637" t="s">
        <v>46</v>
      </c>
      <c r="P1626" s="637" t="s">
        <v>47</v>
      </c>
      <c r="Q1626" s="638">
        <v>245</v>
      </c>
      <c r="R1626" s="638">
        <v>245</v>
      </c>
      <c r="S1626" s="638">
        <v>1351</v>
      </c>
      <c r="T1626" s="638">
        <v>1350</v>
      </c>
      <c r="U1626" s="638">
        <v>147</v>
      </c>
      <c r="V1626" s="636">
        <v>2022</v>
      </c>
      <c r="W1626" s="640"/>
      <c r="X1626" s="641" t="str">
        <f t="shared" si="75"/>
        <v/>
      </c>
      <c r="Y1626" s="642" t="str">
        <f t="shared" si="76"/>
        <v/>
      </c>
      <c r="Z1626" s="642" t="str">
        <f t="shared" si="77"/>
        <v/>
      </c>
    </row>
    <row r="1627" spans="1:26" s="127" customFormat="1" ht="25">
      <c r="A1627" s="636">
        <v>61243</v>
      </c>
      <c r="B1627" s="637" t="s">
        <v>33</v>
      </c>
      <c r="C1627" s="636" t="s">
        <v>2725</v>
      </c>
      <c r="D1627" s="637" t="s">
        <v>2019</v>
      </c>
      <c r="E1627" s="637" t="s">
        <v>1731</v>
      </c>
      <c r="F1627" s="636">
        <v>59254</v>
      </c>
      <c r="G1627" s="637" t="s">
        <v>81</v>
      </c>
      <c r="H1627" s="637" t="s">
        <v>1163</v>
      </c>
      <c r="I1627" s="637" t="s">
        <v>58</v>
      </c>
      <c r="J1627" s="636">
        <v>22</v>
      </c>
      <c r="K1627" s="636">
        <v>2</v>
      </c>
      <c r="L1627" s="637" t="s">
        <v>52</v>
      </c>
      <c r="M1627" s="637" t="s">
        <v>441</v>
      </c>
      <c r="N1627" s="637" t="s">
        <v>442</v>
      </c>
      <c r="O1627" s="637" t="s">
        <v>442</v>
      </c>
      <c r="P1627" s="637" t="s">
        <v>1156</v>
      </c>
      <c r="Q1627" s="638">
        <v>0</v>
      </c>
      <c r="R1627" s="638">
        <v>0</v>
      </c>
      <c r="S1627" s="638">
        <v>25877</v>
      </c>
      <c r="T1627" s="638">
        <v>25877</v>
      </c>
      <c r="U1627" s="638">
        <v>7584</v>
      </c>
      <c r="V1627" s="636">
        <v>2022</v>
      </c>
      <c r="W1627" s="640"/>
      <c r="X1627" s="641">
        <f t="shared" si="75"/>
        <v>3.412051687763713</v>
      </c>
      <c r="Y1627" s="642" t="str">
        <f t="shared" si="76"/>
        <v/>
      </c>
      <c r="Z1627" s="642" t="str">
        <f t="shared" si="77"/>
        <v/>
      </c>
    </row>
    <row r="1628" spans="1:26" s="127" customFormat="1" ht="25">
      <c r="A1628" s="636">
        <v>61244</v>
      </c>
      <c r="B1628" s="637" t="s">
        <v>33</v>
      </c>
      <c r="C1628" s="636" t="s">
        <v>2725</v>
      </c>
      <c r="D1628" s="637" t="s">
        <v>2020</v>
      </c>
      <c r="E1628" s="637" t="s">
        <v>1731</v>
      </c>
      <c r="F1628" s="636">
        <v>59254</v>
      </c>
      <c r="G1628" s="637" t="s">
        <v>81</v>
      </c>
      <c r="H1628" s="637" t="s">
        <v>1163</v>
      </c>
      <c r="I1628" s="637" t="s">
        <v>58</v>
      </c>
      <c r="J1628" s="636">
        <v>22</v>
      </c>
      <c r="K1628" s="636">
        <v>2</v>
      </c>
      <c r="L1628" s="637" t="s">
        <v>52</v>
      </c>
      <c r="M1628" s="637" t="s">
        <v>441</v>
      </c>
      <c r="N1628" s="637" t="s">
        <v>442</v>
      </c>
      <c r="O1628" s="637" t="s">
        <v>442</v>
      </c>
      <c r="P1628" s="637" t="s">
        <v>1156</v>
      </c>
      <c r="Q1628" s="638">
        <v>0</v>
      </c>
      <c r="R1628" s="638">
        <v>0</v>
      </c>
      <c r="S1628" s="638">
        <v>8291</v>
      </c>
      <c r="T1628" s="638">
        <v>8291</v>
      </c>
      <c r="U1628" s="638">
        <v>2430</v>
      </c>
      <c r="V1628" s="636">
        <v>2022</v>
      </c>
      <c r="W1628" s="640"/>
      <c r="X1628" s="641">
        <f t="shared" si="75"/>
        <v>3.4119341563786008</v>
      </c>
      <c r="Y1628" s="642" t="str">
        <f t="shared" si="76"/>
        <v/>
      </c>
      <c r="Z1628" s="642" t="str">
        <f t="shared" si="77"/>
        <v/>
      </c>
    </row>
    <row r="1629" spans="1:26" s="127" customFormat="1" ht="25">
      <c r="A1629" s="636">
        <v>61245</v>
      </c>
      <c r="B1629" s="637" t="s">
        <v>33</v>
      </c>
      <c r="C1629" s="636" t="s">
        <v>2725</v>
      </c>
      <c r="D1629" s="637" t="s">
        <v>2021</v>
      </c>
      <c r="E1629" s="637" t="s">
        <v>1731</v>
      </c>
      <c r="F1629" s="636">
        <v>59254</v>
      </c>
      <c r="G1629" s="637" t="s">
        <v>81</v>
      </c>
      <c r="H1629" s="637" t="s">
        <v>1163</v>
      </c>
      <c r="I1629" s="637" t="s">
        <v>58</v>
      </c>
      <c r="J1629" s="636">
        <v>22</v>
      </c>
      <c r="K1629" s="636">
        <v>2</v>
      </c>
      <c r="L1629" s="637" t="s">
        <v>52</v>
      </c>
      <c r="M1629" s="637" t="s">
        <v>441</v>
      </c>
      <c r="N1629" s="637" t="s">
        <v>442</v>
      </c>
      <c r="O1629" s="637" t="s">
        <v>442</v>
      </c>
      <c r="P1629" s="637" t="s">
        <v>1156</v>
      </c>
      <c r="Q1629" s="638">
        <v>0</v>
      </c>
      <c r="R1629" s="638">
        <v>0</v>
      </c>
      <c r="S1629" s="638">
        <v>25650</v>
      </c>
      <c r="T1629" s="638">
        <v>25650</v>
      </c>
      <c r="U1629" s="638">
        <v>7517</v>
      </c>
      <c r="V1629" s="636">
        <v>2022</v>
      </c>
      <c r="W1629" s="640"/>
      <c r="X1629" s="641">
        <f t="shared" si="75"/>
        <v>3.4122655314620194</v>
      </c>
      <c r="Y1629" s="642" t="str">
        <f t="shared" si="76"/>
        <v/>
      </c>
      <c r="Z1629" s="642" t="str">
        <f t="shared" si="77"/>
        <v/>
      </c>
    </row>
    <row r="1630" spans="1:26" s="127" customFormat="1" ht="25">
      <c r="A1630" s="636">
        <v>61294</v>
      </c>
      <c r="B1630" s="637" t="s">
        <v>33</v>
      </c>
      <c r="C1630" s="636" t="s">
        <v>2725</v>
      </c>
      <c r="D1630" s="637" t="s">
        <v>2145</v>
      </c>
      <c r="E1630" s="637" t="s">
        <v>2146</v>
      </c>
      <c r="F1630" s="636">
        <v>60921</v>
      </c>
      <c r="G1630" s="637" t="s">
        <v>81</v>
      </c>
      <c r="H1630" s="637" t="s">
        <v>1163</v>
      </c>
      <c r="I1630" s="637" t="s">
        <v>58</v>
      </c>
      <c r="J1630" s="636">
        <v>22</v>
      </c>
      <c r="K1630" s="636">
        <v>2</v>
      </c>
      <c r="L1630" s="637" t="s">
        <v>52</v>
      </c>
      <c r="M1630" s="637" t="s">
        <v>441</v>
      </c>
      <c r="N1630" s="637" t="s">
        <v>442</v>
      </c>
      <c r="O1630" s="637" t="s">
        <v>442</v>
      </c>
      <c r="P1630" s="637" t="s">
        <v>1156</v>
      </c>
      <c r="Q1630" s="638">
        <v>0</v>
      </c>
      <c r="R1630" s="638">
        <v>0</v>
      </c>
      <c r="S1630" s="638">
        <v>5617</v>
      </c>
      <c r="T1630" s="638">
        <v>5617</v>
      </c>
      <c r="U1630" s="638">
        <v>1646</v>
      </c>
      <c r="V1630" s="636">
        <v>2022</v>
      </c>
      <c r="W1630" s="640"/>
      <c r="X1630" s="641">
        <f t="shared" si="75"/>
        <v>3.4125151883353584</v>
      </c>
      <c r="Y1630" s="642" t="str">
        <f t="shared" si="76"/>
        <v/>
      </c>
      <c r="Z1630" s="642" t="str">
        <f t="shared" si="77"/>
        <v/>
      </c>
    </row>
    <row r="1631" spans="1:26" s="127" customFormat="1" ht="25">
      <c r="A1631" s="636">
        <v>61295</v>
      </c>
      <c r="B1631" s="637" t="s">
        <v>33</v>
      </c>
      <c r="C1631" s="636" t="s">
        <v>2725</v>
      </c>
      <c r="D1631" s="637" t="s">
        <v>2147</v>
      </c>
      <c r="E1631" s="637" t="s">
        <v>2148</v>
      </c>
      <c r="F1631" s="636">
        <v>60922</v>
      </c>
      <c r="G1631" s="637" t="s">
        <v>81</v>
      </c>
      <c r="H1631" s="637" t="s">
        <v>1163</v>
      </c>
      <c r="I1631" s="637" t="s">
        <v>58</v>
      </c>
      <c r="J1631" s="636">
        <v>22</v>
      </c>
      <c r="K1631" s="636">
        <v>2</v>
      </c>
      <c r="L1631" s="637" t="s">
        <v>52</v>
      </c>
      <c r="M1631" s="637" t="s">
        <v>441</v>
      </c>
      <c r="N1631" s="637" t="s">
        <v>442</v>
      </c>
      <c r="O1631" s="637" t="s">
        <v>442</v>
      </c>
      <c r="P1631" s="637" t="s">
        <v>1156</v>
      </c>
      <c r="Q1631" s="638">
        <v>0</v>
      </c>
      <c r="R1631" s="638">
        <v>0</v>
      </c>
      <c r="S1631" s="638">
        <v>22810</v>
      </c>
      <c r="T1631" s="638">
        <v>22810</v>
      </c>
      <c r="U1631" s="638">
        <v>6685</v>
      </c>
      <c r="V1631" s="636">
        <v>2022</v>
      </c>
      <c r="W1631" s="640"/>
      <c r="X1631" s="641">
        <f t="shared" si="75"/>
        <v>3.412116679132386</v>
      </c>
      <c r="Y1631" s="642" t="str">
        <f t="shared" si="76"/>
        <v/>
      </c>
      <c r="Z1631" s="642" t="str">
        <f t="shared" si="77"/>
        <v/>
      </c>
    </row>
    <row r="1632" spans="1:26" s="127" customFormat="1" ht="25">
      <c r="A1632" s="636">
        <v>61296</v>
      </c>
      <c r="B1632" s="637" t="s">
        <v>33</v>
      </c>
      <c r="C1632" s="636" t="s">
        <v>2725</v>
      </c>
      <c r="D1632" s="637" t="s">
        <v>2149</v>
      </c>
      <c r="E1632" s="637" t="s">
        <v>2150</v>
      </c>
      <c r="F1632" s="636">
        <v>60923</v>
      </c>
      <c r="G1632" s="637" t="s">
        <v>81</v>
      </c>
      <c r="H1632" s="637" t="s">
        <v>1163</v>
      </c>
      <c r="I1632" s="637" t="s">
        <v>58</v>
      </c>
      <c r="J1632" s="636">
        <v>22</v>
      </c>
      <c r="K1632" s="636">
        <v>2</v>
      </c>
      <c r="L1632" s="637" t="s">
        <v>52</v>
      </c>
      <c r="M1632" s="637" t="s">
        <v>441</v>
      </c>
      <c r="N1632" s="637" t="s">
        <v>442</v>
      </c>
      <c r="O1632" s="637" t="s">
        <v>442</v>
      </c>
      <c r="P1632" s="637" t="s">
        <v>1156</v>
      </c>
      <c r="Q1632" s="638">
        <v>0</v>
      </c>
      <c r="R1632" s="638">
        <v>0</v>
      </c>
      <c r="S1632" s="638">
        <v>8398</v>
      </c>
      <c r="T1632" s="638">
        <v>8398</v>
      </c>
      <c r="U1632" s="638">
        <v>2461</v>
      </c>
      <c r="V1632" s="636">
        <v>2022</v>
      </c>
      <c r="W1632" s="640"/>
      <c r="X1632" s="641">
        <f t="shared" si="75"/>
        <v>3.4124339699309223</v>
      </c>
      <c r="Y1632" s="642" t="str">
        <f t="shared" si="76"/>
        <v/>
      </c>
      <c r="Z1632" s="642" t="str">
        <f t="shared" si="77"/>
        <v/>
      </c>
    </row>
    <row r="1633" spans="1:26" s="127" customFormat="1" ht="25">
      <c r="A1633" s="636">
        <v>61297</v>
      </c>
      <c r="B1633" s="637" t="s">
        <v>33</v>
      </c>
      <c r="C1633" s="636" t="s">
        <v>2725</v>
      </c>
      <c r="D1633" s="637" t="s">
        <v>2151</v>
      </c>
      <c r="E1633" s="637" t="s">
        <v>2152</v>
      </c>
      <c r="F1633" s="636">
        <v>60924</v>
      </c>
      <c r="G1633" s="637" t="s">
        <v>81</v>
      </c>
      <c r="H1633" s="637" t="s">
        <v>1163</v>
      </c>
      <c r="I1633" s="637" t="s">
        <v>58</v>
      </c>
      <c r="J1633" s="636">
        <v>22</v>
      </c>
      <c r="K1633" s="636">
        <v>2</v>
      </c>
      <c r="L1633" s="637" t="s">
        <v>52</v>
      </c>
      <c r="M1633" s="637" t="s">
        <v>441</v>
      </c>
      <c r="N1633" s="637" t="s">
        <v>442</v>
      </c>
      <c r="O1633" s="637" t="s">
        <v>442</v>
      </c>
      <c r="P1633" s="637" t="s">
        <v>1156</v>
      </c>
      <c r="Q1633" s="638">
        <v>0</v>
      </c>
      <c r="R1633" s="638">
        <v>0</v>
      </c>
      <c r="S1633" s="638">
        <v>11494</v>
      </c>
      <c r="T1633" s="638">
        <v>11494</v>
      </c>
      <c r="U1633" s="638">
        <v>3369</v>
      </c>
      <c r="V1633" s="636">
        <v>2022</v>
      </c>
      <c r="W1633" s="640"/>
      <c r="X1633" s="641">
        <f t="shared" si="75"/>
        <v>3.4116948649450878</v>
      </c>
      <c r="Y1633" s="642" t="str">
        <f t="shared" si="76"/>
        <v/>
      </c>
      <c r="Z1633" s="642" t="str">
        <f t="shared" si="77"/>
        <v/>
      </c>
    </row>
    <row r="1634" spans="1:26" s="127" customFormat="1" ht="25">
      <c r="A1634" s="636">
        <v>61298</v>
      </c>
      <c r="B1634" s="637" t="s">
        <v>33</v>
      </c>
      <c r="C1634" s="636" t="s">
        <v>2725</v>
      </c>
      <c r="D1634" s="637" t="s">
        <v>2153</v>
      </c>
      <c r="E1634" s="637" t="s">
        <v>2154</v>
      </c>
      <c r="F1634" s="636">
        <v>60925</v>
      </c>
      <c r="G1634" s="637" t="s">
        <v>81</v>
      </c>
      <c r="H1634" s="637" t="s">
        <v>1163</v>
      </c>
      <c r="I1634" s="637" t="s">
        <v>58</v>
      </c>
      <c r="J1634" s="636">
        <v>22</v>
      </c>
      <c r="K1634" s="636">
        <v>2</v>
      </c>
      <c r="L1634" s="637" t="s">
        <v>52</v>
      </c>
      <c r="M1634" s="637" t="s">
        <v>441</v>
      </c>
      <c r="N1634" s="637" t="s">
        <v>442</v>
      </c>
      <c r="O1634" s="637" t="s">
        <v>442</v>
      </c>
      <c r="P1634" s="637" t="s">
        <v>1156</v>
      </c>
      <c r="Q1634" s="638">
        <v>0</v>
      </c>
      <c r="R1634" s="638">
        <v>0</v>
      </c>
      <c r="S1634" s="638">
        <v>4985</v>
      </c>
      <c r="T1634" s="638">
        <v>4985</v>
      </c>
      <c r="U1634" s="638">
        <v>1461</v>
      </c>
      <c r="V1634" s="636">
        <v>2022</v>
      </c>
      <c r="W1634" s="640"/>
      <c r="X1634" s="641">
        <f t="shared" si="75"/>
        <v>3.4120465434633811</v>
      </c>
      <c r="Y1634" s="642" t="str">
        <f t="shared" si="76"/>
        <v/>
      </c>
      <c r="Z1634" s="642" t="str">
        <f t="shared" si="77"/>
        <v/>
      </c>
    </row>
    <row r="1635" spans="1:26" s="127" customFormat="1" ht="25">
      <c r="A1635" s="636">
        <v>61299</v>
      </c>
      <c r="B1635" s="637" t="s">
        <v>33</v>
      </c>
      <c r="C1635" s="636" t="s">
        <v>2725</v>
      </c>
      <c r="D1635" s="637" t="s">
        <v>2155</v>
      </c>
      <c r="E1635" s="637" t="s">
        <v>2156</v>
      </c>
      <c r="F1635" s="636">
        <v>60926</v>
      </c>
      <c r="G1635" s="637" t="s">
        <v>81</v>
      </c>
      <c r="H1635" s="637" t="s">
        <v>1163</v>
      </c>
      <c r="I1635" s="637" t="s">
        <v>58</v>
      </c>
      <c r="J1635" s="636">
        <v>22</v>
      </c>
      <c r="K1635" s="636">
        <v>2</v>
      </c>
      <c r="L1635" s="637" t="s">
        <v>52</v>
      </c>
      <c r="M1635" s="637" t="s">
        <v>441</v>
      </c>
      <c r="N1635" s="637" t="s">
        <v>442</v>
      </c>
      <c r="O1635" s="637" t="s">
        <v>442</v>
      </c>
      <c r="P1635" s="637" t="s">
        <v>1156</v>
      </c>
      <c r="Q1635" s="638">
        <v>0</v>
      </c>
      <c r="R1635" s="638">
        <v>0</v>
      </c>
      <c r="S1635" s="638">
        <v>10612</v>
      </c>
      <c r="T1635" s="638">
        <v>10612</v>
      </c>
      <c r="U1635" s="638">
        <v>3110</v>
      </c>
      <c r="V1635" s="636">
        <v>2022</v>
      </c>
      <c r="W1635" s="640"/>
      <c r="X1635" s="641">
        <f t="shared" si="75"/>
        <v>3.4122186495176847</v>
      </c>
      <c r="Y1635" s="642" t="str">
        <f t="shared" si="76"/>
        <v/>
      </c>
      <c r="Z1635" s="642" t="str">
        <f t="shared" si="77"/>
        <v/>
      </c>
    </row>
    <row r="1636" spans="1:26" s="127" customFormat="1" ht="25">
      <c r="A1636" s="636">
        <v>61307</v>
      </c>
      <c r="B1636" s="637" t="s">
        <v>33</v>
      </c>
      <c r="C1636" s="636" t="s">
        <v>2725</v>
      </c>
      <c r="D1636" s="637" t="s">
        <v>2157</v>
      </c>
      <c r="E1636" s="637" t="s">
        <v>2158</v>
      </c>
      <c r="F1636" s="636">
        <v>60920</v>
      </c>
      <c r="G1636" s="637" t="s">
        <v>81</v>
      </c>
      <c r="H1636" s="637" t="s">
        <v>1163</v>
      </c>
      <c r="I1636" s="637" t="s">
        <v>58</v>
      </c>
      <c r="J1636" s="636">
        <v>22</v>
      </c>
      <c r="K1636" s="636">
        <v>2</v>
      </c>
      <c r="L1636" s="637" t="s">
        <v>52</v>
      </c>
      <c r="M1636" s="637" t="s">
        <v>441</v>
      </c>
      <c r="N1636" s="637" t="s">
        <v>442</v>
      </c>
      <c r="O1636" s="637" t="s">
        <v>442</v>
      </c>
      <c r="P1636" s="637" t="s">
        <v>1156</v>
      </c>
      <c r="Q1636" s="638">
        <v>0</v>
      </c>
      <c r="R1636" s="638">
        <v>0</v>
      </c>
      <c r="S1636" s="638">
        <v>15911</v>
      </c>
      <c r="T1636" s="638">
        <v>15911</v>
      </c>
      <c r="U1636" s="638">
        <v>4663</v>
      </c>
      <c r="V1636" s="636">
        <v>2022</v>
      </c>
      <c r="W1636" s="640"/>
      <c r="X1636" s="641">
        <f t="shared" si="75"/>
        <v>3.4121809993566372</v>
      </c>
      <c r="Y1636" s="642" t="str">
        <f t="shared" si="76"/>
        <v/>
      </c>
      <c r="Z1636" s="642" t="str">
        <f t="shared" si="77"/>
        <v/>
      </c>
    </row>
    <row r="1637" spans="1:26" s="127" customFormat="1" ht="25">
      <c r="A1637" s="636">
        <v>61308</v>
      </c>
      <c r="B1637" s="637" t="s">
        <v>33</v>
      </c>
      <c r="C1637" s="636" t="s">
        <v>2725</v>
      </c>
      <c r="D1637" s="637" t="s">
        <v>2159</v>
      </c>
      <c r="E1637" s="637" t="s">
        <v>2160</v>
      </c>
      <c r="F1637" s="636">
        <v>60919</v>
      </c>
      <c r="G1637" s="637" t="s">
        <v>81</v>
      </c>
      <c r="H1637" s="637" t="s">
        <v>1163</v>
      </c>
      <c r="I1637" s="637" t="s">
        <v>58</v>
      </c>
      <c r="J1637" s="636">
        <v>22</v>
      </c>
      <c r="K1637" s="636">
        <v>2</v>
      </c>
      <c r="L1637" s="637" t="s">
        <v>52</v>
      </c>
      <c r="M1637" s="637" t="s">
        <v>441</v>
      </c>
      <c r="N1637" s="637" t="s">
        <v>442</v>
      </c>
      <c r="O1637" s="637" t="s">
        <v>442</v>
      </c>
      <c r="P1637" s="637" t="s">
        <v>1156</v>
      </c>
      <c r="Q1637" s="638">
        <v>0</v>
      </c>
      <c r="R1637" s="638">
        <v>0</v>
      </c>
      <c r="S1637" s="638">
        <v>10791</v>
      </c>
      <c r="T1637" s="638">
        <v>10791</v>
      </c>
      <c r="U1637" s="638">
        <v>3163</v>
      </c>
      <c r="V1637" s="636">
        <v>2022</v>
      </c>
      <c r="W1637" s="640"/>
      <c r="X1637" s="641">
        <f t="shared" si="75"/>
        <v>3.4116345241858994</v>
      </c>
      <c r="Y1637" s="642" t="str">
        <f t="shared" si="76"/>
        <v/>
      </c>
      <c r="Z1637" s="642" t="str">
        <f t="shared" si="77"/>
        <v/>
      </c>
    </row>
    <row r="1638" spans="1:26" s="127" customFormat="1" ht="25">
      <c r="A1638" s="636">
        <v>61315</v>
      </c>
      <c r="B1638" s="637" t="s">
        <v>33</v>
      </c>
      <c r="C1638" s="636" t="s">
        <v>2725</v>
      </c>
      <c r="D1638" s="637" t="s">
        <v>2161</v>
      </c>
      <c r="E1638" s="637" t="s">
        <v>2162</v>
      </c>
      <c r="F1638" s="636">
        <v>60917</v>
      </c>
      <c r="G1638" s="637" t="s">
        <v>81</v>
      </c>
      <c r="H1638" s="637" t="s">
        <v>1163</v>
      </c>
      <c r="I1638" s="637" t="s">
        <v>58</v>
      </c>
      <c r="J1638" s="636">
        <v>22</v>
      </c>
      <c r="K1638" s="636">
        <v>2</v>
      </c>
      <c r="L1638" s="637" t="s">
        <v>52</v>
      </c>
      <c r="M1638" s="637" t="s">
        <v>441</v>
      </c>
      <c r="N1638" s="637" t="s">
        <v>442</v>
      </c>
      <c r="O1638" s="637" t="s">
        <v>442</v>
      </c>
      <c r="P1638" s="637" t="s">
        <v>1156</v>
      </c>
      <c r="Q1638" s="638">
        <v>0</v>
      </c>
      <c r="R1638" s="638">
        <v>0</v>
      </c>
      <c r="S1638" s="638">
        <v>27484</v>
      </c>
      <c r="T1638" s="638">
        <v>27484</v>
      </c>
      <c r="U1638" s="638">
        <v>8055</v>
      </c>
      <c r="V1638" s="636">
        <v>2022</v>
      </c>
      <c r="W1638" s="640"/>
      <c r="X1638" s="641">
        <f t="shared" si="75"/>
        <v>3.4120422098075731</v>
      </c>
      <c r="Y1638" s="642" t="str">
        <f t="shared" si="76"/>
        <v/>
      </c>
      <c r="Z1638" s="642" t="str">
        <f t="shared" si="77"/>
        <v/>
      </c>
    </row>
    <row r="1639" spans="1:26" s="127" customFormat="1" ht="25">
      <c r="A1639" s="636">
        <v>61340</v>
      </c>
      <c r="B1639" s="637" t="s">
        <v>33</v>
      </c>
      <c r="C1639" s="636" t="s">
        <v>2725</v>
      </c>
      <c r="D1639" s="637" t="s">
        <v>2163</v>
      </c>
      <c r="E1639" s="637" t="s">
        <v>2113</v>
      </c>
      <c r="F1639" s="636">
        <v>61060</v>
      </c>
      <c r="G1639" s="637" t="s">
        <v>89</v>
      </c>
      <c r="H1639" s="637" t="s">
        <v>1163</v>
      </c>
      <c r="I1639" s="637" t="s">
        <v>58</v>
      </c>
      <c r="J1639" s="636">
        <v>22</v>
      </c>
      <c r="K1639" s="636">
        <v>2</v>
      </c>
      <c r="L1639" s="637" t="s">
        <v>52</v>
      </c>
      <c r="M1639" s="637" t="s">
        <v>441</v>
      </c>
      <c r="N1639" s="637" t="s">
        <v>442</v>
      </c>
      <c r="O1639" s="637" t="s">
        <v>442</v>
      </c>
      <c r="P1639" s="637" t="s">
        <v>1156</v>
      </c>
      <c r="Q1639" s="638">
        <v>0</v>
      </c>
      <c r="R1639" s="638">
        <v>0</v>
      </c>
      <c r="S1639" s="638">
        <v>14704</v>
      </c>
      <c r="T1639" s="638">
        <v>14704</v>
      </c>
      <c r="U1639" s="638">
        <v>4309</v>
      </c>
      <c r="V1639" s="636">
        <v>2022</v>
      </c>
      <c r="W1639" s="640"/>
      <c r="X1639" s="641">
        <f t="shared" si="75"/>
        <v>3.4123926665119519</v>
      </c>
      <c r="Y1639" s="642" t="str">
        <f t="shared" si="76"/>
        <v/>
      </c>
      <c r="Z1639" s="642" t="str">
        <f t="shared" si="77"/>
        <v/>
      </c>
    </row>
    <row r="1640" spans="1:26" s="127" customFormat="1" ht="25">
      <c r="A1640" s="636">
        <v>61341</v>
      </c>
      <c r="B1640" s="637" t="s">
        <v>33</v>
      </c>
      <c r="C1640" s="636" t="s">
        <v>2725</v>
      </c>
      <c r="D1640" s="637" t="s">
        <v>2022</v>
      </c>
      <c r="E1640" s="637" t="s">
        <v>3623</v>
      </c>
      <c r="F1640" s="636">
        <v>61944</v>
      </c>
      <c r="G1640" s="637" t="s">
        <v>81</v>
      </c>
      <c r="H1640" s="637" t="s">
        <v>1163</v>
      </c>
      <c r="I1640" s="637" t="s">
        <v>58</v>
      </c>
      <c r="J1640" s="636">
        <v>22</v>
      </c>
      <c r="K1640" s="636">
        <v>2</v>
      </c>
      <c r="L1640" s="637" t="s">
        <v>52</v>
      </c>
      <c r="M1640" s="637" t="s">
        <v>441</v>
      </c>
      <c r="N1640" s="637" t="s">
        <v>442</v>
      </c>
      <c r="O1640" s="637" t="s">
        <v>442</v>
      </c>
      <c r="P1640" s="637" t="s">
        <v>1156</v>
      </c>
      <c r="Q1640" s="638">
        <v>0</v>
      </c>
      <c r="R1640" s="638">
        <v>0</v>
      </c>
      <c r="S1640" s="638">
        <v>15871</v>
      </c>
      <c r="T1640" s="638">
        <v>15871</v>
      </c>
      <c r="U1640" s="638">
        <v>4652</v>
      </c>
      <c r="V1640" s="636">
        <v>2022</v>
      </c>
      <c r="W1640" s="640"/>
      <c r="X1640" s="641">
        <f t="shared" si="75"/>
        <v>3.4116509028374891</v>
      </c>
      <c r="Y1640" s="642" t="str">
        <f t="shared" si="76"/>
        <v/>
      </c>
      <c r="Z1640" s="642" t="str">
        <f t="shared" si="77"/>
        <v/>
      </c>
    </row>
    <row r="1641" spans="1:26" s="127" customFormat="1" ht="25">
      <c r="A1641" s="636">
        <v>61342</v>
      </c>
      <c r="B1641" s="637" t="s">
        <v>33</v>
      </c>
      <c r="C1641" s="636" t="s">
        <v>2725</v>
      </c>
      <c r="D1641" s="637" t="s">
        <v>2023</v>
      </c>
      <c r="E1641" s="637" t="s">
        <v>3623</v>
      </c>
      <c r="F1641" s="636">
        <v>61944</v>
      </c>
      <c r="G1641" s="637" t="s">
        <v>81</v>
      </c>
      <c r="H1641" s="637" t="s">
        <v>1163</v>
      </c>
      <c r="I1641" s="637" t="s">
        <v>58</v>
      </c>
      <c r="J1641" s="636">
        <v>22</v>
      </c>
      <c r="K1641" s="636">
        <v>2</v>
      </c>
      <c r="L1641" s="637" t="s">
        <v>52</v>
      </c>
      <c r="M1641" s="637" t="s">
        <v>441</v>
      </c>
      <c r="N1641" s="637" t="s">
        <v>442</v>
      </c>
      <c r="O1641" s="637" t="s">
        <v>442</v>
      </c>
      <c r="P1641" s="637" t="s">
        <v>1156</v>
      </c>
      <c r="Q1641" s="638">
        <v>0</v>
      </c>
      <c r="R1641" s="638">
        <v>0</v>
      </c>
      <c r="S1641" s="638">
        <v>64632</v>
      </c>
      <c r="T1641" s="638">
        <v>64632</v>
      </c>
      <c r="U1641" s="638">
        <v>18943</v>
      </c>
      <c r="V1641" s="636">
        <v>2022</v>
      </c>
      <c r="W1641" s="640"/>
      <c r="X1641" s="641">
        <f t="shared" si="75"/>
        <v>3.4119199704376286</v>
      </c>
      <c r="Y1641" s="642" t="str">
        <f t="shared" si="76"/>
        <v/>
      </c>
      <c r="Z1641" s="642" t="str">
        <f t="shared" si="77"/>
        <v/>
      </c>
    </row>
    <row r="1642" spans="1:26" s="127" customFormat="1" ht="25">
      <c r="A1642" s="636">
        <v>61350</v>
      </c>
      <c r="B1642" s="637" t="s">
        <v>33</v>
      </c>
      <c r="C1642" s="636" t="s">
        <v>2725</v>
      </c>
      <c r="D1642" s="637" t="s">
        <v>2024</v>
      </c>
      <c r="E1642" s="637" t="s">
        <v>2739</v>
      </c>
      <c r="F1642" s="636">
        <v>63249</v>
      </c>
      <c r="G1642" s="637" t="s">
        <v>81</v>
      </c>
      <c r="H1642" s="637" t="s">
        <v>1163</v>
      </c>
      <c r="I1642" s="637" t="s">
        <v>58</v>
      </c>
      <c r="J1642" s="636">
        <v>22</v>
      </c>
      <c r="K1642" s="636">
        <v>2</v>
      </c>
      <c r="L1642" s="637" t="s">
        <v>52</v>
      </c>
      <c r="M1642" s="637" t="s">
        <v>441</v>
      </c>
      <c r="N1642" s="637" t="s">
        <v>442</v>
      </c>
      <c r="O1642" s="637" t="s">
        <v>442</v>
      </c>
      <c r="P1642" s="637" t="s">
        <v>1156</v>
      </c>
      <c r="Q1642" s="638">
        <v>0</v>
      </c>
      <c r="R1642" s="638">
        <v>0</v>
      </c>
      <c r="S1642" s="638">
        <v>12607</v>
      </c>
      <c r="T1642" s="638">
        <v>12607</v>
      </c>
      <c r="U1642" s="638">
        <v>3695</v>
      </c>
      <c r="V1642" s="636">
        <v>2022</v>
      </c>
      <c r="W1642" s="640"/>
      <c r="X1642" s="641">
        <f t="shared" si="75"/>
        <v>3.4119079837618402</v>
      </c>
      <c r="Y1642" s="642" t="str">
        <f t="shared" si="76"/>
        <v/>
      </c>
      <c r="Z1642" s="642" t="str">
        <f t="shared" si="77"/>
        <v/>
      </c>
    </row>
    <row r="1643" spans="1:26" s="127" customFormat="1" ht="25">
      <c r="A1643" s="636">
        <v>61367</v>
      </c>
      <c r="B1643" s="637" t="s">
        <v>33</v>
      </c>
      <c r="C1643" s="636" t="s">
        <v>2725</v>
      </c>
      <c r="D1643" s="637" t="s">
        <v>2164</v>
      </c>
      <c r="E1643" s="637" t="s">
        <v>3619</v>
      </c>
      <c r="F1643" s="636">
        <v>57319</v>
      </c>
      <c r="G1643" s="637" t="s">
        <v>81</v>
      </c>
      <c r="H1643" s="637" t="s">
        <v>1163</v>
      </c>
      <c r="I1643" s="637" t="s">
        <v>58</v>
      </c>
      <c r="J1643" s="636">
        <v>22</v>
      </c>
      <c r="K1643" s="636">
        <v>2</v>
      </c>
      <c r="L1643" s="637" t="s">
        <v>52</v>
      </c>
      <c r="M1643" s="637" t="s">
        <v>441</v>
      </c>
      <c r="N1643" s="637" t="s">
        <v>442</v>
      </c>
      <c r="O1643" s="637" t="s">
        <v>442</v>
      </c>
      <c r="P1643" s="637" t="s">
        <v>1156</v>
      </c>
      <c r="Q1643" s="638">
        <v>0</v>
      </c>
      <c r="R1643" s="638">
        <v>0</v>
      </c>
      <c r="S1643" s="638">
        <v>9141</v>
      </c>
      <c r="T1643" s="638">
        <v>9141</v>
      </c>
      <c r="U1643" s="638">
        <v>2679</v>
      </c>
      <c r="V1643" s="636">
        <v>2022</v>
      </c>
      <c r="W1643" s="640"/>
      <c r="X1643" s="641">
        <f t="shared" si="75"/>
        <v>3.4120940649496081</v>
      </c>
      <c r="Y1643" s="642" t="str">
        <f t="shared" si="76"/>
        <v/>
      </c>
      <c r="Z1643" s="642" t="str">
        <f t="shared" si="77"/>
        <v/>
      </c>
    </row>
    <row r="1644" spans="1:26" s="127" customFormat="1" ht="25">
      <c r="A1644" s="636">
        <v>61371</v>
      </c>
      <c r="B1644" s="637" t="s">
        <v>33</v>
      </c>
      <c r="C1644" s="636" t="s">
        <v>2725</v>
      </c>
      <c r="D1644" s="637" t="s">
        <v>2025</v>
      </c>
      <c r="E1644" s="637" t="s">
        <v>2026</v>
      </c>
      <c r="F1644" s="636">
        <v>61009</v>
      </c>
      <c r="G1644" s="637" t="s">
        <v>81</v>
      </c>
      <c r="H1644" s="637" t="s">
        <v>1163</v>
      </c>
      <c r="I1644" s="637" t="s">
        <v>58</v>
      </c>
      <c r="J1644" s="636">
        <v>22</v>
      </c>
      <c r="K1644" s="636">
        <v>2</v>
      </c>
      <c r="L1644" s="637" t="s">
        <v>52</v>
      </c>
      <c r="M1644" s="637" t="s">
        <v>441</v>
      </c>
      <c r="N1644" s="637" t="s">
        <v>442</v>
      </c>
      <c r="O1644" s="637" t="s">
        <v>442</v>
      </c>
      <c r="P1644" s="637" t="s">
        <v>1156</v>
      </c>
      <c r="Q1644" s="638">
        <v>0</v>
      </c>
      <c r="R1644" s="638">
        <v>0</v>
      </c>
      <c r="S1644" s="638">
        <v>12194</v>
      </c>
      <c r="T1644" s="638">
        <v>12194</v>
      </c>
      <c r="U1644" s="638">
        <v>3574</v>
      </c>
      <c r="V1644" s="636">
        <v>2022</v>
      </c>
      <c r="W1644" s="640"/>
      <c r="X1644" s="641">
        <f t="shared" si="75"/>
        <v>3.4118634583100169</v>
      </c>
      <c r="Y1644" s="642" t="str">
        <f t="shared" si="76"/>
        <v/>
      </c>
      <c r="Z1644" s="642" t="str">
        <f t="shared" si="77"/>
        <v/>
      </c>
    </row>
    <row r="1645" spans="1:26" s="127" customFormat="1" ht="25">
      <c r="A1645" s="636">
        <v>61373</v>
      </c>
      <c r="B1645" s="637" t="s">
        <v>33</v>
      </c>
      <c r="C1645" s="636" t="s">
        <v>2725</v>
      </c>
      <c r="D1645" s="637" t="s">
        <v>2027</v>
      </c>
      <c r="E1645" s="637" t="s">
        <v>2028</v>
      </c>
      <c r="F1645" s="636">
        <v>61011</v>
      </c>
      <c r="G1645" s="637" t="s">
        <v>81</v>
      </c>
      <c r="H1645" s="637" t="s">
        <v>1163</v>
      </c>
      <c r="I1645" s="637" t="s">
        <v>58</v>
      </c>
      <c r="J1645" s="636">
        <v>22</v>
      </c>
      <c r="K1645" s="636">
        <v>2</v>
      </c>
      <c r="L1645" s="637" t="s">
        <v>52</v>
      </c>
      <c r="M1645" s="637" t="s">
        <v>441</v>
      </c>
      <c r="N1645" s="637" t="s">
        <v>442</v>
      </c>
      <c r="O1645" s="637" t="s">
        <v>442</v>
      </c>
      <c r="P1645" s="637" t="s">
        <v>1156</v>
      </c>
      <c r="Q1645" s="638">
        <v>0</v>
      </c>
      <c r="R1645" s="638">
        <v>0</v>
      </c>
      <c r="S1645" s="638">
        <v>17625</v>
      </c>
      <c r="T1645" s="638">
        <v>17625</v>
      </c>
      <c r="U1645" s="638">
        <v>5166</v>
      </c>
      <c r="V1645" s="636">
        <v>2022</v>
      </c>
      <c r="W1645" s="640"/>
      <c r="X1645" s="641">
        <f t="shared" si="75"/>
        <v>3.4117305458768872</v>
      </c>
      <c r="Y1645" s="642" t="str">
        <f t="shared" si="76"/>
        <v/>
      </c>
      <c r="Z1645" s="642" t="str">
        <f t="shared" si="77"/>
        <v/>
      </c>
    </row>
    <row r="1646" spans="1:26" s="127" customFormat="1" ht="25">
      <c r="A1646" s="636">
        <v>61376</v>
      </c>
      <c r="B1646" s="637" t="s">
        <v>33</v>
      </c>
      <c r="C1646" s="636" t="s">
        <v>2725</v>
      </c>
      <c r="D1646" s="637" t="s">
        <v>2165</v>
      </c>
      <c r="E1646" s="637" t="s">
        <v>2166</v>
      </c>
      <c r="F1646" s="636">
        <v>61012</v>
      </c>
      <c r="G1646" s="637" t="s">
        <v>57</v>
      </c>
      <c r="H1646" s="637" t="s">
        <v>1162</v>
      </c>
      <c r="I1646" s="637" t="s">
        <v>58</v>
      </c>
      <c r="J1646" s="636">
        <v>22</v>
      </c>
      <c r="K1646" s="636">
        <v>2</v>
      </c>
      <c r="L1646" s="637" t="s">
        <v>52</v>
      </c>
      <c r="M1646" s="637" t="s">
        <v>441</v>
      </c>
      <c r="N1646" s="637" t="s">
        <v>442</v>
      </c>
      <c r="O1646" s="637" t="s">
        <v>442</v>
      </c>
      <c r="P1646" s="637" t="s">
        <v>1156</v>
      </c>
      <c r="Q1646" s="638">
        <v>0</v>
      </c>
      <c r="R1646" s="638">
        <v>0</v>
      </c>
      <c r="S1646" s="638">
        <v>10493</v>
      </c>
      <c r="T1646" s="638">
        <v>10493</v>
      </c>
      <c r="U1646" s="638">
        <v>3075</v>
      </c>
      <c r="V1646" s="636">
        <v>2022</v>
      </c>
      <c r="W1646" s="640"/>
      <c r="X1646" s="641">
        <f t="shared" si="75"/>
        <v>3.412357723577236</v>
      </c>
      <c r="Y1646" s="642" t="str">
        <f t="shared" si="76"/>
        <v/>
      </c>
      <c r="Z1646" s="642" t="str">
        <f t="shared" si="77"/>
        <v/>
      </c>
    </row>
    <row r="1647" spans="1:26" s="127" customFormat="1" ht="37.5" hidden="1">
      <c r="A1647" s="636">
        <v>61378</v>
      </c>
      <c r="B1647" s="637" t="s">
        <v>33</v>
      </c>
      <c r="C1647" s="636" t="s">
        <v>2725</v>
      </c>
      <c r="D1647" s="637" t="s">
        <v>2167</v>
      </c>
      <c r="E1647" s="637" t="s">
        <v>2167</v>
      </c>
      <c r="F1647" s="636">
        <v>61013</v>
      </c>
      <c r="G1647" s="637" t="s">
        <v>57</v>
      </c>
      <c r="H1647" s="637" t="s">
        <v>1162</v>
      </c>
      <c r="I1647" s="637" t="s">
        <v>58</v>
      </c>
      <c r="J1647" s="636">
        <v>622</v>
      </c>
      <c r="K1647" s="636">
        <v>4</v>
      </c>
      <c r="L1647" s="637" t="s">
        <v>406</v>
      </c>
      <c r="M1647" s="637" t="s">
        <v>51</v>
      </c>
      <c r="N1647" s="637" t="s">
        <v>46</v>
      </c>
      <c r="O1647" s="637" t="s">
        <v>46</v>
      </c>
      <c r="P1647" s="637" t="s">
        <v>47</v>
      </c>
      <c r="Q1647" s="638">
        <v>55</v>
      </c>
      <c r="R1647" s="638">
        <v>55</v>
      </c>
      <c r="S1647" s="638">
        <v>304</v>
      </c>
      <c r="T1647" s="638">
        <v>304</v>
      </c>
      <c r="U1647" s="638">
        <v>0</v>
      </c>
      <c r="V1647" s="636">
        <v>2022</v>
      </c>
      <c r="W1647" s="640"/>
      <c r="X1647" s="641" t="str">
        <f t="shared" si="75"/>
        <v/>
      </c>
      <c r="Y1647" s="642" t="str">
        <f t="shared" si="76"/>
        <v/>
      </c>
      <c r="Z1647" s="642" t="str">
        <f t="shared" si="77"/>
        <v/>
      </c>
    </row>
    <row r="1648" spans="1:26" s="127" customFormat="1" ht="37.5" hidden="1">
      <c r="A1648" s="636">
        <v>61378</v>
      </c>
      <c r="B1648" s="637" t="s">
        <v>33</v>
      </c>
      <c r="C1648" s="636" t="s">
        <v>2725</v>
      </c>
      <c r="D1648" s="637" t="s">
        <v>2167</v>
      </c>
      <c r="E1648" s="637" t="s">
        <v>2167</v>
      </c>
      <c r="F1648" s="636">
        <v>61013</v>
      </c>
      <c r="G1648" s="637" t="s">
        <v>57</v>
      </c>
      <c r="H1648" s="637" t="s">
        <v>1162</v>
      </c>
      <c r="I1648" s="637" t="s">
        <v>58</v>
      </c>
      <c r="J1648" s="636">
        <v>622</v>
      </c>
      <c r="K1648" s="636">
        <v>4</v>
      </c>
      <c r="L1648" s="637" t="s">
        <v>406</v>
      </c>
      <c r="M1648" s="637" t="s">
        <v>51</v>
      </c>
      <c r="N1648" s="637" t="s">
        <v>39</v>
      </c>
      <c r="O1648" s="637" t="s">
        <v>39</v>
      </c>
      <c r="P1648" s="637" t="s">
        <v>1020</v>
      </c>
      <c r="Q1648" s="638">
        <v>0</v>
      </c>
      <c r="R1648" s="638">
        <v>0</v>
      </c>
      <c r="S1648" s="638">
        <v>0</v>
      </c>
      <c r="T1648" s="638">
        <v>0</v>
      </c>
      <c r="U1648" s="638">
        <v>0</v>
      </c>
      <c r="V1648" s="636">
        <v>2022</v>
      </c>
      <c r="W1648" s="640"/>
      <c r="X1648" s="641" t="str">
        <f t="shared" si="75"/>
        <v/>
      </c>
      <c r="Y1648" s="642" t="str">
        <f t="shared" si="76"/>
        <v/>
      </c>
      <c r="Z1648" s="642" t="str">
        <f t="shared" si="77"/>
        <v/>
      </c>
    </row>
    <row r="1649" spans="1:26" s="127" customFormat="1" ht="25">
      <c r="A1649" s="636">
        <v>61389</v>
      </c>
      <c r="B1649" s="637" t="s">
        <v>33</v>
      </c>
      <c r="C1649" s="636" t="s">
        <v>2725</v>
      </c>
      <c r="D1649" s="637" t="s">
        <v>2168</v>
      </c>
      <c r="E1649" s="637" t="s">
        <v>3053</v>
      </c>
      <c r="F1649" s="636">
        <v>60571</v>
      </c>
      <c r="G1649" s="637" t="s">
        <v>57</v>
      </c>
      <c r="H1649" s="637" t="s">
        <v>1162</v>
      </c>
      <c r="I1649" s="637" t="s">
        <v>58</v>
      </c>
      <c r="J1649" s="636">
        <v>22</v>
      </c>
      <c r="K1649" s="636">
        <v>2</v>
      </c>
      <c r="L1649" s="637" t="s">
        <v>52</v>
      </c>
      <c r="M1649" s="637" t="s">
        <v>441</v>
      </c>
      <c r="N1649" s="637" t="s">
        <v>442</v>
      </c>
      <c r="O1649" s="637" t="s">
        <v>442</v>
      </c>
      <c r="P1649" s="637" t="s">
        <v>1156</v>
      </c>
      <c r="Q1649" s="638">
        <v>0</v>
      </c>
      <c r="R1649" s="638">
        <v>0</v>
      </c>
      <c r="S1649" s="638">
        <v>6502</v>
      </c>
      <c r="T1649" s="638">
        <v>6502</v>
      </c>
      <c r="U1649" s="638">
        <v>1905</v>
      </c>
      <c r="V1649" s="636">
        <v>2022</v>
      </c>
      <c r="W1649" s="640"/>
      <c r="X1649" s="641">
        <f t="shared" si="75"/>
        <v>3.4131233595800525</v>
      </c>
      <c r="Y1649" s="642" t="str">
        <f t="shared" si="76"/>
        <v/>
      </c>
      <c r="Z1649" s="642" t="str">
        <f t="shared" si="77"/>
        <v/>
      </c>
    </row>
    <row r="1650" spans="1:26" s="127" customFormat="1" ht="25">
      <c r="A1650" s="636">
        <v>61398</v>
      </c>
      <c r="B1650" s="637" t="s">
        <v>33</v>
      </c>
      <c r="C1650" s="636" t="s">
        <v>2725</v>
      </c>
      <c r="D1650" s="637" t="s">
        <v>2029</v>
      </c>
      <c r="E1650" s="637" t="s">
        <v>2030</v>
      </c>
      <c r="F1650" s="636">
        <v>61025</v>
      </c>
      <c r="G1650" s="637" t="s">
        <v>41</v>
      </c>
      <c r="H1650" s="637" t="s">
        <v>1163</v>
      </c>
      <c r="I1650" s="637" t="s">
        <v>58</v>
      </c>
      <c r="J1650" s="636">
        <v>22</v>
      </c>
      <c r="K1650" s="636">
        <v>2</v>
      </c>
      <c r="L1650" s="637" t="s">
        <v>52</v>
      </c>
      <c r="M1650" s="637" t="s">
        <v>441</v>
      </c>
      <c r="N1650" s="637" t="s">
        <v>442</v>
      </c>
      <c r="O1650" s="637" t="s">
        <v>442</v>
      </c>
      <c r="P1650" s="637" t="s">
        <v>1156</v>
      </c>
      <c r="Q1650" s="638">
        <v>0</v>
      </c>
      <c r="R1650" s="638">
        <v>0</v>
      </c>
      <c r="S1650" s="638">
        <v>12822</v>
      </c>
      <c r="T1650" s="638">
        <v>12822</v>
      </c>
      <c r="U1650" s="638">
        <v>3758</v>
      </c>
      <c r="V1650" s="636">
        <v>2022</v>
      </c>
      <c r="W1650" s="640"/>
      <c r="X1650" s="641">
        <f t="shared" si="75"/>
        <v>3.411921234699308</v>
      </c>
      <c r="Y1650" s="642" t="str">
        <f t="shared" si="76"/>
        <v/>
      </c>
      <c r="Z1650" s="642" t="str">
        <f t="shared" si="77"/>
        <v/>
      </c>
    </row>
    <row r="1651" spans="1:26" s="127" customFormat="1" ht="25">
      <c r="A1651" s="636">
        <v>61399</v>
      </c>
      <c r="B1651" s="637" t="s">
        <v>33</v>
      </c>
      <c r="C1651" s="636" t="s">
        <v>2725</v>
      </c>
      <c r="D1651" s="637" t="s">
        <v>2169</v>
      </c>
      <c r="E1651" s="637" t="s">
        <v>2170</v>
      </c>
      <c r="F1651" s="636">
        <v>61028</v>
      </c>
      <c r="G1651" s="637" t="s">
        <v>81</v>
      </c>
      <c r="H1651" s="637" t="s">
        <v>1163</v>
      </c>
      <c r="I1651" s="637" t="s">
        <v>58</v>
      </c>
      <c r="J1651" s="636">
        <v>22</v>
      </c>
      <c r="K1651" s="636">
        <v>2</v>
      </c>
      <c r="L1651" s="637" t="s">
        <v>52</v>
      </c>
      <c r="M1651" s="637" t="s">
        <v>441</v>
      </c>
      <c r="N1651" s="637" t="s">
        <v>442</v>
      </c>
      <c r="O1651" s="637" t="s">
        <v>442</v>
      </c>
      <c r="P1651" s="637" t="s">
        <v>1156</v>
      </c>
      <c r="Q1651" s="638">
        <v>0</v>
      </c>
      <c r="R1651" s="638">
        <v>0</v>
      </c>
      <c r="S1651" s="638">
        <v>14399</v>
      </c>
      <c r="T1651" s="638">
        <v>14399</v>
      </c>
      <c r="U1651" s="638">
        <v>4220</v>
      </c>
      <c r="V1651" s="636">
        <v>2022</v>
      </c>
      <c r="W1651" s="640"/>
      <c r="X1651" s="641">
        <f t="shared" si="75"/>
        <v>3.4120853080568718</v>
      </c>
      <c r="Y1651" s="642" t="str">
        <f t="shared" si="76"/>
        <v/>
      </c>
      <c r="Z1651" s="642" t="str">
        <f t="shared" si="77"/>
        <v/>
      </c>
    </row>
    <row r="1652" spans="1:26" s="127" customFormat="1" ht="25">
      <c r="A1652" s="636">
        <v>61408</v>
      </c>
      <c r="B1652" s="637" t="s">
        <v>33</v>
      </c>
      <c r="C1652" s="636" t="s">
        <v>2725</v>
      </c>
      <c r="D1652" s="637" t="s">
        <v>2031</v>
      </c>
      <c r="E1652" s="637" t="s">
        <v>2032</v>
      </c>
      <c r="F1652" s="636">
        <v>61043</v>
      </c>
      <c r="G1652" s="637" t="s">
        <v>41</v>
      </c>
      <c r="H1652" s="637" t="s">
        <v>1163</v>
      </c>
      <c r="I1652" s="637" t="s">
        <v>58</v>
      </c>
      <c r="J1652" s="636">
        <v>22</v>
      </c>
      <c r="K1652" s="636">
        <v>2</v>
      </c>
      <c r="L1652" s="637" t="s">
        <v>52</v>
      </c>
      <c r="M1652" s="637" t="s">
        <v>441</v>
      </c>
      <c r="N1652" s="637" t="s">
        <v>442</v>
      </c>
      <c r="O1652" s="637" t="s">
        <v>442</v>
      </c>
      <c r="P1652" s="637" t="s">
        <v>1156</v>
      </c>
      <c r="Q1652" s="638">
        <v>0</v>
      </c>
      <c r="R1652" s="638">
        <v>0</v>
      </c>
      <c r="S1652" s="638">
        <v>6278</v>
      </c>
      <c r="T1652" s="638">
        <v>6278</v>
      </c>
      <c r="U1652" s="638">
        <v>1840</v>
      </c>
      <c r="V1652" s="636">
        <v>2022</v>
      </c>
      <c r="W1652" s="640"/>
      <c r="X1652" s="641">
        <f t="shared" si="75"/>
        <v>3.4119565217391306</v>
      </c>
      <c r="Y1652" s="642" t="str">
        <f t="shared" si="76"/>
        <v/>
      </c>
      <c r="Z1652" s="642" t="str">
        <f t="shared" si="77"/>
        <v/>
      </c>
    </row>
    <row r="1653" spans="1:26" s="127" customFormat="1" ht="37.5" hidden="1">
      <c r="A1653" s="636">
        <v>61413</v>
      </c>
      <c r="B1653" s="637" t="s">
        <v>33</v>
      </c>
      <c r="C1653" s="636" t="s">
        <v>2725</v>
      </c>
      <c r="D1653" s="637" t="s">
        <v>2033</v>
      </c>
      <c r="E1653" s="637" t="s">
        <v>2034</v>
      </c>
      <c r="F1653" s="636">
        <v>61049</v>
      </c>
      <c r="G1653" s="637" t="s">
        <v>57</v>
      </c>
      <c r="H1653" s="637" t="s">
        <v>1162</v>
      </c>
      <c r="I1653" s="637" t="s">
        <v>58</v>
      </c>
      <c r="J1653" s="636">
        <v>622</v>
      </c>
      <c r="K1653" s="636">
        <v>4</v>
      </c>
      <c r="L1653" s="637" t="s">
        <v>406</v>
      </c>
      <c r="M1653" s="637" t="s">
        <v>51</v>
      </c>
      <c r="N1653" s="637" t="s">
        <v>46</v>
      </c>
      <c r="O1653" s="637" t="s">
        <v>46</v>
      </c>
      <c r="P1653" s="637" t="s">
        <v>47</v>
      </c>
      <c r="Q1653" s="638">
        <v>503</v>
      </c>
      <c r="R1653" s="638">
        <v>503</v>
      </c>
      <c r="S1653" s="638">
        <v>2769</v>
      </c>
      <c r="T1653" s="638">
        <v>2769</v>
      </c>
      <c r="U1653" s="638">
        <v>326</v>
      </c>
      <c r="V1653" s="636">
        <v>2022</v>
      </c>
      <c r="W1653" s="640"/>
      <c r="X1653" s="641" t="str">
        <f t="shared" si="75"/>
        <v/>
      </c>
      <c r="Y1653" s="642" t="str">
        <f t="shared" si="76"/>
        <v/>
      </c>
      <c r="Z1653" s="642" t="str">
        <f t="shared" si="77"/>
        <v/>
      </c>
    </row>
    <row r="1654" spans="1:26" s="127" customFormat="1" ht="37.5" hidden="1">
      <c r="A1654" s="636">
        <v>61414</v>
      </c>
      <c r="B1654" s="637" t="s">
        <v>33</v>
      </c>
      <c r="C1654" s="636" t="s">
        <v>2725</v>
      </c>
      <c r="D1654" s="637" t="s">
        <v>2035</v>
      </c>
      <c r="E1654" s="637" t="s">
        <v>2036</v>
      </c>
      <c r="F1654" s="636">
        <v>61050</v>
      </c>
      <c r="G1654" s="637" t="s">
        <v>57</v>
      </c>
      <c r="H1654" s="637" t="s">
        <v>1162</v>
      </c>
      <c r="I1654" s="637" t="s">
        <v>58</v>
      </c>
      <c r="J1654" s="636">
        <v>323</v>
      </c>
      <c r="K1654" s="636">
        <v>6</v>
      </c>
      <c r="L1654" s="637" t="s">
        <v>404</v>
      </c>
      <c r="M1654" s="637" t="s">
        <v>51</v>
      </c>
      <c r="N1654" s="637" t="s">
        <v>46</v>
      </c>
      <c r="O1654" s="637" t="s">
        <v>46</v>
      </c>
      <c r="P1654" s="637" t="s">
        <v>47</v>
      </c>
      <c r="Q1654" s="638">
        <v>235</v>
      </c>
      <c r="R1654" s="638">
        <v>235</v>
      </c>
      <c r="S1654" s="638">
        <v>1295</v>
      </c>
      <c r="T1654" s="638">
        <v>1295</v>
      </c>
      <c r="U1654" s="638">
        <v>61</v>
      </c>
      <c r="V1654" s="636">
        <v>2022</v>
      </c>
      <c r="W1654" s="640"/>
      <c r="X1654" s="641" t="str">
        <f t="shared" si="75"/>
        <v/>
      </c>
      <c r="Y1654" s="642" t="str">
        <f t="shared" si="76"/>
        <v/>
      </c>
      <c r="Z1654" s="642" t="str">
        <f t="shared" si="77"/>
        <v/>
      </c>
    </row>
    <row r="1655" spans="1:26" s="127" customFormat="1" ht="25">
      <c r="A1655" s="636">
        <v>61415</v>
      </c>
      <c r="B1655" s="637" t="s">
        <v>33</v>
      </c>
      <c r="C1655" s="636" t="s">
        <v>2725</v>
      </c>
      <c r="D1655" s="637" t="s">
        <v>2037</v>
      </c>
      <c r="E1655" s="637" t="s">
        <v>2171</v>
      </c>
      <c r="F1655" s="636">
        <v>20326</v>
      </c>
      <c r="G1655" s="637" t="s">
        <v>81</v>
      </c>
      <c r="H1655" s="637" t="s">
        <v>1163</v>
      </c>
      <c r="I1655" s="637" t="s">
        <v>58</v>
      </c>
      <c r="J1655" s="636">
        <v>22</v>
      </c>
      <c r="K1655" s="636">
        <v>1</v>
      </c>
      <c r="L1655" s="637" t="s">
        <v>34</v>
      </c>
      <c r="M1655" s="637" t="s">
        <v>441</v>
      </c>
      <c r="N1655" s="637" t="s">
        <v>442</v>
      </c>
      <c r="O1655" s="637" t="s">
        <v>442</v>
      </c>
      <c r="P1655" s="637" t="s">
        <v>1156</v>
      </c>
      <c r="Q1655" s="638">
        <v>0</v>
      </c>
      <c r="R1655" s="638">
        <v>0</v>
      </c>
      <c r="S1655" s="638">
        <v>8526</v>
      </c>
      <c r="T1655" s="638">
        <v>8526</v>
      </c>
      <c r="U1655" s="638">
        <v>2499</v>
      </c>
      <c r="V1655" s="636">
        <v>2022</v>
      </c>
      <c r="W1655" s="640"/>
      <c r="X1655" s="641">
        <f t="shared" si="75"/>
        <v>3.4117647058823528</v>
      </c>
      <c r="Y1655" s="642" t="str">
        <f t="shared" si="76"/>
        <v/>
      </c>
      <c r="Z1655" s="642" t="str">
        <f t="shared" si="77"/>
        <v/>
      </c>
    </row>
    <row r="1656" spans="1:26" s="127" customFormat="1" ht="37.5" hidden="1">
      <c r="A1656" s="636">
        <v>61416</v>
      </c>
      <c r="B1656" s="637" t="s">
        <v>33</v>
      </c>
      <c r="C1656" s="636" t="s">
        <v>2725</v>
      </c>
      <c r="D1656" s="637" t="s">
        <v>2038</v>
      </c>
      <c r="E1656" s="637" t="s">
        <v>2038</v>
      </c>
      <c r="F1656" s="636">
        <v>61053</v>
      </c>
      <c r="G1656" s="637" t="s">
        <v>57</v>
      </c>
      <c r="H1656" s="637" t="s">
        <v>1162</v>
      </c>
      <c r="I1656" s="637" t="s">
        <v>58</v>
      </c>
      <c r="J1656" s="636">
        <v>622</v>
      </c>
      <c r="K1656" s="636">
        <v>4</v>
      </c>
      <c r="L1656" s="637" t="s">
        <v>406</v>
      </c>
      <c r="M1656" s="637" t="s">
        <v>51</v>
      </c>
      <c r="N1656" s="637" t="s">
        <v>46</v>
      </c>
      <c r="O1656" s="637" t="s">
        <v>46</v>
      </c>
      <c r="P1656" s="637" t="s">
        <v>47</v>
      </c>
      <c r="Q1656" s="638">
        <v>339</v>
      </c>
      <c r="R1656" s="638">
        <v>339</v>
      </c>
      <c r="S1656" s="638">
        <v>1867</v>
      </c>
      <c r="T1656" s="638">
        <v>1867</v>
      </c>
      <c r="U1656" s="638">
        <v>261</v>
      </c>
      <c r="V1656" s="636">
        <v>2022</v>
      </c>
      <c r="W1656" s="640"/>
      <c r="X1656" s="641" t="str">
        <f t="shared" si="75"/>
        <v/>
      </c>
      <c r="Y1656" s="642" t="str">
        <f t="shared" si="76"/>
        <v/>
      </c>
      <c r="Z1656" s="642" t="str">
        <f t="shared" si="77"/>
        <v/>
      </c>
    </row>
    <row r="1657" spans="1:26" s="127" customFormat="1" ht="25">
      <c r="A1657" s="636">
        <v>61429</v>
      </c>
      <c r="B1657" s="637" t="s">
        <v>33</v>
      </c>
      <c r="C1657" s="636" t="s">
        <v>2725</v>
      </c>
      <c r="D1657" s="637" t="s">
        <v>2309</v>
      </c>
      <c r="E1657" s="637" t="s">
        <v>1950</v>
      </c>
      <c r="F1657" s="636">
        <v>60281</v>
      </c>
      <c r="G1657" s="637" t="s">
        <v>81</v>
      </c>
      <c r="H1657" s="637" t="s">
        <v>1163</v>
      </c>
      <c r="I1657" s="637" t="s">
        <v>58</v>
      </c>
      <c r="J1657" s="636">
        <v>22</v>
      </c>
      <c r="K1657" s="636">
        <v>2</v>
      </c>
      <c r="L1657" s="637" t="s">
        <v>52</v>
      </c>
      <c r="M1657" s="637" t="s">
        <v>441</v>
      </c>
      <c r="N1657" s="637" t="s">
        <v>442</v>
      </c>
      <c r="O1657" s="637" t="s">
        <v>442</v>
      </c>
      <c r="P1657" s="637" t="s">
        <v>1156</v>
      </c>
      <c r="Q1657" s="638">
        <v>0</v>
      </c>
      <c r="R1657" s="638">
        <v>0</v>
      </c>
      <c r="S1657" s="638">
        <v>5402</v>
      </c>
      <c r="T1657" s="638">
        <v>5402</v>
      </c>
      <c r="U1657" s="638">
        <v>1583</v>
      </c>
      <c r="V1657" s="636">
        <v>2022</v>
      </c>
      <c r="W1657" s="640"/>
      <c r="X1657" s="641">
        <f t="shared" si="75"/>
        <v>3.4125078963992421</v>
      </c>
      <c r="Y1657" s="642" t="str">
        <f t="shared" si="76"/>
        <v/>
      </c>
      <c r="Z1657" s="642" t="str">
        <f t="shared" si="77"/>
        <v/>
      </c>
    </row>
    <row r="1658" spans="1:26" s="127" customFormat="1" ht="25">
      <c r="A1658" s="636">
        <v>61460</v>
      </c>
      <c r="B1658" s="637" t="s">
        <v>33</v>
      </c>
      <c r="C1658" s="636" t="s">
        <v>2725</v>
      </c>
      <c r="D1658" s="637" t="s">
        <v>2172</v>
      </c>
      <c r="E1658" s="637" t="s">
        <v>2173</v>
      </c>
      <c r="F1658" s="636">
        <v>61077</v>
      </c>
      <c r="G1658" s="637" t="s">
        <v>90</v>
      </c>
      <c r="H1658" s="637" t="s">
        <v>1163</v>
      </c>
      <c r="I1658" s="637" t="s">
        <v>58</v>
      </c>
      <c r="J1658" s="636">
        <v>22</v>
      </c>
      <c r="K1658" s="636">
        <v>2</v>
      </c>
      <c r="L1658" s="637" t="s">
        <v>52</v>
      </c>
      <c r="M1658" s="637" t="s">
        <v>441</v>
      </c>
      <c r="N1658" s="637" t="s">
        <v>442</v>
      </c>
      <c r="O1658" s="637" t="s">
        <v>442</v>
      </c>
      <c r="P1658" s="637" t="s">
        <v>1156</v>
      </c>
      <c r="Q1658" s="638">
        <v>0</v>
      </c>
      <c r="R1658" s="638">
        <v>0</v>
      </c>
      <c r="S1658" s="638">
        <v>21161</v>
      </c>
      <c r="T1658" s="638">
        <v>21161</v>
      </c>
      <c r="U1658" s="638">
        <v>6202</v>
      </c>
      <c r="V1658" s="636">
        <v>2022</v>
      </c>
      <c r="W1658" s="640"/>
      <c r="X1658" s="641">
        <f t="shared" si="75"/>
        <v>3.4119638826185104</v>
      </c>
      <c r="Y1658" s="642" t="str">
        <f t="shared" si="76"/>
        <v/>
      </c>
      <c r="Z1658" s="642" t="str">
        <f t="shared" si="77"/>
        <v/>
      </c>
    </row>
    <row r="1659" spans="1:26" s="127" customFormat="1" ht="25">
      <c r="A1659" s="636">
        <v>61461</v>
      </c>
      <c r="B1659" s="637" t="s">
        <v>33</v>
      </c>
      <c r="C1659" s="636" t="s">
        <v>2725</v>
      </c>
      <c r="D1659" s="637" t="s">
        <v>2310</v>
      </c>
      <c r="E1659" s="637" t="s">
        <v>3053</v>
      </c>
      <c r="F1659" s="636">
        <v>60571</v>
      </c>
      <c r="G1659" s="637" t="s">
        <v>130</v>
      </c>
      <c r="H1659" s="637" t="s">
        <v>1163</v>
      </c>
      <c r="I1659" s="637" t="s">
        <v>58</v>
      </c>
      <c r="J1659" s="636">
        <v>22</v>
      </c>
      <c r="K1659" s="636">
        <v>2</v>
      </c>
      <c r="L1659" s="637" t="s">
        <v>52</v>
      </c>
      <c r="M1659" s="637" t="s">
        <v>441</v>
      </c>
      <c r="N1659" s="637" t="s">
        <v>442</v>
      </c>
      <c r="O1659" s="637" t="s">
        <v>442</v>
      </c>
      <c r="P1659" s="637" t="s">
        <v>1156</v>
      </c>
      <c r="Q1659" s="638">
        <v>0</v>
      </c>
      <c r="R1659" s="638">
        <v>0</v>
      </c>
      <c r="S1659" s="638">
        <v>3924</v>
      </c>
      <c r="T1659" s="638">
        <v>3924</v>
      </c>
      <c r="U1659" s="638">
        <v>1150</v>
      </c>
      <c r="V1659" s="636">
        <v>2022</v>
      </c>
      <c r="W1659" s="640"/>
      <c r="X1659" s="641">
        <f t="shared" si="75"/>
        <v>3.4121739130434783</v>
      </c>
      <c r="Y1659" s="642" t="str">
        <f t="shared" si="76"/>
        <v/>
      </c>
      <c r="Z1659" s="642" t="str">
        <f t="shared" si="77"/>
        <v/>
      </c>
    </row>
    <row r="1660" spans="1:26" s="127" customFormat="1" ht="25">
      <c r="A1660" s="636">
        <v>61469</v>
      </c>
      <c r="B1660" s="637" t="s">
        <v>33</v>
      </c>
      <c r="C1660" s="636" t="s">
        <v>2725</v>
      </c>
      <c r="D1660" s="637" t="s">
        <v>2311</v>
      </c>
      <c r="E1660" s="637" t="s">
        <v>2166</v>
      </c>
      <c r="F1660" s="636">
        <v>61012</v>
      </c>
      <c r="G1660" s="637" t="s">
        <v>57</v>
      </c>
      <c r="H1660" s="637" t="s">
        <v>1162</v>
      </c>
      <c r="I1660" s="637" t="s">
        <v>58</v>
      </c>
      <c r="J1660" s="636">
        <v>22</v>
      </c>
      <c r="K1660" s="636">
        <v>2</v>
      </c>
      <c r="L1660" s="637" t="s">
        <v>52</v>
      </c>
      <c r="M1660" s="637" t="s">
        <v>441</v>
      </c>
      <c r="N1660" s="637" t="s">
        <v>442</v>
      </c>
      <c r="O1660" s="637" t="s">
        <v>442</v>
      </c>
      <c r="P1660" s="637" t="s">
        <v>1156</v>
      </c>
      <c r="Q1660" s="638">
        <v>0</v>
      </c>
      <c r="R1660" s="638">
        <v>0</v>
      </c>
      <c r="S1660" s="638">
        <v>7328</v>
      </c>
      <c r="T1660" s="638">
        <v>7328</v>
      </c>
      <c r="U1660" s="638">
        <v>2148</v>
      </c>
      <c r="V1660" s="636">
        <v>2022</v>
      </c>
      <c r="W1660" s="640"/>
      <c r="X1660" s="641">
        <f t="shared" si="75"/>
        <v>3.4115456238361266</v>
      </c>
      <c r="Y1660" s="642" t="str">
        <f t="shared" si="76"/>
        <v/>
      </c>
      <c r="Z1660" s="642" t="str">
        <f t="shared" si="77"/>
        <v/>
      </c>
    </row>
    <row r="1661" spans="1:26" s="127" customFormat="1" ht="25">
      <c r="A1661" s="636">
        <v>61470</v>
      </c>
      <c r="B1661" s="637" t="s">
        <v>33</v>
      </c>
      <c r="C1661" s="636" t="s">
        <v>2725</v>
      </c>
      <c r="D1661" s="637" t="s">
        <v>2312</v>
      </c>
      <c r="E1661" s="637" t="s">
        <v>2166</v>
      </c>
      <c r="F1661" s="636">
        <v>61012</v>
      </c>
      <c r="G1661" s="637" t="s">
        <v>57</v>
      </c>
      <c r="H1661" s="637" t="s">
        <v>1162</v>
      </c>
      <c r="I1661" s="637" t="s">
        <v>58</v>
      </c>
      <c r="J1661" s="636">
        <v>22</v>
      </c>
      <c r="K1661" s="636">
        <v>2</v>
      </c>
      <c r="L1661" s="637" t="s">
        <v>52</v>
      </c>
      <c r="M1661" s="637" t="s">
        <v>441</v>
      </c>
      <c r="N1661" s="637" t="s">
        <v>442</v>
      </c>
      <c r="O1661" s="637" t="s">
        <v>442</v>
      </c>
      <c r="P1661" s="637" t="s">
        <v>1156</v>
      </c>
      <c r="Q1661" s="638">
        <v>0</v>
      </c>
      <c r="R1661" s="638">
        <v>0</v>
      </c>
      <c r="S1661" s="638">
        <v>9290</v>
      </c>
      <c r="T1661" s="638">
        <v>9290</v>
      </c>
      <c r="U1661" s="638">
        <v>2723</v>
      </c>
      <c r="V1661" s="636">
        <v>2022</v>
      </c>
      <c r="W1661" s="640"/>
      <c r="X1661" s="641">
        <f t="shared" si="75"/>
        <v>3.4116782959970622</v>
      </c>
      <c r="Y1661" s="642" t="str">
        <f t="shared" si="76"/>
        <v/>
      </c>
      <c r="Z1661" s="642" t="str">
        <f t="shared" si="77"/>
        <v/>
      </c>
    </row>
    <row r="1662" spans="1:26" s="127" customFormat="1" ht="25">
      <c r="A1662" s="636">
        <v>61471</v>
      </c>
      <c r="B1662" s="637" t="s">
        <v>33</v>
      </c>
      <c r="C1662" s="636" t="s">
        <v>2725</v>
      </c>
      <c r="D1662" s="637" t="s">
        <v>2313</v>
      </c>
      <c r="E1662" s="637" t="s">
        <v>2166</v>
      </c>
      <c r="F1662" s="636">
        <v>61012</v>
      </c>
      <c r="G1662" s="637" t="s">
        <v>57</v>
      </c>
      <c r="H1662" s="637" t="s">
        <v>1162</v>
      </c>
      <c r="I1662" s="637" t="s">
        <v>58</v>
      </c>
      <c r="J1662" s="636">
        <v>22</v>
      </c>
      <c r="K1662" s="636">
        <v>2</v>
      </c>
      <c r="L1662" s="637" t="s">
        <v>52</v>
      </c>
      <c r="M1662" s="637" t="s">
        <v>441</v>
      </c>
      <c r="N1662" s="637" t="s">
        <v>442</v>
      </c>
      <c r="O1662" s="637" t="s">
        <v>442</v>
      </c>
      <c r="P1662" s="637" t="s">
        <v>1156</v>
      </c>
      <c r="Q1662" s="638">
        <v>0</v>
      </c>
      <c r="R1662" s="638">
        <v>0</v>
      </c>
      <c r="S1662" s="638">
        <v>10215</v>
      </c>
      <c r="T1662" s="638">
        <v>10215</v>
      </c>
      <c r="U1662" s="638">
        <v>2994</v>
      </c>
      <c r="V1662" s="636">
        <v>2022</v>
      </c>
      <c r="W1662" s="640"/>
      <c r="X1662" s="641">
        <f t="shared" si="75"/>
        <v>3.4118236472945891</v>
      </c>
      <c r="Y1662" s="642" t="str">
        <f t="shared" si="76"/>
        <v/>
      </c>
      <c r="Z1662" s="642" t="str">
        <f t="shared" si="77"/>
        <v/>
      </c>
    </row>
    <row r="1663" spans="1:26" s="127" customFormat="1" ht="25">
      <c r="A1663" s="636">
        <v>61487</v>
      </c>
      <c r="B1663" s="637" t="s">
        <v>33</v>
      </c>
      <c r="C1663" s="636" t="s">
        <v>2725</v>
      </c>
      <c r="D1663" s="637" t="s">
        <v>2174</v>
      </c>
      <c r="E1663" s="637" t="s">
        <v>2175</v>
      </c>
      <c r="F1663" s="636">
        <v>61093</v>
      </c>
      <c r="G1663" s="637" t="s">
        <v>57</v>
      </c>
      <c r="H1663" s="637" t="s">
        <v>1162</v>
      </c>
      <c r="I1663" s="637" t="s">
        <v>58</v>
      </c>
      <c r="J1663" s="636">
        <v>22</v>
      </c>
      <c r="K1663" s="636">
        <v>2</v>
      </c>
      <c r="L1663" s="637" t="s">
        <v>52</v>
      </c>
      <c r="M1663" s="637" t="s">
        <v>441</v>
      </c>
      <c r="N1663" s="637" t="s">
        <v>442</v>
      </c>
      <c r="O1663" s="637" t="s">
        <v>442</v>
      </c>
      <c r="P1663" s="637" t="s">
        <v>1156</v>
      </c>
      <c r="Q1663" s="638">
        <v>0</v>
      </c>
      <c r="R1663" s="638">
        <v>0</v>
      </c>
      <c r="S1663" s="638">
        <v>43796</v>
      </c>
      <c r="T1663" s="638">
        <v>43796</v>
      </c>
      <c r="U1663" s="638">
        <v>12836</v>
      </c>
      <c r="V1663" s="636">
        <v>2022</v>
      </c>
      <c r="W1663" s="640"/>
      <c r="X1663" s="641">
        <f t="shared" si="75"/>
        <v>3.4119663446556561</v>
      </c>
      <c r="Y1663" s="642" t="str">
        <f t="shared" si="76"/>
        <v/>
      </c>
      <c r="Z1663" s="642" t="str">
        <f t="shared" si="77"/>
        <v/>
      </c>
    </row>
    <row r="1664" spans="1:26" s="127" customFormat="1" ht="37.5" hidden="1">
      <c r="A1664" s="636">
        <v>61488</v>
      </c>
      <c r="B1664" s="637" t="s">
        <v>54</v>
      </c>
      <c r="C1664" s="636" t="s">
        <v>2725</v>
      </c>
      <c r="D1664" s="637" t="s">
        <v>2176</v>
      </c>
      <c r="E1664" s="637" t="s">
        <v>2176</v>
      </c>
      <c r="F1664" s="636">
        <v>61094</v>
      </c>
      <c r="G1664" s="637" t="s">
        <v>57</v>
      </c>
      <c r="H1664" s="637" t="s">
        <v>1162</v>
      </c>
      <c r="I1664" s="637" t="s">
        <v>58</v>
      </c>
      <c r="J1664" s="636">
        <v>622</v>
      </c>
      <c r="K1664" s="636">
        <v>5</v>
      </c>
      <c r="L1664" s="637" t="s">
        <v>407</v>
      </c>
      <c r="M1664" s="637" t="s">
        <v>50</v>
      </c>
      <c r="N1664" s="637" t="s">
        <v>39</v>
      </c>
      <c r="O1664" s="637" t="s">
        <v>39</v>
      </c>
      <c r="P1664" s="637" t="s">
        <v>1020</v>
      </c>
      <c r="Q1664" s="638">
        <v>839587</v>
      </c>
      <c r="R1664" s="638">
        <v>595289</v>
      </c>
      <c r="S1664" s="638">
        <v>864775</v>
      </c>
      <c r="T1664" s="638">
        <v>613148</v>
      </c>
      <c r="U1664" s="638">
        <v>51216</v>
      </c>
      <c r="V1664" s="636">
        <v>2022</v>
      </c>
      <c r="W1664" s="640"/>
      <c r="X1664" s="641" t="str">
        <f t="shared" si="75"/>
        <v/>
      </c>
      <c r="Y1664" s="642">
        <f t="shared" si="76"/>
        <v>6.4941769999759691</v>
      </c>
      <c r="Z1664" s="642" t="str">
        <f t="shared" si="77"/>
        <v/>
      </c>
    </row>
    <row r="1665" spans="1:26" s="127" customFormat="1" ht="37.5" hidden="1">
      <c r="A1665" s="636">
        <v>61488</v>
      </c>
      <c r="B1665" s="637" t="s">
        <v>54</v>
      </c>
      <c r="C1665" s="636" t="s">
        <v>2725</v>
      </c>
      <c r="D1665" s="637" t="s">
        <v>2176</v>
      </c>
      <c r="E1665" s="637" t="s">
        <v>2176</v>
      </c>
      <c r="F1665" s="636">
        <v>61094</v>
      </c>
      <c r="G1665" s="637" t="s">
        <v>57</v>
      </c>
      <c r="H1665" s="637" t="s">
        <v>1162</v>
      </c>
      <c r="I1665" s="637" t="s">
        <v>58</v>
      </c>
      <c r="J1665" s="636">
        <v>622</v>
      </c>
      <c r="K1665" s="636">
        <v>5</v>
      </c>
      <c r="L1665" s="637" t="s">
        <v>407</v>
      </c>
      <c r="M1665" s="637" t="s">
        <v>51</v>
      </c>
      <c r="N1665" s="637" t="s">
        <v>46</v>
      </c>
      <c r="O1665" s="637" t="s">
        <v>46</v>
      </c>
      <c r="P1665" s="637" t="s">
        <v>47</v>
      </c>
      <c r="Q1665" s="638">
        <v>280</v>
      </c>
      <c r="R1665" s="638">
        <v>280</v>
      </c>
      <c r="S1665" s="638">
        <v>1543</v>
      </c>
      <c r="T1665" s="638">
        <v>1543</v>
      </c>
      <c r="U1665" s="638">
        <v>214</v>
      </c>
      <c r="V1665" s="636">
        <v>2022</v>
      </c>
      <c r="W1665" s="640"/>
      <c r="X1665" s="641" t="str">
        <f t="shared" si="75"/>
        <v/>
      </c>
      <c r="Y1665" s="642" t="str">
        <f t="shared" si="76"/>
        <v/>
      </c>
      <c r="Z1665" s="642" t="str">
        <f t="shared" si="77"/>
        <v/>
      </c>
    </row>
    <row r="1666" spans="1:26" s="127" customFormat="1" ht="25">
      <c r="A1666" s="636">
        <v>61499</v>
      </c>
      <c r="B1666" s="637" t="s">
        <v>33</v>
      </c>
      <c r="C1666" s="636" t="s">
        <v>2725</v>
      </c>
      <c r="D1666" s="637" t="s">
        <v>2177</v>
      </c>
      <c r="E1666" s="637" t="s">
        <v>1108</v>
      </c>
      <c r="F1666" s="636">
        <v>56769</v>
      </c>
      <c r="G1666" s="637" t="s">
        <v>130</v>
      </c>
      <c r="H1666" s="637" t="s">
        <v>1163</v>
      </c>
      <c r="I1666" s="637" t="s">
        <v>58</v>
      </c>
      <c r="J1666" s="636">
        <v>22</v>
      </c>
      <c r="K1666" s="636">
        <v>2</v>
      </c>
      <c r="L1666" s="637" t="s">
        <v>52</v>
      </c>
      <c r="M1666" s="637" t="s">
        <v>441</v>
      </c>
      <c r="N1666" s="637" t="s">
        <v>442</v>
      </c>
      <c r="O1666" s="637" t="s">
        <v>442</v>
      </c>
      <c r="P1666" s="637" t="s">
        <v>1156</v>
      </c>
      <c r="Q1666" s="638">
        <v>0</v>
      </c>
      <c r="R1666" s="638">
        <v>0</v>
      </c>
      <c r="S1666" s="638">
        <v>11449</v>
      </c>
      <c r="T1666" s="638">
        <v>11449</v>
      </c>
      <c r="U1666" s="638">
        <v>3356</v>
      </c>
      <c r="V1666" s="636">
        <v>2022</v>
      </c>
      <c r="W1666" s="640"/>
      <c r="X1666" s="641">
        <f t="shared" si="75"/>
        <v>3.4115017878426697</v>
      </c>
      <c r="Y1666" s="642" t="str">
        <f t="shared" si="76"/>
        <v/>
      </c>
      <c r="Z1666" s="642" t="str">
        <f t="shared" si="77"/>
        <v/>
      </c>
    </row>
    <row r="1667" spans="1:26" s="127" customFormat="1" ht="25">
      <c r="A1667" s="636">
        <v>61509</v>
      </c>
      <c r="B1667" s="637" t="s">
        <v>33</v>
      </c>
      <c r="C1667" s="636" t="s">
        <v>2725</v>
      </c>
      <c r="D1667" s="637" t="s">
        <v>2178</v>
      </c>
      <c r="E1667" s="637" t="s">
        <v>2166</v>
      </c>
      <c r="F1667" s="636">
        <v>61012</v>
      </c>
      <c r="G1667" s="637" t="s">
        <v>57</v>
      </c>
      <c r="H1667" s="637" t="s">
        <v>1162</v>
      </c>
      <c r="I1667" s="637" t="s">
        <v>58</v>
      </c>
      <c r="J1667" s="636">
        <v>22</v>
      </c>
      <c r="K1667" s="636">
        <v>2</v>
      </c>
      <c r="L1667" s="637" t="s">
        <v>52</v>
      </c>
      <c r="M1667" s="637" t="s">
        <v>441</v>
      </c>
      <c r="N1667" s="637" t="s">
        <v>442</v>
      </c>
      <c r="O1667" s="637" t="s">
        <v>442</v>
      </c>
      <c r="P1667" s="637" t="s">
        <v>1156</v>
      </c>
      <c r="Q1667" s="638">
        <v>0</v>
      </c>
      <c r="R1667" s="638">
        <v>0</v>
      </c>
      <c r="S1667" s="638">
        <v>16779</v>
      </c>
      <c r="T1667" s="638">
        <v>16779</v>
      </c>
      <c r="U1667" s="638">
        <v>4918</v>
      </c>
      <c r="V1667" s="636">
        <v>2022</v>
      </c>
      <c r="W1667" s="640"/>
      <c r="X1667" s="641">
        <f t="shared" si="75"/>
        <v>3.4117527450183003</v>
      </c>
      <c r="Y1667" s="642" t="str">
        <f t="shared" si="76"/>
        <v/>
      </c>
      <c r="Z1667" s="642" t="str">
        <f t="shared" si="77"/>
        <v/>
      </c>
    </row>
    <row r="1668" spans="1:26" s="127" customFormat="1" ht="25">
      <c r="A1668" s="636">
        <v>61510</v>
      </c>
      <c r="B1668" s="637" t="s">
        <v>33</v>
      </c>
      <c r="C1668" s="636" t="s">
        <v>2725</v>
      </c>
      <c r="D1668" s="637" t="s">
        <v>2179</v>
      </c>
      <c r="E1668" s="637" t="s">
        <v>2166</v>
      </c>
      <c r="F1668" s="636">
        <v>61012</v>
      </c>
      <c r="G1668" s="637" t="s">
        <v>57</v>
      </c>
      <c r="H1668" s="637" t="s">
        <v>1162</v>
      </c>
      <c r="I1668" s="637" t="s">
        <v>58</v>
      </c>
      <c r="J1668" s="636">
        <v>22</v>
      </c>
      <c r="K1668" s="636">
        <v>2</v>
      </c>
      <c r="L1668" s="637" t="s">
        <v>52</v>
      </c>
      <c r="M1668" s="637" t="s">
        <v>441</v>
      </c>
      <c r="N1668" s="637" t="s">
        <v>442</v>
      </c>
      <c r="O1668" s="637" t="s">
        <v>442</v>
      </c>
      <c r="P1668" s="637" t="s">
        <v>1156</v>
      </c>
      <c r="Q1668" s="638">
        <v>0</v>
      </c>
      <c r="R1668" s="638">
        <v>0</v>
      </c>
      <c r="S1668" s="638">
        <v>31974</v>
      </c>
      <c r="T1668" s="638">
        <v>31974</v>
      </c>
      <c r="U1668" s="638">
        <v>9371</v>
      </c>
      <c r="V1668" s="636">
        <v>2022</v>
      </c>
      <c r="W1668" s="640"/>
      <c r="X1668" s="641">
        <f t="shared" si="75"/>
        <v>3.4120157934051862</v>
      </c>
      <c r="Y1668" s="642" t="str">
        <f t="shared" si="76"/>
        <v/>
      </c>
      <c r="Z1668" s="642" t="str">
        <f t="shared" si="77"/>
        <v/>
      </c>
    </row>
    <row r="1669" spans="1:26" s="127" customFormat="1" ht="25">
      <c r="A1669" s="636">
        <v>61518</v>
      </c>
      <c r="B1669" s="637" t="s">
        <v>33</v>
      </c>
      <c r="C1669" s="636" t="s">
        <v>2725</v>
      </c>
      <c r="D1669" s="637" t="s">
        <v>2180</v>
      </c>
      <c r="E1669" s="637" t="s">
        <v>1731</v>
      </c>
      <c r="F1669" s="636">
        <v>59254</v>
      </c>
      <c r="G1669" s="637" t="s">
        <v>81</v>
      </c>
      <c r="H1669" s="637" t="s">
        <v>1163</v>
      </c>
      <c r="I1669" s="637" t="s">
        <v>58</v>
      </c>
      <c r="J1669" s="636">
        <v>22</v>
      </c>
      <c r="K1669" s="636">
        <v>2</v>
      </c>
      <c r="L1669" s="637" t="s">
        <v>52</v>
      </c>
      <c r="M1669" s="637" t="s">
        <v>441</v>
      </c>
      <c r="N1669" s="637" t="s">
        <v>442</v>
      </c>
      <c r="O1669" s="637" t="s">
        <v>442</v>
      </c>
      <c r="P1669" s="637" t="s">
        <v>1156</v>
      </c>
      <c r="Q1669" s="638">
        <v>0</v>
      </c>
      <c r="R1669" s="638">
        <v>0</v>
      </c>
      <c r="S1669" s="638">
        <v>8506</v>
      </c>
      <c r="T1669" s="638">
        <v>8506</v>
      </c>
      <c r="U1669" s="638">
        <v>2493</v>
      </c>
      <c r="V1669" s="636">
        <v>2022</v>
      </c>
      <c r="W1669" s="640"/>
      <c r="X1669" s="641">
        <f t="shared" si="75"/>
        <v>3.4119534697152027</v>
      </c>
      <c r="Y1669" s="642" t="str">
        <f t="shared" si="76"/>
        <v/>
      </c>
      <c r="Z1669" s="642" t="str">
        <f t="shared" si="77"/>
        <v/>
      </c>
    </row>
    <row r="1670" spans="1:26" s="127" customFormat="1" ht="25">
      <c r="A1670" s="636">
        <v>61526</v>
      </c>
      <c r="B1670" s="637" t="s">
        <v>33</v>
      </c>
      <c r="C1670" s="636" t="s">
        <v>2725</v>
      </c>
      <c r="D1670" s="637" t="s">
        <v>2314</v>
      </c>
      <c r="E1670" s="637" t="s">
        <v>2113</v>
      </c>
      <c r="F1670" s="636">
        <v>61060</v>
      </c>
      <c r="G1670" s="637" t="s">
        <v>81</v>
      </c>
      <c r="H1670" s="637" t="s">
        <v>1163</v>
      </c>
      <c r="I1670" s="637" t="s">
        <v>58</v>
      </c>
      <c r="J1670" s="636">
        <v>22</v>
      </c>
      <c r="K1670" s="636">
        <v>2</v>
      </c>
      <c r="L1670" s="637" t="s">
        <v>52</v>
      </c>
      <c r="M1670" s="637" t="s">
        <v>441</v>
      </c>
      <c r="N1670" s="637" t="s">
        <v>442</v>
      </c>
      <c r="O1670" s="637" t="s">
        <v>442</v>
      </c>
      <c r="P1670" s="637" t="s">
        <v>1156</v>
      </c>
      <c r="Q1670" s="638">
        <v>0</v>
      </c>
      <c r="R1670" s="638">
        <v>0</v>
      </c>
      <c r="S1670" s="638">
        <v>5184</v>
      </c>
      <c r="T1670" s="638">
        <v>5184</v>
      </c>
      <c r="U1670" s="638">
        <v>1519</v>
      </c>
      <c r="V1670" s="636">
        <v>2022</v>
      </c>
      <c r="W1670" s="640"/>
      <c r="X1670" s="641">
        <f t="shared" si="75"/>
        <v>3.4127715602369979</v>
      </c>
      <c r="Y1670" s="642" t="str">
        <f t="shared" si="76"/>
        <v/>
      </c>
      <c r="Z1670" s="642" t="str">
        <f t="shared" si="77"/>
        <v/>
      </c>
    </row>
    <row r="1671" spans="1:26" s="127" customFormat="1" ht="25">
      <c r="A1671" s="636">
        <v>61537</v>
      </c>
      <c r="B1671" s="637" t="s">
        <v>33</v>
      </c>
      <c r="C1671" s="636" t="s">
        <v>2725</v>
      </c>
      <c r="D1671" s="637" t="s">
        <v>2181</v>
      </c>
      <c r="E1671" s="637" t="s">
        <v>2182</v>
      </c>
      <c r="F1671" s="636">
        <v>61146</v>
      </c>
      <c r="G1671" s="637" t="s">
        <v>81</v>
      </c>
      <c r="H1671" s="637" t="s">
        <v>1163</v>
      </c>
      <c r="I1671" s="637" t="s">
        <v>58</v>
      </c>
      <c r="J1671" s="636">
        <v>22</v>
      </c>
      <c r="K1671" s="636">
        <v>2</v>
      </c>
      <c r="L1671" s="637" t="s">
        <v>52</v>
      </c>
      <c r="M1671" s="637" t="s">
        <v>441</v>
      </c>
      <c r="N1671" s="637" t="s">
        <v>442</v>
      </c>
      <c r="O1671" s="637" t="s">
        <v>442</v>
      </c>
      <c r="P1671" s="637" t="s">
        <v>1156</v>
      </c>
      <c r="Q1671" s="638">
        <v>0</v>
      </c>
      <c r="R1671" s="638">
        <v>0</v>
      </c>
      <c r="S1671" s="638">
        <v>10710</v>
      </c>
      <c r="T1671" s="638">
        <v>10710</v>
      </c>
      <c r="U1671" s="638">
        <v>3139</v>
      </c>
      <c r="V1671" s="636">
        <v>2022</v>
      </c>
      <c r="W1671" s="640"/>
      <c r="X1671" s="641">
        <f t="shared" si="75"/>
        <v>3.4119146224912393</v>
      </c>
      <c r="Y1671" s="642" t="str">
        <f t="shared" si="76"/>
        <v/>
      </c>
      <c r="Z1671" s="642" t="str">
        <f t="shared" si="77"/>
        <v/>
      </c>
    </row>
    <row r="1672" spans="1:26" s="127" customFormat="1" ht="25">
      <c r="A1672" s="636">
        <v>61538</v>
      </c>
      <c r="B1672" s="637" t="s">
        <v>33</v>
      </c>
      <c r="C1672" s="636" t="s">
        <v>2725</v>
      </c>
      <c r="D1672" s="637" t="s">
        <v>2183</v>
      </c>
      <c r="E1672" s="637" t="s">
        <v>2184</v>
      </c>
      <c r="F1672" s="636">
        <v>61147</v>
      </c>
      <c r="G1672" s="637" t="s">
        <v>81</v>
      </c>
      <c r="H1672" s="637" t="s">
        <v>1163</v>
      </c>
      <c r="I1672" s="637" t="s">
        <v>58</v>
      </c>
      <c r="J1672" s="636">
        <v>22</v>
      </c>
      <c r="K1672" s="636">
        <v>2</v>
      </c>
      <c r="L1672" s="637" t="s">
        <v>52</v>
      </c>
      <c r="M1672" s="637" t="s">
        <v>441</v>
      </c>
      <c r="N1672" s="637" t="s">
        <v>442</v>
      </c>
      <c r="O1672" s="637" t="s">
        <v>442</v>
      </c>
      <c r="P1672" s="637" t="s">
        <v>1156</v>
      </c>
      <c r="Q1672" s="638">
        <v>0</v>
      </c>
      <c r="R1672" s="638">
        <v>0</v>
      </c>
      <c r="S1672" s="638">
        <v>5402</v>
      </c>
      <c r="T1672" s="638">
        <v>5402</v>
      </c>
      <c r="U1672" s="638">
        <v>1583</v>
      </c>
      <c r="V1672" s="636">
        <v>2022</v>
      </c>
      <c r="W1672" s="640"/>
      <c r="X1672" s="641">
        <f t="shared" ref="X1672:X1735" si="78">IF(OR(K1672&gt;3,T1672=0,NOT(U1672&gt;0)),"",T1672/U1672)</f>
        <v>3.4125078963992421</v>
      </c>
      <c r="Y1672" s="642" t="str">
        <f t="shared" ref="Y1672:Y1735" si="79">IF(AND($M1672=$Y$2,$N1672=$Y$3,NOT($Q1672=$R1672),NOT($U1672=0)),IF($K1672=5,$S1672/($U1672+(8/5)*$U1672),IF($K1672=7,$S1672/($U1672+(29/25)*$U1672),"")),"")</f>
        <v/>
      </c>
      <c r="Z1672" s="642" t="str">
        <f t="shared" si="77"/>
        <v/>
      </c>
    </row>
    <row r="1673" spans="1:26" s="127" customFormat="1" ht="25">
      <c r="A1673" s="636">
        <v>61539</v>
      </c>
      <c r="B1673" s="637" t="s">
        <v>33</v>
      </c>
      <c r="C1673" s="636" t="s">
        <v>2725</v>
      </c>
      <c r="D1673" s="637" t="s">
        <v>2185</v>
      </c>
      <c r="E1673" s="637" t="s">
        <v>2186</v>
      </c>
      <c r="F1673" s="636">
        <v>61148</v>
      </c>
      <c r="G1673" s="637" t="s">
        <v>81</v>
      </c>
      <c r="H1673" s="637" t="s">
        <v>1163</v>
      </c>
      <c r="I1673" s="637" t="s">
        <v>58</v>
      </c>
      <c r="J1673" s="636">
        <v>22</v>
      </c>
      <c r="K1673" s="636">
        <v>2</v>
      </c>
      <c r="L1673" s="637" t="s">
        <v>52</v>
      </c>
      <c r="M1673" s="637" t="s">
        <v>441</v>
      </c>
      <c r="N1673" s="637" t="s">
        <v>442</v>
      </c>
      <c r="O1673" s="637" t="s">
        <v>442</v>
      </c>
      <c r="P1673" s="637" t="s">
        <v>1156</v>
      </c>
      <c r="Q1673" s="638">
        <v>0</v>
      </c>
      <c r="R1673" s="638">
        <v>0</v>
      </c>
      <c r="S1673" s="638">
        <v>11179</v>
      </c>
      <c r="T1673" s="638">
        <v>11179</v>
      </c>
      <c r="U1673" s="638">
        <v>3276</v>
      </c>
      <c r="V1673" s="636">
        <v>2022</v>
      </c>
      <c r="W1673" s="640"/>
      <c r="X1673" s="641">
        <f t="shared" si="78"/>
        <v>3.4123931623931623</v>
      </c>
      <c r="Y1673" s="642" t="str">
        <f t="shared" si="79"/>
        <v/>
      </c>
      <c r="Z1673" s="642" t="str">
        <f t="shared" si="77"/>
        <v/>
      </c>
    </row>
    <row r="1674" spans="1:26" s="127" customFormat="1" ht="25">
      <c r="A1674" s="636">
        <v>61541</v>
      </c>
      <c r="B1674" s="637" t="s">
        <v>33</v>
      </c>
      <c r="C1674" s="636" t="s">
        <v>2725</v>
      </c>
      <c r="D1674" s="637" t="s">
        <v>2315</v>
      </c>
      <c r="E1674" s="637" t="s">
        <v>1883</v>
      </c>
      <c r="F1674" s="636">
        <v>60947</v>
      </c>
      <c r="G1674" s="637" t="s">
        <v>41</v>
      </c>
      <c r="H1674" s="637" t="s">
        <v>1163</v>
      </c>
      <c r="I1674" s="637" t="s">
        <v>58</v>
      </c>
      <c r="J1674" s="636">
        <v>22</v>
      </c>
      <c r="K1674" s="636">
        <v>2</v>
      </c>
      <c r="L1674" s="637" t="s">
        <v>52</v>
      </c>
      <c r="M1674" s="637" t="s">
        <v>441</v>
      </c>
      <c r="N1674" s="637" t="s">
        <v>442</v>
      </c>
      <c r="O1674" s="637" t="s">
        <v>442</v>
      </c>
      <c r="P1674" s="637" t="s">
        <v>1156</v>
      </c>
      <c r="Q1674" s="638">
        <v>0</v>
      </c>
      <c r="R1674" s="638">
        <v>0</v>
      </c>
      <c r="S1674" s="638">
        <v>17412</v>
      </c>
      <c r="T1674" s="638">
        <v>17412</v>
      </c>
      <c r="U1674" s="638">
        <v>5103</v>
      </c>
      <c r="V1674" s="636">
        <v>2022</v>
      </c>
      <c r="W1674" s="640"/>
      <c r="X1674" s="641">
        <f t="shared" si="78"/>
        <v>3.4121105232216342</v>
      </c>
      <c r="Y1674" s="642" t="str">
        <f t="shared" si="79"/>
        <v/>
      </c>
      <c r="Z1674" s="642" t="str">
        <f t="shared" si="77"/>
        <v/>
      </c>
    </row>
    <row r="1675" spans="1:26" s="127" customFormat="1" ht="25">
      <c r="A1675" s="636">
        <v>61550</v>
      </c>
      <c r="B1675" s="637" t="s">
        <v>33</v>
      </c>
      <c r="C1675" s="636" t="s">
        <v>2725</v>
      </c>
      <c r="D1675" s="637" t="s">
        <v>2756</v>
      </c>
      <c r="E1675" s="637" t="s">
        <v>3290</v>
      </c>
      <c r="F1675" s="636">
        <v>64647</v>
      </c>
      <c r="G1675" s="637" t="s">
        <v>81</v>
      </c>
      <c r="H1675" s="637" t="s">
        <v>1163</v>
      </c>
      <c r="I1675" s="637" t="s">
        <v>58</v>
      </c>
      <c r="J1675" s="636">
        <v>22</v>
      </c>
      <c r="K1675" s="636">
        <v>2</v>
      </c>
      <c r="L1675" s="637" t="s">
        <v>52</v>
      </c>
      <c r="M1675" s="637" t="s">
        <v>441</v>
      </c>
      <c r="N1675" s="637" t="s">
        <v>442</v>
      </c>
      <c r="O1675" s="637" t="s">
        <v>442</v>
      </c>
      <c r="P1675" s="637" t="s">
        <v>1156</v>
      </c>
      <c r="Q1675" s="638">
        <v>0</v>
      </c>
      <c r="R1675" s="638">
        <v>0</v>
      </c>
      <c r="S1675" s="638">
        <v>18820</v>
      </c>
      <c r="T1675" s="638">
        <v>18820</v>
      </c>
      <c r="U1675" s="638">
        <v>5516</v>
      </c>
      <c r="V1675" s="636">
        <v>2022</v>
      </c>
      <c r="W1675" s="640"/>
      <c r="X1675" s="641">
        <f t="shared" si="78"/>
        <v>3.4118926758520667</v>
      </c>
      <c r="Y1675" s="642" t="str">
        <f t="shared" si="79"/>
        <v/>
      </c>
      <c r="Z1675" s="642" t="str">
        <f t="shared" si="77"/>
        <v/>
      </c>
    </row>
    <row r="1676" spans="1:26" s="127" customFormat="1" ht="37.5" hidden="1">
      <c r="A1676" s="636">
        <v>61551</v>
      </c>
      <c r="B1676" s="637" t="s">
        <v>33</v>
      </c>
      <c r="C1676" s="636" t="s">
        <v>2725</v>
      </c>
      <c r="D1676" s="637" t="s">
        <v>2187</v>
      </c>
      <c r="E1676" s="637" t="s">
        <v>2187</v>
      </c>
      <c r="F1676" s="636">
        <v>61152</v>
      </c>
      <c r="G1676" s="637" t="s">
        <v>57</v>
      </c>
      <c r="H1676" s="637" t="s">
        <v>1162</v>
      </c>
      <c r="I1676" s="637" t="s">
        <v>58</v>
      </c>
      <c r="J1676" s="636">
        <v>622</v>
      </c>
      <c r="K1676" s="636">
        <v>4</v>
      </c>
      <c r="L1676" s="637" t="s">
        <v>406</v>
      </c>
      <c r="M1676" s="637" t="s">
        <v>51</v>
      </c>
      <c r="N1676" s="637" t="s">
        <v>46</v>
      </c>
      <c r="O1676" s="637" t="s">
        <v>46</v>
      </c>
      <c r="P1676" s="637" t="s">
        <v>47</v>
      </c>
      <c r="Q1676" s="638">
        <v>23</v>
      </c>
      <c r="R1676" s="638">
        <v>23</v>
      </c>
      <c r="S1676" s="638">
        <v>127</v>
      </c>
      <c r="T1676" s="638">
        <v>127</v>
      </c>
      <c r="U1676" s="638">
        <v>19.641999999999999</v>
      </c>
      <c r="V1676" s="636">
        <v>2022</v>
      </c>
      <c r="W1676" s="640"/>
      <c r="X1676" s="641" t="str">
        <f t="shared" si="78"/>
        <v/>
      </c>
      <c r="Y1676" s="642" t="str">
        <f t="shared" si="79"/>
        <v/>
      </c>
      <c r="Z1676" s="642" t="str">
        <f t="shared" si="77"/>
        <v/>
      </c>
    </row>
    <row r="1677" spans="1:26" s="127" customFormat="1" ht="37.5" hidden="1">
      <c r="A1677" s="636">
        <v>61551</v>
      </c>
      <c r="B1677" s="637" t="s">
        <v>33</v>
      </c>
      <c r="C1677" s="636" t="s">
        <v>2725</v>
      </c>
      <c r="D1677" s="637" t="s">
        <v>2187</v>
      </c>
      <c r="E1677" s="637" t="s">
        <v>2187</v>
      </c>
      <c r="F1677" s="636">
        <v>61152</v>
      </c>
      <c r="G1677" s="637" t="s">
        <v>57</v>
      </c>
      <c r="H1677" s="637" t="s">
        <v>1162</v>
      </c>
      <c r="I1677" s="637" t="s">
        <v>58</v>
      </c>
      <c r="J1677" s="636">
        <v>622</v>
      </c>
      <c r="K1677" s="636">
        <v>4</v>
      </c>
      <c r="L1677" s="637" t="s">
        <v>406</v>
      </c>
      <c r="M1677" s="637" t="s">
        <v>51</v>
      </c>
      <c r="N1677" s="637" t="s">
        <v>39</v>
      </c>
      <c r="O1677" s="637" t="s">
        <v>39</v>
      </c>
      <c r="P1677" s="637" t="s">
        <v>1020</v>
      </c>
      <c r="Q1677" s="638">
        <v>21</v>
      </c>
      <c r="R1677" s="638">
        <v>21</v>
      </c>
      <c r="S1677" s="638">
        <v>21</v>
      </c>
      <c r="T1677" s="638">
        <v>21</v>
      </c>
      <c r="U1677" s="638">
        <v>3.3580000000000001</v>
      </c>
      <c r="V1677" s="636">
        <v>2022</v>
      </c>
      <c r="W1677" s="640"/>
      <c r="X1677" s="641" t="str">
        <f t="shared" si="78"/>
        <v/>
      </c>
      <c r="Y1677" s="642" t="str">
        <f t="shared" si="79"/>
        <v/>
      </c>
      <c r="Z1677" s="642" t="str">
        <f t="shared" si="77"/>
        <v/>
      </c>
    </row>
    <row r="1678" spans="1:26" s="127" customFormat="1" ht="25">
      <c r="A1678" s="636">
        <v>61555</v>
      </c>
      <c r="B1678" s="637" t="s">
        <v>33</v>
      </c>
      <c r="C1678" s="636" t="s">
        <v>2725</v>
      </c>
      <c r="D1678" s="637" t="s">
        <v>2757</v>
      </c>
      <c r="E1678" s="637" t="s">
        <v>2757</v>
      </c>
      <c r="F1678" s="636">
        <v>64638</v>
      </c>
      <c r="G1678" s="637" t="s">
        <v>81</v>
      </c>
      <c r="H1678" s="637" t="s">
        <v>1163</v>
      </c>
      <c r="I1678" s="637" t="s">
        <v>58</v>
      </c>
      <c r="J1678" s="636">
        <v>22</v>
      </c>
      <c r="K1678" s="636">
        <v>2</v>
      </c>
      <c r="L1678" s="637" t="s">
        <v>52</v>
      </c>
      <c r="M1678" s="637" t="s">
        <v>441</v>
      </c>
      <c r="N1678" s="637" t="s">
        <v>442</v>
      </c>
      <c r="O1678" s="637" t="s">
        <v>442</v>
      </c>
      <c r="P1678" s="637" t="s">
        <v>1156</v>
      </c>
      <c r="Q1678" s="638">
        <v>0</v>
      </c>
      <c r="R1678" s="638">
        <v>0</v>
      </c>
      <c r="S1678" s="638">
        <v>23631</v>
      </c>
      <c r="T1678" s="638">
        <v>23631</v>
      </c>
      <c r="U1678" s="638">
        <v>6926</v>
      </c>
      <c r="V1678" s="636">
        <v>2022</v>
      </c>
      <c r="W1678" s="640"/>
      <c r="X1678" s="641">
        <f t="shared" si="78"/>
        <v>3.4119260756569449</v>
      </c>
      <c r="Y1678" s="642" t="str">
        <f t="shared" si="79"/>
        <v/>
      </c>
      <c r="Z1678" s="642" t="str">
        <f t="shared" si="77"/>
        <v/>
      </c>
    </row>
    <row r="1679" spans="1:26" s="127" customFormat="1" ht="25">
      <c r="A1679" s="636">
        <v>61562</v>
      </c>
      <c r="B1679" s="637" t="s">
        <v>33</v>
      </c>
      <c r="C1679" s="636" t="s">
        <v>2725</v>
      </c>
      <c r="D1679" s="637" t="s">
        <v>2188</v>
      </c>
      <c r="E1679" s="637" t="s">
        <v>1626</v>
      </c>
      <c r="F1679" s="636">
        <v>58871</v>
      </c>
      <c r="G1679" s="637" t="s">
        <v>81</v>
      </c>
      <c r="H1679" s="637" t="s">
        <v>1163</v>
      </c>
      <c r="I1679" s="637" t="s">
        <v>58</v>
      </c>
      <c r="J1679" s="636">
        <v>22</v>
      </c>
      <c r="K1679" s="636">
        <v>2</v>
      </c>
      <c r="L1679" s="637" t="s">
        <v>52</v>
      </c>
      <c r="M1679" s="637" t="s">
        <v>441</v>
      </c>
      <c r="N1679" s="637" t="s">
        <v>442</v>
      </c>
      <c r="O1679" s="637" t="s">
        <v>442</v>
      </c>
      <c r="P1679" s="637" t="s">
        <v>1156</v>
      </c>
      <c r="Q1679" s="638">
        <v>0</v>
      </c>
      <c r="R1679" s="638">
        <v>0</v>
      </c>
      <c r="S1679" s="638">
        <v>16349</v>
      </c>
      <c r="T1679" s="638">
        <v>16349</v>
      </c>
      <c r="U1679" s="638">
        <v>4792</v>
      </c>
      <c r="V1679" s="636">
        <v>2022</v>
      </c>
      <c r="W1679" s="640"/>
      <c r="X1679" s="641">
        <f t="shared" si="78"/>
        <v>3.411727879799666</v>
      </c>
      <c r="Y1679" s="642" t="str">
        <f t="shared" si="79"/>
        <v/>
      </c>
      <c r="Z1679" s="642" t="str">
        <f t="shared" si="77"/>
        <v/>
      </c>
    </row>
    <row r="1680" spans="1:26" s="127" customFormat="1" ht="37.5" hidden="1">
      <c r="A1680" s="636">
        <v>61567</v>
      </c>
      <c r="B1680" s="637" t="s">
        <v>33</v>
      </c>
      <c r="C1680" s="636" t="s">
        <v>2725</v>
      </c>
      <c r="D1680" s="637" t="s">
        <v>2189</v>
      </c>
      <c r="E1680" s="637" t="s">
        <v>2189</v>
      </c>
      <c r="F1680" s="636">
        <v>61162</v>
      </c>
      <c r="G1680" s="637" t="s">
        <v>57</v>
      </c>
      <c r="H1680" s="637" t="s">
        <v>1162</v>
      </c>
      <c r="I1680" s="637" t="s">
        <v>58</v>
      </c>
      <c r="J1680" s="636">
        <v>622</v>
      </c>
      <c r="K1680" s="636">
        <v>4</v>
      </c>
      <c r="L1680" s="637" t="s">
        <v>406</v>
      </c>
      <c r="M1680" s="637" t="s">
        <v>51</v>
      </c>
      <c r="N1680" s="637" t="s">
        <v>46</v>
      </c>
      <c r="O1680" s="637" t="s">
        <v>46</v>
      </c>
      <c r="P1680" s="637" t="s">
        <v>47</v>
      </c>
      <c r="Q1680" s="638">
        <v>280</v>
      </c>
      <c r="R1680" s="638">
        <v>280</v>
      </c>
      <c r="S1680" s="638">
        <v>1543</v>
      </c>
      <c r="T1680" s="638">
        <v>1543</v>
      </c>
      <c r="U1680" s="638">
        <v>130</v>
      </c>
      <c r="V1680" s="636">
        <v>2022</v>
      </c>
      <c r="W1680" s="640"/>
      <c r="X1680" s="641" t="str">
        <f t="shared" si="78"/>
        <v/>
      </c>
      <c r="Y1680" s="642" t="str">
        <f t="shared" si="79"/>
        <v/>
      </c>
      <c r="Z1680" s="642" t="str">
        <f t="shared" ref="Z1680:Z1743" si="80">IF(AND($M1680=$Y$2,$N1680=$Y$4,NOT($Q1680=$R1680),NOT($U1680=0)),IF($K1680=5,$S1680/($U1680+(8/5)*$U1680),IF($K1680=7,$S1680/($U1680+(29/25)*$U1680),"")),"")</f>
        <v/>
      </c>
    </row>
    <row r="1681" spans="1:26" s="127" customFormat="1" ht="37.5" hidden="1">
      <c r="A1681" s="636">
        <v>61568</v>
      </c>
      <c r="B1681" s="637" t="s">
        <v>33</v>
      </c>
      <c r="C1681" s="636" t="s">
        <v>2725</v>
      </c>
      <c r="D1681" s="637" t="s">
        <v>2316</v>
      </c>
      <c r="E1681" s="637" t="s">
        <v>2316</v>
      </c>
      <c r="F1681" s="636">
        <v>61164</v>
      </c>
      <c r="G1681" s="637" t="s">
        <v>57</v>
      </c>
      <c r="H1681" s="637" t="s">
        <v>1162</v>
      </c>
      <c r="I1681" s="637" t="s">
        <v>58</v>
      </c>
      <c r="J1681" s="636">
        <v>622</v>
      </c>
      <c r="K1681" s="636">
        <v>4</v>
      </c>
      <c r="L1681" s="637" t="s">
        <v>406</v>
      </c>
      <c r="M1681" s="637" t="s">
        <v>51</v>
      </c>
      <c r="N1681" s="637" t="s">
        <v>46</v>
      </c>
      <c r="O1681" s="637" t="s">
        <v>46</v>
      </c>
      <c r="P1681" s="637" t="s">
        <v>47</v>
      </c>
      <c r="Q1681" s="638">
        <v>834</v>
      </c>
      <c r="R1681" s="638">
        <v>834</v>
      </c>
      <c r="S1681" s="638">
        <v>4591</v>
      </c>
      <c r="T1681" s="638">
        <v>4591</v>
      </c>
      <c r="U1681" s="638">
        <v>234</v>
      </c>
      <c r="V1681" s="636">
        <v>2022</v>
      </c>
      <c r="W1681" s="640"/>
      <c r="X1681" s="641" t="str">
        <f t="shared" si="78"/>
        <v/>
      </c>
      <c r="Y1681" s="642" t="str">
        <f t="shared" si="79"/>
        <v/>
      </c>
      <c r="Z1681" s="642" t="str">
        <f t="shared" si="80"/>
        <v/>
      </c>
    </row>
    <row r="1682" spans="1:26" s="127" customFormat="1" ht="37.5" hidden="1">
      <c r="A1682" s="636">
        <v>61569</v>
      </c>
      <c r="B1682" s="637" t="s">
        <v>33</v>
      </c>
      <c r="C1682" s="636" t="s">
        <v>2725</v>
      </c>
      <c r="D1682" s="637" t="s">
        <v>2317</v>
      </c>
      <c r="E1682" s="637" t="s">
        <v>2317</v>
      </c>
      <c r="F1682" s="636">
        <v>61165</v>
      </c>
      <c r="G1682" s="637" t="s">
        <v>57</v>
      </c>
      <c r="H1682" s="637" t="s">
        <v>1162</v>
      </c>
      <c r="I1682" s="637" t="s">
        <v>58</v>
      </c>
      <c r="J1682" s="636">
        <v>622</v>
      </c>
      <c r="K1682" s="636">
        <v>4</v>
      </c>
      <c r="L1682" s="637" t="s">
        <v>406</v>
      </c>
      <c r="M1682" s="637" t="s">
        <v>51</v>
      </c>
      <c r="N1682" s="637" t="s">
        <v>46</v>
      </c>
      <c r="O1682" s="637" t="s">
        <v>46</v>
      </c>
      <c r="P1682" s="637" t="s">
        <v>47</v>
      </c>
      <c r="Q1682" s="638">
        <v>255</v>
      </c>
      <c r="R1682" s="638">
        <v>255</v>
      </c>
      <c r="S1682" s="638">
        <v>1405</v>
      </c>
      <c r="T1682" s="638">
        <v>1405</v>
      </c>
      <c r="U1682" s="638">
        <v>59</v>
      </c>
      <c r="V1682" s="636">
        <v>2022</v>
      </c>
      <c r="W1682" s="640"/>
      <c r="X1682" s="641" t="str">
        <f t="shared" si="78"/>
        <v/>
      </c>
      <c r="Y1682" s="642" t="str">
        <f t="shared" si="79"/>
        <v/>
      </c>
      <c r="Z1682" s="642" t="str">
        <f t="shared" si="80"/>
        <v/>
      </c>
    </row>
    <row r="1683" spans="1:26" s="127" customFormat="1" ht="37.5" hidden="1">
      <c r="A1683" s="636">
        <v>61569</v>
      </c>
      <c r="B1683" s="637" t="s">
        <v>33</v>
      </c>
      <c r="C1683" s="636" t="s">
        <v>2725</v>
      </c>
      <c r="D1683" s="637" t="s">
        <v>2317</v>
      </c>
      <c r="E1683" s="637" t="s">
        <v>2317</v>
      </c>
      <c r="F1683" s="636">
        <v>61165</v>
      </c>
      <c r="G1683" s="637" t="s">
        <v>57</v>
      </c>
      <c r="H1683" s="637" t="s">
        <v>1162</v>
      </c>
      <c r="I1683" s="637" t="s">
        <v>58</v>
      </c>
      <c r="J1683" s="636">
        <v>622</v>
      </c>
      <c r="K1683" s="636">
        <v>4</v>
      </c>
      <c r="L1683" s="637" t="s">
        <v>406</v>
      </c>
      <c r="M1683" s="637" t="s">
        <v>51</v>
      </c>
      <c r="N1683" s="637" t="s">
        <v>39</v>
      </c>
      <c r="O1683" s="637" t="s">
        <v>39</v>
      </c>
      <c r="P1683" s="637" t="s">
        <v>1020</v>
      </c>
      <c r="Q1683" s="638">
        <v>0</v>
      </c>
      <c r="R1683" s="638">
        <v>0</v>
      </c>
      <c r="S1683" s="638">
        <v>0</v>
      </c>
      <c r="T1683" s="638">
        <v>0</v>
      </c>
      <c r="U1683" s="638">
        <v>0</v>
      </c>
      <c r="V1683" s="636">
        <v>2022</v>
      </c>
      <c r="W1683" s="640"/>
      <c r="X1683" s="641" t="str">
        <f t="shared" si="78"/>
        <v/>
      </c>
      <c r="Y1683" s="642" t="str">
        <f t="shared" si="79"/>
        <v/>
      </c>
      <c r="Z1683" s="642" t="str">
        <f t="shared" si="80"/>
        <v/>
      </c>
    </row>
    <row r="1684" spans="1:26" s="127" customFormat="1" ht="25">
      <c r="A1684" s="636">
        <v>61575</v>
      </c>
      <c r="B1684" s="637" t="s">
        <v>33</v>
      </c>
      <c r="C1684" s="636" t="s">
        <v>2725</v>
      </c>
      <c r="D1684" s="637" t="s">
        <v>2318</v>
      </c>
      <c r="E1684" s="637" t="s">
        <v>2166</v>
      </c>
      <c r="F1684" s="636">
        <v>61012</v>
      </c>
      <c r="G1684" s="637" t="s">
        <v>57</v>
      </c>
      <c r="H1684" s="637" t="s">
        <v>1162</v>
      </c>
      <c r="I1684" s="637" t="s">
        <v>58</v>
      </c>
      <c r="J1684" s="636">
        <v>22</v>
      </c>
      <c r="K1684" s="636">
        <v>2</v>
      </c>
      <c r="L1684" s="637" t="s">
        <v>52</v>
      </c>
      <c r="M1684" s="637" t="s">
        <v>441</v>
      </c>
      <c r="N1684" s="637" t="s">
        <v>442</v>
      </c>
      <c r="O1684" s="637" t="s">
        <v>442</v>
      </c>
      <c r="P1684" s="637" t="s">
        <v>1156</v>
      </c>
      <c r="Q1684" s="638">
        <v>0</v>
      </c>
      <c r="R1684" s="638">
        <v>0</v>
      </c>
      <c r="S1684" s="638">
        <v>6291</v>
      </c>
      <c r="T1684" s="638">
        <v>6291</v>
      </c>
      <c r="U1684" s="638">
        <v>1844</v>
      </c>
      <c r="V1684" s="636">
        <v>2022</v>
      </c>
      <c r="W1684" s="640"/>
      <c r="X1684" s="641">
        <f t="shared" si="78"/>
        <v>3.4116052060737525</v>
      </c>
      <c r="Y1684" s="642" t="str">
        <f t="shared" si="79"/>
        <v/>
      </c>
      <c r="Z1684" s="642" t="str">
        <f t="shared" si="80"/>
        <v/>
      </c>
    </row>
    <row r="1685" spans="1:26" s="127" customFormat="1" ht="25">
      <c r="A1685" s="636">
        <v>61576</v>
      </c>
      <c r="B1685" s="637" t="s">
        <v>33</v>
      </c>
      <c r="C1685" s="636" t="s">
        <v>2725</v>
      </c>
      <c r="D1685" s="637" t="s">
        <v>2319</v>
      </c>
      <c r="E1685" s="637" t="s">
        <v>2166</v>
      </c>
      <c r="F1685" s="636">
        <v>61012</v>
      </c>
      <c r="G1685" s="637" t="s">
        <v>57</v>
      </c>
      <c r="H1685" s="637" t="s">
        <v>1162</v>
      </c>
      <c r="I1685" s="637" t="s">
        <v>58</v>
      </c>
      <c r="J1685" s="636">
        <v>22</v>
      </c>
      <c r="K1685" s="636">
        <v>2</v>
      </c>
      <c r="L1685" s="637" t="s">
        <v>52</v>
      </c>
      <c r="M1685" s="637" t="s">
        <v>441</v>
      </c>
      <c r="N1685" s="637" t="s">
        <v>442</v>
      </c>
      <c r="O1685" s="637" t="s">
        <v>442</v>
      </c>
      <c r="P1685" s="637" t="s">
        <v>1156</v>
      </c>
      <c r="Q1685" s="638">
        <v>0</v>
      </c>
      <c r="R1685" s="638">
        <v>0</v>
      </c>
      <c r="S1685" s="638">
        <v>12527</v>
      </c>
      <c r="T1685" s="638">
        <v>12527</v>
      </c>
      <c r="U1685" s="638">
        <v>3672</v>
      </c>
      <c r="V1685" s="636">
        <v>2022</v>
      </c>
      <c r="W1685" s="640"/>
      <c r="X1685" s="641">
        <f t="shared" si="78"/>
        <v>3.4114923747276689</v>
      </c>
      <c r="Y1685" s="642" t="str">
        <f t="shared" si="79"/>
        <v/>
      </c>
      <c r="Z1685" s="642" t="str">
        <f t="shared" si="80"/>
        <v/>
      </c>
    </row>
    <row r="1686" spans="1:26" s="127" customFormat="1" ht="25">
      <c r="A1686" s="636">
        <v>61577</v>
      </c>
      <c r="B1686" s="637" t="s">
        <v>33</v>
      </c>
      <c r="C1686" s="636" t="s">
        <v>2725</v>
      </c>
      <c r="D1686" s="637" t="s">
        <v>2320</v>
      </c>
      <c r="E1686" s="637" t="s">
        <v>2166</v>
      </c>
      <c r="F1686" s="636">
        <v>61012</v>
      </c>
      <c r="G1686" s="637" t="s">
        <v>57</v>
      </c>
      <c r="H1686" s="637" t="s">
        <v>1162</v>
      </c>
      <c r="I1686" s="637" t="s">
        <v>58</v>
      </c>
      <c r="J1686" s="636">
        <v>22</v>
      </c>
      <c r="K1686" s="636">
        <v>2</v>
      </c>
      <c r="L1686" s="637" t="s">
        <v>52</v>
      </c>
      <c r="M1686" s="637" t="s">
        <v>441</v>
      </c>
      <c r="N1686" s="637" t="s">
        <v>442</v>
      </c>
      <c r="O1686" s="637" t="s">
        <v>442</v>
      </c>
      <c r="P1686" s="637" t="s">
        <v>1156</v>
      </c>
      <c r="Q1686" s="638">
        <v>0</v>
      </c>
      <c r="R1686" s="638">
        <v>0</v>
      </c>
      <c r="S1686" s="638">
        <v>10444</v>
      </c>
      <c r="T1686" s="638">
        <v>10444</v>
      </c>
      <c r="U1686" s="638">
        <v>3061</v>
      </c>
      <c r="V1686" s="636">
        <v>2022</v>
      </c>
      <c r="W1686" s="640"/>
      <c r="X1686" s="641">
        <f t="shared" si="78"/>
        <v>3.4119568768376349</v>
      </c>
      <c r="Y1686" s="642" t="str">
        <f t="shared" si="79"/>
        <v/>
      </c>
      <c r="Z1686" s="642" t="str">
        <f t="shared" si="80"/>
        <v/>
      </c>
    </row>
    <row r="1687" spans="1:26" s="127" customFormat="1" ht="25">
      <c r="A1687" s="636">
        <v>61578</v>
      </c>
      <c r="B1687" s="637" t="s">
        <v>33</v>
      </c>
      <c r="C1687" s="636" t="s">
        <v>2725</v>
      </c>
      <c r="D1687" s="637" t="s">
        <v>2321</v>
      </c>
      <c r="E1687" s="637" t="s">
        <v>2166</v>
      </c>
      <c r="F1687" s="636">
        <v>61012</v>
      </c>
      <c r="G1687" s="637" t="s">
        <v>57</v>
      </c>
      <c r="H1687" s="637" t="s">
        <v>1162</v>
      </c>
      <c r="I1687" s="637" t="s">
        <v>58</v>
      </c>
      <c r="J1687" s="636">
        <v>22</v>
      </c>
      <c r="K1687" s="636">
        <v>2</v>
      </c>
      <c r="L1687" s="637" t="s">
        <v>52</v>
      </c>
      <c r="M1687" s="637" t="s">
        <v>441</v>
      </c>
      <c r="N1687" s="637" t="s">
        <v>442</v>
      </c>
      <c r="O1687" s="637" t="s">
        <v>442</v>
      </c>
      <c r="P1687" s="637" t="s">
        <v>1156</v>
      </c>
      <c r="Q1687" s="638">
        <v>0</v>
      </c>
      <c r="R1687" s="638">
        <v>0</v>
      </c>
      <c r="S1687" s="638">
        <v>12714</v>
      </c>
      <c r="T1687" s="638">
        <v>12714</v>
      </c>
      <c r="U1687" s="638">
        <v>3726</v>
      </c>
      <c r="V1687" s="636">
        <v>2022</v>
      </c>
      <c r="W1687" s="640"/>
      <c r="X1687" s="641">
        <f t="shared" si="78"/>
        <v>3.4122383252818036</v>
      </c>
      <c r="Y1687" s="642" t="str">
        <f t="shared" si="79"/>
        <v/>
      </c>
      <c r="Z1687" s="642" t="str">
        <f t="shared" si="80"/>
        <v/>
      </c>
    </row>
    <row r="1688" spans="1:26" s="127" customFormat="1" ht="25">
      <c r="A1688" s="636">
        <v>61579</v>
      </c>
      <c r="B1688" s="637" t="s">
        <v>33</v>
      </c>
      <c r="C1688" s="636" t="s">
        <v>2725</v>
      </c>
      <c r="D1688" s="637" t="s">
        <v>3054</v>
      </c>
      <c r="E1688" s="637" t="s">
        <v>2166</v>
      </c>
      <c r="F1688" s="636">
        <v>61012</v>
      </c>
      <c r="G1688" s="637" t="s">
        <v>57</v>
      </c>
      <c r="H1688" s="637" t="s">
        <v>1162</v>
      </c>
      <c r="I1688" s="637" t="s">
        <v>58</v>
      </c>
      <c r="J1688" s="636">
        <v>22</v>
      </c>
      <c r="K1688" s="636">
        <v>2</v>
      </c>
      <c r="L1688" s="637" t="s">
        <v>52</v>
      </c>
      <c r="M1688" s="637" t="s">
        <v>441</v>
      </c>
      <c r="N1688" s="637" t="s">
        <v>442</v>
      </c>
      <c r="O1688" s="637" t="s">
        <v>442</v>
      </c>
      <c r="P1688" s="637" t="s">
        <v>1156</v>
      </c>
      <c r="Q1688" s="638">
        <v>0</v>
      </c>
      <c r="R1688" s="638">
        <v>0</v>
      </c>
      <c r="S1688" s="638">
        <v>8069</v>
      </c>
      <c r="T1688" s="638">
        <v>8069</v>
      </c>
      <c r="U1688" s="638">
        <v>2365</v>
      </c>
      <c r="V1688" s="636">
        <v>2022</v>
      </c>
      <c r="W1688" s="640"/>
      <c r="X1688" s="641">
        <f t="shared" si="78"/>
        <v>3.4118393234672304</v>
      </c>
      <c r="Y1688" s="642" t="str">
        <f t="shared" si="79"/>
        <v/>
      </c>
      <c r="Z1688" s="642" t="str">
        <f t="shared" si="80"/>
        <v/>
      </c>
    </row>
    <row r="1689" spans="1:26" s="127" customFormat="1" ht="25">
      <c r="A1689" s="636">
        <v>61590</v>
      </c>
      <c r="B1689" s="637" t="s">
        <v>33</v>
      </c>
      <c r="C1689" s="636" t="s">
        <v>2725</v>
      </c>
      <c r="D1689" s="637" t="s">
        <v>2758</v>
      </c>
      <c r="E1689" s="637" t="s">
        <v>3291</v>
      </c>
      <c r="F1689" s="636">
        <v>64643</v>
      </c>
      <c r="G1689" s="637" t="s">
        <v>81</v>
      </c>
      <c r="H1689" s="637" t="s">
        <v>1163</v>
      </c>
      <c r="I1689" s="637" t="s">
        <v>58</v>
      </c>
      <c r="J1689" s="636">
        <v>22</v>
      </c>
      <c r="K1689" s="636">
        <v>2</v>
      </c>
      <c r="L1689" s="637" t="s">
        <v>52</v>
      </c>
      <c r="M1689" s="637" t="s">
        <v>441</v>
      </c>
      <c r="N1689" s="637" t="s">
        <v>442</v>
      </c>
      <c r="O1689" s="637" t="s">
        <v>442</v>
      </c>
      <c r="P1689" s="637" t="s">
        <v>1156</v>
      </c>
      <c r="Q1689" s="638">
        <v>0</v>
      </c>
      <c r="R1689" s="638">
        <v>0</v>
      </c>
      <c r="S1689" s="638">
        <v>11510</v>
      </c>
      <c r="T1689" s="638">
        <v>11510</v>
      </c>
      <c r="U1689" s="638">
        <v>3374</v>
      </c>
      <c r="V1689" s="636">
        <v>2022</v>
      </c>
      <c r="W1689" s="640"/>
      <c r="X1689" s="641">
        <f t="shared" si="78"/>
        <v>3.4113811499703615</v>
      </c>
      <c r="Y1689" s="642" t="str">
        <f t="shared" si="79"/>
        <v/>
      </c>
      <c r="Z1689" s="642" t="str">
        <f t="shared" si="80"/>
        <v/>
      </c>
    </row>
    <row r="1690" spans="1:26" s="127" customFormat="1" ht="25">
      <c r="A1690" s="636">
        <v>61591</v>
      </c>
      <c r="B1690" s="637" t="s">
        <v>33</v>
      </c>
      <c r="C1690" s="636" t="s">
        <v>2725</v>
      </c>
      <c r="D1690" s="637" t="s">
        <v>2190</v>
      </c>
      <c r="E1690" s="637" t="s">
        <v>2191</v>
      </c>
      <c r="F1690" s="636">
        <v>61190</v>
      </c>
      <c r="G1690" s="637" t="s">
        <v>81</v>
      </c>
      <c r="H1690" s="637" t="s">
        <v>1163</v>
      </c>
      <c r="I1690" s="637" t="s">
        <v>58</v>
      </c>
      <c r="J1690" s="636">
        <v>22</v>
      </c>
      <c r="K1690" s="636">
        <v>2</v>
      </c>
      <c r="L1690" s="637" t="s">
        <v>52</v>
      </c>
      <c r="M1690" s="637" t="s">
        <v>441</v>
      </c>
      <c r="N1690" s="637" t="s">
        <v>442</v>
      </c>
      <c r="O1690" s="637" t="s">
        <v>442</v>
      </c>
      <c r="P1690" s="637" t="s">
        <v>1156</v>
      </c>
      <c r="Q1690" s="638">
        <v>0</v>
      </c>
      <c r="R1690" s="638">
        <v>0</v>
      </c>
      <c r="S1690" s="638">
        <v>7008</v>
      </c>
      <c r="T1690" s="638">
        <v>7008</v>
      </c>
      <c r="U1690" s="638">
        <v>2054</v>
      </c>
      <c r="V1690" s="636">
        <v>2022</v>
      </c>
      <c r="W1690" s="640"/>
      <c r="X1690" s="641">
        <f t="shared" si="78"/>
        <v>3.4118792599805259</v>
      </c>
      <c r="Y1690" s="642" t="str">
        <f t="shared" si="79"/>
        <v/>
      </c>
      <c r="Z1690" s="642" t="str">
        <f t="shared" si="80"/>
        <v/>
      </c>
    </row>
    <row r="1691" spans="1:26" s="127" customFormat="1" ht="25">
      <c r="A1691" s="636">
        <v>61596</v>
      </c>
      <c r="B1691" s="637" t="s">
        <v>33</v>
      </c>
      <c r="C1691" s="636" t="s">
        <v>2725</v>
      </c>
      <c r="D1691" s="637" t="s">
        <v>2192</v>
      </c>
      <c r="E1691" s="637" t="s">
        <v>1626</v>
      </c>
      <c r="F1691" s="636">
        <v>58871</v>
      </c>
      <c r="G1691" s="637" t="s">
        <v>81</v>
      </c>
      <c r="H1691" s="637" t="s">
        <v>1163</v>
      </c>
      <c r="I1691" s="637" t="s">
        <v>58</v>
      </c>
      <c r="J1691" s="636">
        <v>22</v>
      </c>
      <c r="K1691" s="636">
        <v>2</v>
      </c>
      <c r="L1691" s="637" t="s">
        <v>52</v>
      </c>
      <c r="M1691" s="637" t="s">
        <v>441</v>
      </c>
      <c r="N1691" s="637" t="s">
        <v>442</v>
      </c>
      <c r="O1691" s="637" t="s">
        <v>442</v>
      </c>
      <c r="P1691" s="637" t="s">
        <v>1156</v>
      </c>
      <c r="Q1691" s="638">
        <v>0</v>
      </c>
      <c r="R1691" s="638">
        <v>0</v>
      </c>
      <c r="S1691" s="638">
        <v>10193</v>
      </c>
      <c r="T1691" s="638">
        <v>10193</v>
      </c>
      <c r="U1691" s="638">
        <v>2987</v>
      </c>
      <c r="V1691" s="636">
        <v>2022</v>
      </c>
      <c r="W1691" s="640"/>
      <c r="X1691" s="641">
        <f t="shared" si="78"/>
        <v>3.4124539671911616</v>
      </c>
      <c r="Y1691" s="642" t="str">
        <f t="shared" si="79"/>
        <v/>
      </c>
      <c r="Z1691" s="642" t="str">
        <f t="shared" si="80"/>
        <v/>
      </c>
    </row>
    <row r="1692" spans="1:26" s="127" customFormat="1" ht="25">
      <c r="A1692" s="636">
        <v>61597</v>
      </c>
      <c r="B1692" s="637" t="s">
        <v>33</v>
      </c>
      <c r="C1692" s="636" t="s">
        <v>2725</v>
      </c>
      <c r="D1692" s="637" t="s">
        <v>2193</v>
      </c>
      <c r="E1692" s="637" t="s">
        <v>1626</v>
      </c>
      <c r="F1692" s="636">
        <v>58871</v>
      </c>
      <c r="G1692" s="637" t="s">
        <v>81</v>
      </c>
      <c r="H1692" s="637" t="s">
        <v>1163</v>
      </c>
      <c r="I1692" s="637" t="s">
        <v>58</v>
      </c>
      <c r="J1692" s="636">
        <v>22</v>
      </c>
      <c r="K1692" s="636">
        <v>2</v>
      </c>
      <c r="L1692" s="637" t="s">
        <v>52</v>
      </c>
      <c r="M1692" s="637" t="s">
        <v>441</v>
      </c>
      <c r="N1692" s="637" t="s">
        <v>442</v>
      </c>
      <c r="O1692" s="637" t="s">
        <v>442</v>
      </c>
      <c r="P1692" s="637" t="s">
        <v>1156</v>
      </c>
      <c r="Q1692" s="638">
        <v>0</v>
      </c>
      <c r="R1692" s="638">
        <v>0</v>
      </c>
      <c r="S1692" s="638">
        <v>8762</v>
      </c>
      <c r="T1692" s="638">
        <v>8762</v>
      </c>
      <c r="U1692" s="638">
        <v>2568</v>
      </c>
      <c r="V1692" s="636">
        <v>2022</v>
      </c>
      <c r="W1692" s="640"/>
      <c r="X1692" s="641">
        <f t="shared" si="78"/>
        <v>3.411993769470405</v>
      </c>
      <c r="Y1692" s="642" t="str">
        <f t="shared" si="79"/>
        <v/>
      </c>
      <c r="Z1692" s="642" t="str">
        <f t="shared" si="80"/>
        <v/>
      </c>
    </row>
    <row r="1693" spans="1:26" s="127" customFormat="1" ht="25">
      <c r="A1693" s="636">
        <v>61598</v>
      </c>
      <c r="B1693" s="637" t="s">
        <v>33</v>
      </c>
      <c r="C1693" s="636" t="s">
        <v>2725</v>
      </c>
      <c r="D1693" s="637" t="s">
        <v>2194</v>
      </c>
      <c r="E1693" s="637" t="s">
        <v>1626</v>
      </c>
      <c r="F1693" s="636">
        <v>58871</v>
      </c>
      <c r="G1693" s="637" t="s">
        <v>81</v>
      </c>
      <c r="H1693" s="637" t="s">
        <v>1163</v>
      </c>
      <c r="I1693" s="637" t="s">
        <v>58</v>
      </c>
      <c r="J1693" s="636">
        <v>22</v>
      </c>
      <c r="K1693" s="636">
        <v>2</v>
      </c>
      <c r="L1693" s="637" t="s">
        <v>52</v>
      </c>
      <c r="M1693" s="637" t="s">
        <v>441</v>
      </c>
      <c r="N1693" s="637" t="s">
        <v>442</v>
      </c>
      <c r="O1693" s="637" t="s">
        <v>442</v>
      </c>
      <c r="P1693" s="637" t="s">
        <v>1156</v>
      </c>
      <c r="Q1693" s="638">
        <v>0</v>
      </c>
      <c r="R1693" s="638">
        <v>0</v>
      </c>
      <c r="S1693" s="638">
        <v>15555</v>
      </c>
      <c r="T1693" s="638">
        <v>15555</v>
      </c>
      <c r="U1693" s="638">
        <v>4559</v>
      </c>
      <c r="V1693" s="636">
        <v>2022</v>
      </c>
      <c r="W1693" s="640"/>
      <c r="X1693" s="641">
        <f t="shared" si="78"/>
        <v>3.411932441324852</v>
      </c>
      <c r="Y1693" s="642" t="str">
        <f t="shared" si="79"/>
        <v/>
      </c>
      <c r="Z1693" s="642" t="str">
        <f t="shared" si="80"/>
        <v/>
      </c>
    </row>
    <row r="1694" spans="1:26" s="127" customFormat="1" ht="25">
      <c r="A1694" s="636">
        <v>61602</v>
      </c>
      <c r="B1694" s="637" t="s">
        <v>33</v>
      </c>
      <c r="C1694" s="636" t="s">
        <v>2725</v>
      </c>
      <c r="D1694" s="637" t="s">
        <v>2195</v>
      </c>
      <c r="E1694" s="637" t="s">
        <v>1108</v>
      </c>
      <c r="F1694" s="636">
        <v>56769</v>
      </c>
      <c r="G1694" s="637" t="s">
        <v>81</v>
      </c>
      <c r="H1694" s="637" t="s">
        <v>1163</v>
      </c>
      <c r="I1694" s="637" t="s">
        <v>58</v>
      </c>
      <c r="J1694" s="636">
        <v>22</v>
      </c>
      <c r="K1694" s="636">
        <v>2</v>
      </c>
      <c r="L1694" s="637" t="s">
        <v>52</v>
      </c>
      <c r="M1694" s="637" t="s">
        <v>441</v>
      </c>
      <c r="N1694" s="637" t="s">
        <v>442</v>
      </c>
      <c r="O1694" s="637" t="s">
        <v>442</v>
      </c>
      <c r="P1694" s="637" t="s">
        <v>1156</v>
      </c>
      <c r="Q1694" s="638">
        <v>0</v>
      </c>
      <c r="R1694" s="638">
        <v>0</v>
      </c>
      <c r="S1694" s="638">
        <v>18201</v>
      </c>
      <c r="T1694" s="638">
        <v>18201</v>
      </c>
      <c r="U1694" s="638">
        <v>5334</v>
      </c>
      <c r="V1694" s="636">
        <v>2022</v>
      </c>
      <c r="W1694" s="640"/>
      <c r="X1694" s="641">
        <f t="shared" si="78"/>
        <v>3.4122609673790776</v>
      </c>
      <c r="Y1694" s="642" t="str">
        <f t="shared" si="79"/>
        <v/>
      </c>
      <c r="Z1694" s="642" t="str">
        <f t="shared" si="80"/>
        <v/>
      </c>
    </row>
    <row r="1695" spans="1:26" s="127" customFormat="1" ht="25">
      <c r="A1695" s="636">
        <v>61603</v>
      </c>
      <c r="B1695" s="637" t="s">
        <v>33</v>
      </c>
      <c r="C1695" s="636" t="s">
        <v>2725</v>
      </c>
      <c r="D1695" s="637" t="s">
        <v>2196</v>
      </c>
      <c r="E1695" s="637" t="s">
        <v>1108</v>
      </c>
      <c r="F1695" s="636">
        <v>56769</v>
      </c>
      <c r="G1695" s="637" t="s">
        <v>81</v>
      </c>
      <c r="H1695" s="637" t="s">
        <v>1163</v>
      </c>
      <c r="I1695" s="637" t="s">
        <v>58</v>
      </c>
      <c r="J1695" s="636">
        <v>22</v>
      </c>
      <c r="K1695" s="636">
        <v>2</v>
      </c>
      <c r="L1695" s="637" t="s">
        <v>52</v>
      </c>
      <c r="M1695" s="637" t="s">
        <v>441</v>
      </c>
      <c r="N1695" s="637" t="s">
        <v>442</v>
      </c>
      <c r="O1695" s="637" t="s">
        <v>442</v>
      </c>
      <c r="P1695" s="637" t="s">
        <v>1156</v>
      </c>
      <c r="Q1695" s="638">
        <v>0</v>
      </c>
      <c r="R1695" s="638">
        <v>0</v>
      </c>
      <c r="S1695" s="638">
        <v>24567</v>
      </c>
      <c r="T1695" s="638">
        <v>24567</v>
      </c>
      <c r="U1695" s="638">
        <v>7200</v>
      </c>
      <c r="V1695" s="636">
        <v>2022</v>
      </c>
      <c r="W1695" s="640"/>
      <c r="X1695" s="641">
        <f t="shared" si="78"/>
        <v>3.4120833333333334</v>
      </c>
      <c r="Y1695" s="642" t="str">
        <f t="shared" si="79"/>
        <v/>
      </c>
      <c r="Z1695" s="642" t="str">
        <f t="shared" si="80"/>
        <v/>
      </c>
    </row>
    <row r="1696" spans="1:26" s="127" customFormat="1" ht="25">
      <c r="A1696" s="636">
        <v>61604</v>
      </c>
      <c r="B1696" s="637" t="s">
        <v>33</v>
      </c>
      <c r="C1696" s="636" t="s">
        <v>2725</v>
      </c>
      <c r="D1696" s="637" t="s">
        <v>2197</v>
      </c>
      <c r="E1696" s="637" t="s">
        <v>3053</v>
      </c>
      <c r="F1696" s="636">
        <v>60571</v>
      </c>
      <c r="G1696" s="637" t="s">
        <v>57</v>
      </c>
      <c r="H1696" s="637" t="s">
        <v>1162</v>
      </c>
      <c r="I1696" s="637" t="s">
        <v>58</v>
      </c>
      <c r="J1696" s="636">
        <v>22</v>
      </c>
      <c r="K1696" s="636">
        <v>2</v>
      </c>
      <c r="L1696" s="637" t="s">
        <v>52</v>
      </c>
      <c r="M1696" s="637" t="s">
        <v>441</v>
      </c>
      <c r="N1696" s="637" t="s">
        <v>442</v>
      </c>
      <c r="O1696" s="637" t="s">
        <v>442</v>
      </c>
      <c r="P1696" s="637" t="s">
        <v>1156</v>
      </c>
      <c r="Q1696" s="638">
        <v>0</v>
      </c>
      <c r="R1696" s="638">
        <v>0</v>
      </c>
      <c r="S1696" s="638">
        <v>9024</v>
      </c>
      <c r="T1696" s="638">
        <v>9024</v>
      </c>
      <c r="U1696" s="638">
        <v>2645</v>
      </c>
      <c r="V1696" s="636">
        <v>2022</v>
      </c>
      <c r="W1696" s="640"/>
      <c r="X1696" s="641">
        <f t="shared" si="78"/>
        <v>3.4117202268431002</v>
      </c>
      <c r="Y1696" s="642" t="str">
        <f t="shared" si="79"/>
        <v/>
      </c>
      <c r="Z1696" s="642" t="str">
        <f t="shared" si="80"/>
        <v/>
      </c>
    </row>
    <row r="1697" spans="1:26" s="127" customFormat="1" ht="25">
      <c r="A1697" s="636">
        <v>61612</v>
      </c>
      <c r="B1697" s="637" t="s">
        <v>33</v>
      </c>
      <c r="C1697" s="636" t="s">
        <v>2725</v>
      </c>
      <c r="D1697" s="637" t="s">
        <v>2198</v>
      </c>
      <c r="E1697" s="637" t="s">
        <v>2199</v>
      </c>
      <c r="F1697" s="636">
        <v>61216</v>
      </c>
      <c r="G1697" s="637" t="s">
        <v>130</v>
      </c>
      <c r="H1697" s="637" t="s">
        <v>1163</v>
      </c>
      <c r="I1697" s="637" t="s">
        <v>58</v>
      </c>
      <c r="J1697" s="636">
        <v>22</v>
      </c>
      <c r="K1697" s="636">
        <v>2</v>
      </c>
      <c r="L1697" s="637" t="s">
        <v>52</v>
      </c>
      <c r="M1697" s="637" t="s">
        <v>441</v>
      </c>
      <c r="N1697" s="637" t="s">
        <v>442</v>
      </c>
      <c r="O1697" s="637" t="s">
        <v>442</v>
      </c>
      <c r="P1697" s="637" t="s">
        <v>1156</v>
      </c>
      <c r="Q1697" s="638">
        <v>0</v>
      </c>
      <c r="R1697" s="638">
        <v>0</v>
      </c>
      <c r="S1697" s="638">
        <v>7896</v>
      </c>
      <c r="T1697" s="638">
        <v>7896</v>
      </c>
      <c r="U1697" s="638">
        <v>2314</v>
      </c>
      <c r="V1697" s="636">
        <v>2022</v>
      </c>
      <c r="W1697" s="640"/>
      <c r="X1697" s="641">
        <f t="shared" si="78"/>
        <v>3.4122731201382885</v>
      </c>
      <c r="Y1697" s="642" t="str">
        <f t="shared" si="79"/>
        <v/>
      </c>
      <c r="Z1697" s="642" t="str">
        <f t="shared" si="80"/>
        <v/>
      </c>
    </row>
    <row r="1698" spans="1:26" s="127" customFormat="1" ht="25">
      <c r="A1698" s="636">
        <v>61613</v>
      </c>
      <c r="B1698" s="637" t="s">
        <v>33</v>
      </c>
      <c r="C1698" s="636" t="s">
        <v>2725</v>
      </c>
      <c r="D1698" s="637" t="s">
        <v>2200</v>
      </c>
      <c r="E1698" s="637" t="s">
        <v>2201</v>
      </c>
      <c r="F1698" s="636">
        <v>61217</v>
      </c>
      <c r="G1698" s="637" t="s">
        <v>130</v>
      </c>
      <c r="H1698" s="637" t="s">
        <v>1163</v>
      </c>
      <c r="I1698" s="637" t="s">
        <v>58</v>
      </c>
      <c r="J1698" s="636">
        <v>22</v>
      </c>
      <c r="K1698" s="636">
        <v>2</v>
      </c>
      <c r="L1698" s="637" t="s">
        <v>52</v>
      </c>
      <c r="M1698" s="637" t="s">
        <v>441</v>
      </c>
      <c r="N1698" s="637" t="s">
        <v>442</v>
      </c>
      <c r="O1698" s="637" t="s">
        <v>442</v>
      </c>
      <c r="P1698" s="637" t="s">
        <v>1156</v>
      </c>
      <c r="Q1698" s="638">
        <v>0</v>
      </c>
      <c r="R1698" s="638">
        <v>0</v>
      </c>
      <c r="S1698" s="638">
        <v>11368</v>
      </c>
      <c r="T1698" s="638">
        <v>11368</v>
      </c>
      <c r="U1698" s="638">
        <v>3332</v>
      </c>
      <c r="V1698" s="636">
        <v>2022</v>
      </c>
      <c r="W1698" s="640"/>
      <c r="X1698" s="641">
        <f t="shared" si="78"/>
        <v>3.4117647058823528</v>
      </c>
      <c r="Y1698" s="642" t="str">
        <f t="shared" si="79"/>
        <v/>
      </c>
      <c r="Z1698" s="642" t="str">
        <f t="shared" si="80"/>
        <v/>
      </c>
    </row>
    <row r="1699" spans="1:26" s="127" customFormat="1" ht="25">
      <c r="A1699" s="636">
        <v>61622</v>
      </c>
      <c r="B1699" s="637" t="s">
        <v>33</v>
      </c>
      <c r="C1699" s="636" t="s">
        <v>2725</v>
      </c>
      <c r="D1699" s="637" t="s">
        <v>2202</v>
      </c>
      <c r="E1699" s="637" t="s">
        <v>2199</v>
      </c>
      <c r="F1699" s="636">
        <v>61216</v>
      </c>
      <c r="G1699" s="637" t="s">
        <v>130</v>
      </c>
      <c r="H1699" s="637" t="s">
        <v>1163</v>
      </c>
      <c r="I1699" s="637" t="s">
        <v>58</v>
      </c>
      <c r="J1699" s="636">
        <v>22</v>
      </c>
      <c r="K1699" s="636">
        <v>2</v>
      </c>
      <c r="L1699" s="637" t="s">
        <v>52</v>
      </c>
      <c r="M1699" s="637" t="s">
        <v>441</v>
      </c>
      <c r="N1699" s="637" t="s">
        <v>442</v>
      </c>
      <c r="O1699" s="637" t="s">
        <v>442</v>
      </c>
      <c r="P1699" s="637" t="s">
        <v>1156</v>
      </c>
      <c r="Q1699" s="638">
        <v>0</v>
      </c>
      <c r="R1699" s="638">
        <v>0</v>
      </c>
      <c r="S1699" s="638">
        <v>17514</v>
      </c>
      <c r="T1699" s="638">
        <v>17514</v>
      </c>
      <c r="U1699" s="638">
        <v>5133</v>
      </c>
      <c r="V1699" s="636">
        <v>2022</v>
      </c>
      <c r="W1699" s="640"/>
      <c r="X1699" s="641">
        <f t="shared" si="78"/>
        <v>3.4120397428404443</v>
      </c>
      <c r="Y1699" s="642" t="str">
        <f t="shared" si="79"/>
        <v/>
      </c>
      <c r="Z1699" s="642" t="str">
        <f t="shared" si="80"/>
        <v/>
      </c>
    </row>
    <row r="1700" spans="1:26" s="127" customFormat="1" ht="25">
      <c r="A1700" s="636">
        <v>61629</v>
      </c>
      <c r="B1700" s="637" t="s">
        <v>33</v>
      </c>
      <c r="C1700" s="636" t="s">
        <v>2725</v>
      </c>
      <c r="D1700" s="637" t="s">
        <v>3292</v>
      </c>
      <c r="E1700" s="637" t="s">
        <v>2203</v>
      </c>
      <c r="F1700" s="636">
        <v>61227</v>
      </c>
      <c r="G1700" s="637" t="s">
        <v>81</v>
      </c>
      <c r="H1700" s="637" t="s">
        <v>1163</v>
      </c>
      <c r="I1700" s="637" t="s">
        <v>58</v>
      </c>
      <c r="J1700" s="636">
        <v>22</v>
      </c>
      <c r="K1700" s="636">
        <v>2</v>
      </c>
      <c r="L1700" s="637" t="s">
        <v>52</v>
      </c>
      <c r="M1700" s="637" t="s">
        <v>441</v>
      </c>
      <c r="N1700" s="637" t="s">
        <v>442</v>
      </c>
      <c r="O1700" s="637" t="s">
        <v>442</v>
      </c>
      <c r="P1700" s="637" t="s">
        <v>1156</v>
      </c>
      <c r="Q1700" s="638">
        <v>0</v>
      </c>
      <c r="R1700" s="638">
        <v>0</v>
      </c>
      <c r="S1700" s="638">
        <v>22695</v>
      </c>
      <c r="T1700" s="638">
        <v>22695</v>
      </c>
      <c r="U1700" s="638">
        <v>6651</v>
      </c>
      <c r="V1700" s="636">
        <v>2022</v>
      </c>
      <c r="W1700" s="640"/>
      <c r="X1700" s="641">
        <f t="shared" si="78"/>
        <v>3.4122688317546235</v>
      </c>
      <c r="Y1700" s="642" t="str">
        <f t="shared" si="79"/>
        <v/>
      </c>
      <c r="Z1700" s="642" t="str">
        <f t="shared" si="80"/>
        <v/>
      </c>
    </row>
    <row r="1701" spans="1:26" s="127" customFormat="1" ht="25">
      <c r="A1701" s="636">
        <v>61633</v>
      </c>
      <c r="B1701" s="637" t="s">
        <v>33</v>
      </c>
      <c r="C1701" s="636" t="s">
        <v>2725</v>
      </c>
      <c r="D1701" s="637" t="s">
        <v>2759</v>
      </c>
      <c r="E1701" s="637" t="s">
        <v>3293</v>
      </c>
      <c r="F1701" s="636">
        <v>64665</v>
      </c>
      <c r="G1701" s="637" t="s">
        <v>81</v>
      </c>
      <c r="H1701" s="637" t="s">
        <v>1163</v>
      </c>
      <c r="I1701" s="637" t="s">
        <v>58</v>
      </c>
      <c r="J1701" s="636">
        <v>22</v>
      </c>
      <c r="K1701" s="636">
        <v>2</v>
      </c>
      <c r="L1701" s="637" t="s">
        <v>52</v>
      </c>
      <c r="M1701" s="637" t="s">
        <v>441</v>
      </c>
      <c r="N1701" s="637" t="s">
        <v>442</v>
      </c>
      <c r="O1701" s="637" t="s">
        <v>442</v>
      </c>
      <c r="P1701" s="637" t="s">
        <v>1156</v>
      </c>
      <c r="Q1701" s="638">
        <v>0</v>
      </c>
      <c r="R1701" s="638">
        <v>0</v>
      </c>
      <c r="S1701" s="638">
        <v>5189</v>
      </c>
      <c r="T1701" s="638">
        <v>5189</v>
      </c>
      <c r="U1701" s="638">
        <v>1521</v>
      </c>
      <c r="V1701" s="636">
        <v>2022</v>
      </c>
      <c r="W1701" s="640"/>
      <c r="X1701" s="641">
        <f t="shared" si="78"/>
        <v>3.4115713346482579</v>
      </c>
      <c r="Y1701" s="642" t="str">
        <f t="shared" si="79"/>
        <v/>
      </c>
      <c r="Z1701" s="642" t="str">
        <f t="shared" si="80"/>
        <v/>
      </c>
    </row>
    <row r="1702" spans="1:26" s="127" customFormat="1" ht="25">
      <c r="A1702" s="636">
        <v>61634</v>
      </c>
      <c r="B1702" s="637" t="s">
        <v>33</v>
      </c>
      <c r="C1702" s="636" t="s">
        <v>2725</v>
      </c>
      <c r="D1702" s="637" t="s">
        <v>2760</v>
      </c>
      <c r="E1702" s="637" t="s">
        <v>3294</v>
      </c>
      <c r="F1702" s="636">
        <v>64630</v>
      </c>
      <c r="G1702" s="637" t="s">
        <v>81</v>
      </c>
      <c r="H1702" s="637" t="s">
        <v>1163</v>
      </c>
      <c r="I1702" s="637" t="s">
        <v>58</v>
      </c>
      <c r="J1702" s="636">
        <v>22</v>
      </c>
      <c r="K1702" s="636">
        <v>2</v>
      </c>
      <c r="L1702" s="637" t="s">
        <v>52</v>
      </c>
      <c r="M1702" s="637" t="s">
        <v>441</v>
      </c>
      <c r="N1702" s="637" t="s">
        <v>442</v>
      </c>
      <c r="O1702" s="637" t="s">
        <v>442</v>
      </c>
      <c r="P1702" s="637" t="s">
        <v>1156</v>
      </c>
      <c r="Q1702" s="638">
        <v>0</v>
      </c>
      <c r="R1702" s="638">
        <v>0</v>
      </c>
      <c r="S1702" s="638">
        <v>20387</v>
      </c>
      <c r="T1702" s="638">
        <v>20387</v>
      </c>
      <c r="U1702" s="638">
        <v>5975</v>
      </c>
      <c r="V1702" s="636">
        <v>2022</v>
      </c>
      <c r="W1702" s="640"/>
      <c r="X1702" s="641">
        <f t="shared" si="78"/>
        <v>3.4120502092050211</v>
      </c>
      <c r="Y1702" s="642" t="str">
        <f t="shared" si="79"/>
        <v/>
      </c>
      <c r="Z1702" s="642" t="str">
        <f t="shared" si="80"/>
        <v/>
      </c>
    </row>
    <row r="1703" spans="1:26" s="127" customFormat="1" ht="25">
      <c r="A1703" s="636">
        <v>61635</v>
      </c>
      <c r="B1703" s="637" t="s">
        <v>33</v>
      </c>
      <c r="C1703" s="636" t="s">
        <v>2725</v>
      </c>
      <c r="D1703" s="637" t="s">
        <v>2761</v>
      </c>
      <c r="E1703" s="637" t="s">
        <v>3295</v>
      </c>
      <c r="F1703" s="636">
        <v>64664</v>
      </c>
      <c r="G1703" s="637" t="s">
        <v>81</v>
      </c>
      <c r="H1703" s="637" t="s">
        <v>1163</v>
      </c>
      <c r="I1703" s="637" t="s">
        <v>58</v>
      </c>
      <c r="J1703" s="636">
        <v>22</v>
      </c>
      <c r="K1703" s="636">
        <v>2</v>
      </c>
      <c r="L1703" s="637" t="s">
        <v>52</v>
      </c>
      <c r="M1703" s="637" t="s">
        <v>441</v>
      </c>
      <c r="N1703" s="637" t="s">
        <v>442</v>
      </c>
      <c r="O1703" s="637" t="s">
        <v>442</v>
      </c>
      <c r="P1703" s="637" t="s">
        <v>1156</v>
      </c>
      <c r="Q1703" s="638">
        <v>0</v>
      </c>
      <c r="R1703" s="638">
        <v>0</v>
      </c>
      <c r="S1703" s="638">
        <v>10237</v>
      </c>
      <c r="T1703" s="638">
        <v>10237</v>
      </c>
      <c r="U1703" s="638">
        <v>3000</v>
      </c>
      <c r="V1703" s="636">
        <v>2022</v>
      </c>
      <c r="W1703" s="640"/>
      <c r="X1703" s="641">
        <f t="shared" si="78"/>
        <v>3.4123333333333332</v>
      </c>
      <c r="Y1703" s="642" t="str">
        <f t="shared" si="79"/>
        <v/>
      </c>
      <c r="Z1703" s="642" t="str">
        <f t="shared" si="80"/>
        <v/>
      </c>
    </row>
    <row r="1704" spans="1:26" s="127" customFormat="1" ht="25">
      <c r="A1704" s="636">
        <v>61636</v>
      </c>
      <c r="B1704" s="637" t="s">
        <v>33</v>
      </c>
      <c r="C1704" s="636" t="s">
        <v>2725</v>
      </c>
      <c r="D1704" s="637" t="s">
        <v>2762</v>
      </c>
      <c r="E1704" s="637" t="s">
        <v>3296</v>
      </c>
      <c r="F1704" s="636">
        <v>64666</v>
      </c>
      <c r="G1704" s="637" t="s">
        <v>81</v>
      </c>
      <c r="H1704" s="637" t="s">
        <v>1163</v>
      </c>
      <c r="I1704" s="637" t="s">
        <v>58</v>
      </c>
      <c r="J1704" s="636">
        <v>22</v>
      </c>
      <c r="K1704" s="636">
        <v>2</v>
      </c>
      <c r="L1704" s="637" t="s">
        <v>52</v>
      </c>
      <c r="M1704" s="637" t="s">
        <v>441</v>
      </c>
      <c r="N1704" s="637" t="s">
        <v>442</v>
      </c>
      <c r="O1704" s="637" t="s">
        <v>442</v>
      </c>
      <c r="P1704" s="637" t="s">
        <v>1156</v>
      </c>
      <c r="Q1704" s="638">
        <v>0</v>
      </c>
      <c r="R1704" s="638">
        <v>0</v>
      </c>
      <c r="S1704" s="638">
        <v>7722</v>
      </c>
      <c r="T1704" s="638">
        <v>7722</v>
      </c>
      <c r="U1704" s="638">
        <v>2263</v>
      </c>
      <c r="V1704" s="636">
        <v>2022</v>
      </c>
      <c r="W1704" s="640"/>
      <c r="X1704" s="641">
        <f t="shared" si="78"/>
        <v>3.4122845779938134</v>
      </c>
      <c r="Y1704" s="642" t="str">
        <f t="shared" si="79"/>
        <v/>
      </c>
      <c r="Z1704" s="642" t="str">
        <f t="shared" si="80"/>
        <v/>
      </c>
    </row>
    <row r="1705" spans="1:26" s="127" customFormat="1" ht="25">
      <c r="A1705" s="636">
        <v>61640</v>
      </c>
      <c r="B1705" s="637" t="s">
        <v>33</v>
      </c>
      <c r="C1705" s="636" t="s">
        <v>2725</v>
      </c>
      <c r="D1705" s="637" t="s">
        <v>2204</v>
      </c>
      <c r="E1705" s="637" t="s">
        <v>2205</v>
      </c>
      <c r="F1705" s="636">
        <v>61253</v>
      </c>
      <c r="G1705" s="637" t="s">
        <v>81</v>
      </c>
      <c r="H1705" s="637" t="s">
        <v>1163</v>
      </c>
      <c r="I1705" s="637" t="s">
        <v>58</v>
      </c>
      <c r="J1705" s="636">
        <v>22</v>
      </c>
      <c r="K1705" s="636">
        <v>2</v>
      </c>
      <c r="L1705" s="637" t="s">
        <v>52</v>
      </c>
      <c r="M1705" s="637" t="s">
        <v>35</v>
      </c>
      <c r="N1705" s="637" t="s">
        <v>36</v>
      </c>
      <c r="O1705" s="637" t="s">
        <v>37</v>
      </c>
      <c r="P1705" s="637" t="s">
        <v>1156</v>
      </c>
      <c r="Q1705" s="638">
        <v>0</v>
      </c>
      <c r="R1705" s="638">
        <v>0</v>
      </c>
      <c r="S1705" s="638">
        <v>12226</v>
      </c>
      <c r="T1705" s="638">
        <v>12226</v>
      </c>
      <c r="U1705" s="638">
        <v>3583</v>
      </c>
      <c r="V1705" s="636">
        <v>2022</v>
      </c>
      <c r="W1705" s="640"/>
      <c r="X1705" s="641">
        <f t="shared" si="78"/>
        <v>3.4122243929667877</v>
      </c>
      <c r="Y1705" s="642" t="str">
        <f t="shared" si="79"/>
        <v/>
      </c>
      <c r="Z1705" s="642" t="str">
        <f t="shared" si="80"/>
        <v/>
      </c>
    </row>
    <row r="1706" spans="1:26" s="127" customFormat="1" ht="25">
      <c r="A1706" s="636">
        <v>61641</v>
      </c>
      <c r="B1706" s="637" t="s">
        <v>33</v>
      </c>
      <c r="C1706" s="636" t="s">
        <v>2725</v>
      </c>
      <c r="D1706" s="637" t="s">
        <v>2206</v>
      </c>
      <c r="E1706" s="637" t="s">
        <v>2207</v>
      </c>
      <c r="F1706" s="636">
        <v>61252</v>
      </c>
      <c r="G1706" s="637" t="s">
        <v>57</v>
      </c>
      <c r="H1706" s="637" t="s">
        <v>1162</v>
      </c>
      <c r="I1706" s="637" t="s">
        <v>58</v>
      </c>
      <c r="J1706" s="636">
        <v>22</v>
      </c>
      <c r="K1706" s="636">
        <v>2</v>
      </c>
      <c r="L1706" s="637" t="s">
        <v>52</v>
      </c>
      <c r="M1706" s="637" t="s">
        <v>35</v>
      </c>
      <c r="N1706" s="637" t="s">
        <v>36</v>
      </c>
      <c r="O1706" s="637" t="s">
        <v>37</v>
      </c>
      <c r="P1706" s="637" t="s">
        <v>1156</v>
      </c>
      <c r="Q1706" s="638">
        <v>0</v>
      </c>
      <c r="R1706" s="638">
        <v>0</v>
      </c>
      <c r="S1706" s="638">
        <v>35444</v>
      </c>
      <c r="T1706" s="638">
        <v>35444</v>
      </c>
      <c r="U1706" s="638">
        <v>10388</v>
      </c>
      <c r="V1706" s="636">
        <v>2022</v>
      </c>
      <c r="W1706" s="640"/>
      <c r="X1706" s="641">
        <f t="shared" si="78"/>
        <v>3.4120138621486329</v>
      </c>
      <c r="Y1706" s="642" t="str">
        <f t="shared" si="79"/>
        <v/>
      </c>
      <c r="Z1706" s="642" t="str">
        <f t="shared" si="80"/>
        <v/>
      </c>
    </row>
    <row r="1707" spans="1:26" s="127" customFormat="1" ht="25">
      <c r="A1707" s="636">
        <v>61642</v>
      </c>
      <c r="B1707" s="637" t="s">
        <v>33</v>
      </c>
      <c r="C1707" s="636" t="s">
        <v>2725</v>
      </c>
      <c r="D1707" s="637" t="s">
        <v>2208</v>
      </c>
      <c r="E1707" s="637" t="s">
        <v>2207</v>
      </c>
      <c r="F1707" s="636">
        <v>61252</v>
      </c>
      <c r="G1707" s="637" t="s">
        <v>57</v>
      </c>
      <c r="H1707" s="637" t="s">
        <v>1162</v>
      </c>
      <c r="I1707" s="637" t="s">
        <v>58</v>
      </c>
      <c r="J1707" s="636">
        <v>22</v>
      </c>
      <c r="K1707" s="636">
        <v>2</v>
      </c>
      <c r="L1707" s="637" t="s">
        <v>52</v>
      </c>
      <c r="M1707" s="637" t="s">
        <v>35</v>
      </c>
      <c r="N1707" s="637" t="s">
        <v>36</v>
      </c>
      <c r="O1707" s="637" t="s">
        <v>37</v>
      </c>
      <c r="P1707" s="637" t="s">
        <v>1156</v>
      </c>
      <c r="Q1707" s="638">
        <v>0</v>
      </c>
      <c r="R1707" s="638">
        <v>0</v>
      </c>
      <c r="S1707" s="638">
        <v>10550</v>
      </c>
      <c r="T1707" s="638">
        <v>10550</v>
      </c>
      <c r="U1707" s="638">
        <v>3092</v>
      </c>
      <c r="V1707" s="636">
        <v>2022</v>
      </c>
      <c r="W1707" s="640"/>
      <c r="X1707" s="641">
        <f t="shared" si="78"/>
        <v>3.4120310478654594</v>
      </c>
      <c r="Y1707" s="642" t="str">
        <f t="shared" si="79"/>
        <v/>
      </c>
      <c r="Z1707" s="642" t="str">
        <f t="shared" si="80"/>
        <v/>
      </c>
    </row>
    <row r="1708" spans="1:26" s="127" customFormat="1" ht="25">
      <c r="A1708" s="636">
        <v>61673</v>
      </c>
      <c r="B1708" s="637" t="s">
        <v>33</v>
      </c>
      <c r="C1708" s="636" t="s">
        <v>2725</v>
      </c>
      <c r="D1708" s="637" t="s">
        <v>2322</v>
      </c>
      <c r="E1708" s="637" t="s">
        <v>2322</v>
      </c>
      <c r="F1708" s="636">
        <v>58261</v>
      </c>
      <c r="G1708" s="637" t="s">
        <v>57</v>
      </c>
      <c r="H1708" s="637" t="s">
        <v>1162</v>
      </c>
      <c r="I1708" s="637" t="s">
        <v>58</v>
      </c>
      <c r="J1708" s="636">
        <v>22</v>
      </c>
      <c r="K1708" s="636">
        <v>2</v>
      </c>
      <c r="L1708" s="637" t="s">
        <v>52</v>
      </c>
      <c r="M1708" s="637" t="s">
        <v>71</v>
      </c>
      <c r="N1708" s="637" t="s">
        <v>72</v>
      </c>
      <c r="O1708" s="637" t="s">
        <v>72</v>
      </c>
      <c r="P1708" s="637" t="s">
        <v>1156</v>
      </c>
      <c r="Q1708" s="638">
        <v>0</v>
      </c>
      <c r="R1708" s="638">
        <v>0</v>
      </c>
      <c r="S1708" s="638">
        <v>889062</v>
      </c>
      <c r="T1708" s="638">
        <v>889062</v>
      </c>
      <c r="U1708" s="638">
        <v>260569</v>
      </c>
      <c r="V1708" s="636">
        <v>2022</v>
      </c>
      <c r="W1708" s="640"/>
      <c r="X1708" s="641">
        <f t="shared" si="78"/>
        <v>3.4120021951958983</v>
      </c>
      <c r="Y1708" s="642" t="str">
        <f t="shared" si="79"/>
        <v/>
      </c>
      <c r="Z1708" s="642" t="str">
        <f t="shared" si="80"/>
        <v/>
      </c>
    </row>
    <row r="1709" spans="1:26" s="127" customFormat="1" ht="25">
      <c r="A1709" s="636">
        <v>61702</v>
      </c>
      <c r="B1709" s="637" t="s">
        <v>33</v>
      </c>
      <c r="C1709" s="636" t="s">
        <v>2725</v>
      </c>
      <c r="D1709" s="637" t="s">
        <v>2323</v>
      </c>
      <c r="E1709" s="637" t="s">
        <v>2324</v>
      </c>
      <c r="F1709" s="636">
        <v>61335</v>
      </c>
      <c r="G1709" s="637" t="s">
        <v>81</v>
      </c>
      <c r="H1709" s="637" t="s">
        <v>1163</v>
      </c>
      <c r="I1709" s="637" t="s">
        <v>58</v>
      </c>
      <c r="J1709" s="636">
        <v>22</v>
      </c>
      <c r="K1709" s="636">
        <v>2</v>
      </c>
      <c r="L1709" s="637" t="s">
        <v>52</v>
      </c>
      <c r="M1709" s="637" t="s">
        <v>51</v>
      </c>
      <c r="N1709" s="637" t="s">
        <v>63</v>
      </c>
      <c r="O1709" s="637" t="s">
        <v>64</v>
      </c>
      <c r="P1709" s="637" t="s">
        <v>1020</v>
      </c>
      <c r="Q1709" s="638">
        <v>580746</v>
      </c>
      <c r="R1709" s="638">
        <v>580746</v>
      </c>
      <c r="S1709" s="638">
        <v>293856</v>
      </c>
      <c r="T1709" s="638">
        <v>293856</v>
      </c>
      <c r="U1709" s="638">
        <v>21160</v>
      </c>
      <c r="V1709" s="636">
        <v>2022</v>
      </c>
      <c r="W1709" s="640"/>
      <c r="X1709" s="641">
        <f t="shared" si="78"/>
        <v>13.887334593572779</v>
      </c>
      <c r="Y1709" s="642" t="str">
        <f t="shared" si="79"/>
        <v/>
      </c>
      <c r="Z1709" s="642" t="str">
        <f t="shared" si="80"/>
        <v/>
      </c>
    </row>
    <row r="1710" spans="1:26" s="127" customFormat="1" ht="37.5" hidden="1">
      <c r="A1710" s="636">
        <v>61703</v>
      </c>
      <c r="B1710" s="637" t="s">
        <v>54</v>
      </c>
      <c r="C1710" s="636" t="s">
        <v>2725</v>
      </c>
      <c r="D1710" s="637" t="s">
        <v>2209</v>
      </c>
      <c r="E1710" s="637" t="s">
        <v>2210</v>
      </c>
      <c r="F1710" s="636">
        <v>61332</v>
      </c>
      <c r="G1710" s="637" t="s">
        <v>41</v>
      </c>
      <c r="H1710" s="637" t="s">
        <v>1163</v>
      </c>
      <c r="I1710" s="637" t="s">
        <v>58</v>
      </c>
      <c r="J1710" s="636">
        <v>336</v>
      </c>
      <c r="K1710" s="636">
        <v>7</v>
      </c>
      <c r="L1710" s="637" t="s">
        <v>403</v>
      </c>
      <c r="M1710" s="637" t="s">
        <v>50</v>
      </c>
      <c r="N1710" s="637" t="s">
        <v>46</v>
      </c>
      <c r="O1710" s="637" t="s">
        <v>46</v>
      </c>
      <c r="P1710" s="637" t="s">
        <v>47</v>
      </c>
      <c r="Q1710" s="638">
        <v>371</v>
      </c>
      <c r="R1710" s="638">
        <v>337</v>
      </c>
      <c r="S1710" s="638">
        <v>2134</v>
      </c>
      <c r="T1710" s="638">
        <v>1947</v>
      </c>
      <c r="U1710" s="638">
        <v>168.10400000000001</v>
      </c>
      <c r="V1710" s="636">
        <v>2022</v>
      </c>
      <c r="W1710" s="640"/>
      <c r="X1710" s="641" t="str">
        <f t="shared" si="78"/>
        <v/>
      </c>
      <c r="Y1710" s="642" t="str">
        <f t="shared" si="79"/>
        <v/>
      </c>
      <c r="Z1710" s="642">
        <f t="shared" si="80"/>
        <v>5.8770937215233596</v>
      </c>
    </row>
    <row r="1711" spans="1:26" s="127" customFormat="1" ht="37.5" hidden="1">
      <c r="A1711" s="636">
        <v>61703</v>
      </c>
      <c r="B1711" s="637" t="s">
        <v>54</v>
      </c>
      <c r="C1711" s="636" t="s">
        <v>2725</v>
      </c>
      <c r="D1711" s="637" t="s">
        <v>2209</v>
      </c>
      <c r="E1711" s="637" t="s">
        <v>2210</v>
      </c>
      <c r="F1711" s="636">
        <v>61332</v>
      </c>
      <c r="G1711" s="637" t="s">
        <v>41</v>
      </c>
      <c r="H1711" s="637" t="s">
        <v>1163</v>
      </c>
      <c r="I1711" s="637" t="s">
        <v>58</v>
      </c>
      <c r="J1711" s="636">
        <v>336</v>
      </c>
      <c r="K1711" s="636">
        <v>7</v>
      </c>
      <c r="L1711" s="637" t="s">
        <v>403</v>
      </c>
      <c r="M1711" s="637" t="s">
        <v>50</v>
      </c>
      <c r="N1711" s="637" t="s">
        <v>39</v>
      </c>
      <c r="O1711" s="637" t="s">
        <v>39</v>
      </c>
      <c r="P1711" s="637" t="s">
        <v>1020</v>
      </c>
      <c r="Q1711" s="638">
        <v>869663</v>
      </c>
      <c r="R1711" s="638">
        <v>793393</v>
      </c>
      <c r="S1711" s="638">
        <v>895753</v>
      </c>
      <c r="T1711" s="638">
        <v>817195</v>
      </c>
      <c r="U1711" s="638">
        <v>70586.895999999993</v>
      </c>
      <c r="V1711" s="636">
        <v>2022</v>
      </c>
      <c r="W1711" s="640"/>
      <c r="X1711" s="641" t="str">
        <f t="shared" si="78"/>
        <v/>
      </c>
      <c r="Y1711" s="642">
        <f t="shared" si="79"/>
        <v>5.8750346943002425</v>
      </c>
      <c r="Z1711" s="642" t="str">
        <f t="shared" si="80"/>
        <v/>
      </c>
    </row>
    <row r="1712" spans="1:26" s="127" customFormat="1" ht="37.5" hidden="1">
      <c r="A1712" s="636">
        <v>61703</v>
      </c>
      <c r="B1712" s="637" t="s">
        <v>54</v>
      </c>
      <c r="C1712" s="636" t="s">
        <v>2725</v>
      </c>
      <c r="D1712" s="637" t="s">
        <v>2209</v>
      </c>
      <c r="E1712" s="637" t="s">
        <v>2210</v>
      </c>
      <c r="F1712" s="636">
        <v>61332</v>
      </c>
      <c r="G1712" s="637" t="s">
        <v>41</v>
      </c>
      <c r="H1712" s="637" t="s">
        <v>1163</v>
      </c>
      <c r="I1712" s="637" t="s">
        <v>58</v>
      </c>
      <c r="J1712" s="636">
        <v>336</v>
      </c>
      <c r="K1712" s="636">
        <v>7</v>
      </c>
      <c r="L1712" s="637" t="s">
        <v>403</v>
      </c>
      <c r="M1712" s="637" t="s">
        <v>441</v>
      </c>
      <c r="N1712" s="637" t="s">
        <v>442</v>
      </c>
      <c r="O1712" s="637" t="s">
        <v>442</v>
      </c>
      <c r="P1712" s="637" t="s">
        <v>1156</v>
      </c>
      <c r="Q1712" s="638">
        <v>0</v>
      </c>
      <c r="R1712" s="638">
        <v>0</v>
      </c>
      <c r="S1712" s="638">
        <v>370</v>
      </c>
      <c r="T1712" s="638">
        <v>370</v>
      </c>
      <c r="U1712" s="638">
        <v>108</v>
      </c>
      <c r="V1712" s="636">
        <v>2022</v>
      </c>
      <c r="W1712" s="640"/>
      <c r="X1712" s="641" t="str">
        <f t="shared" si="78"/>
        <v/>
      </c>
      <c r="Y1712" s="642" t="str">
        <f t="shared" si="79"/>
        <v/>
      </c>
      <c r="Z1712" s="642" t="str">
        <f t="shared" si="80"/>
        <v/>
      </c>
    </row>
    <row r="1713" spans="1:26" s="127" customFormat="1" ht="25">
      <c r="A1713" s="636">
        <v>61717</v>
      </c>
      <c r="B1713" s="637" t="s">
        <v>33</v>
      </c>
      <c r="C1713" s="636" t="s">
        <v>2725</v>
      </c>
      <c r="D1713" s="637" t="s">
        <v>2211</v>
      </c>
      <c r="E1713" s="143" t="s">
        <v>3999</v>
      </c>
      <c r="F1713" s="636">
        <v>61347</v>
      </c>
      <c r="G1713" s="637" t="s">
        <v>57</v>
      </c>
      <c r="H1713" s="637" t="s">
        <v>1162</v>
      </c>
      <c r="I1713" s="637" t="s">
        <v>58</v>
      </c>
      <c r="J1713" s="636">
        <v>22</v>
      </c>
      <c r="K1713" s="636">
        <v>2</v>
      </c>
      <c r="L1713" s="637" t="s">
        <v>52</v>
      </c>
      <c r="M1713" s="637" t="s">
        <v>441</v>
      </c>
      <c r="N1713" s="637" t="s">
        <v>442</v>
      </c>
      <c r="O1713" s="637" t="s">
        <v>442</v>
      </c>
      <c r="P1713" s="637" t="s">
        <v>1156</v>
      </c>
      <c r="Q1713" s="638">
        <v>0</v>
      </c>
      <c r="R1713" s="638">
        <v>0</v>
      </c>
      <c r="S1713" s="638">
        <v>5431</v>
      </c>
      <c r="T1713" s="638">
        <v>5431</v>
      </c>
      <c r="U1713" s="638">
        <v>1592</v>
      </c>
      <c r="V1713" s="636">
        <v>2022</v>
      </c>
      <c r="W1713" s="640"/>
      <c r="X1713" s="641">
        <f t="shared" si="78"/>
        <v>3.4114321608040199</v>
      </c>
      <c r="Y1713" s="642" t="str">
        <f t="shared" si="79"/>
        <v/>
      </c>
      <c r="Z1713" s="642" t="str">
        <f t="shared" si="80"/>
        <v/>
      </c>
    </row>
    <row r="1714" spans="1:26" s="127" customFormat="1" ht="25">
      <c r="A1714" s="636">
        <v>61719</v>
      </c>
      <c r="B1714" s="637" t="s">
        <v>33</v>
      </c>
      <c r="C1714" s="636" t="s">
        <v>2725</v>
      </c>
      <c r="D1714" s="637" t="s">
        <v>2325</v>
      </c>
      <c r="E1714" s="637" t="s">
        <v>2326</v>
      </c>
      <c r="F1714" s="636">
        <v>61345</v>
      </c>
      <c r="G1714" s="637" t="s">
        <v>57</v>
      </c>
      <c r="H1714" s="637" t="s">
        <v>1162</v>
      </c>
      <c r="I1714" s="637" t="s">
        <v>58</v>
      </c>
      <c r="J1714" s="636">
        <v>22</v>
      </c>
      <c r="K1714" s="636">
        <v>2</v>
      </c>
      <c r="L1714" s="637" t="s">
        <v>52</v>
      </c>
      <c r="M1714" s="637" t="s">
        <v>441</v>
      </c>
      <c r="N1714" s="637" t="s">
        <v>442</v>
      </c>
      <c r="O1714" s="637" t="s">
        <v>442</v>
      </c>
      <c r="P1714" s="637" t="s">
        <v>1156</v>
      </c>
      <c r="Q1714" s="638">
        <v>0</v>
      </c>
      <c r="R1714" s="638">
        <v>0</v>
      </c>
      <c r="S1714" s="638">
        <v>9615</v>
      </c>
      <c r="T1714" s="638">
        <v>9615</v>
      </c>
      <c r="U1714" s="638">
        <v>2818</v>
      </c>
      <c r="V1714" s="636">
        <v>2022</v>
      </c>
      <c r="W1714" s="640"/>
      <c r="X1714" s="641">
        <f t="shared" si="78"/>
        <v>3.4119943222143365</v>
      </c>
      <c r="Y1714" s="642" t="str">
        <f t="shared" si="79"/>
        <v/>
      </c>
      <c r="Z1714" s="642" t="str">
        <f t="shared" si="80"/>
        <v/>
      </c>
    </row>
    <row r="1715" spans="1:26" s="127" customFormat="1" ht="25">
      <c r="A1715" s="636">
        <v>61720</v>
      </c>
      <c r="B1715" s="637" t="s">
        <v>33</v>
      </c>
      <c r="C1715" s="636" t="s">
        <v>2725</v>
      </c>
      <c r="D1715" s="637" t="s">
        <v>2327</v>
      </c>
      <c r="E1715" s="637" t="s">
        <v>2328</v>
      </c>
      <c r="F1715" s="636">
        <v>61346</v>
      </c>
      <c r="G1715" s="637" t="s">
        <v>57</v>
      </c>
      <c r="H1715" s="637" t="s">
        <v>1162</v>
      </c>
      <c r="I1715" s="637" t="s">
        <v>58</v>
      </c>
      <c r="J1715" s="636">
        <v>22</v>
      </c>
      <c r="K1715" s="636">
        <v>2</v>
      </c>
      <c r="L1715" s="637" t="s">
        <v>52</v>
      </c>
      <c r="M1715" s="637" t="s">
        <v>441</v>
      </c>
      <c r="N1715" s="637" t="s">
        <v>442</v>
      </c>
      <c r="O1715" s="637" t="s">
        <v>442</v>
      </c>
      <c r="P1715" s="637" t="s">
        <v>1156</v>
      </c>
      <c r="Q1715" s="638">
        <v>0</v>
      </c>
      <c r="R1715" s="638">
        <v>0</v>
      </c>
      <c r="S1715" s="638">
        <v>9615</v>
      </c>
      <c r="T1715" s="638">
        <v>9615</v>
      </c>
      <c r="U1715" s="638">
        <v>2818</v>
      </c>
      <c r="V1715" s="636">
        <v>2022</v>
      </c>
      <c r="W1715" s="640"/>
      <c r="X1715" s="641">
        <f t="shared" si="78"/>
        <v>3.4119943222143365</v>
      </c>
      <c r="Y1715" s="642" t="str">
        <f t="shared" si="79"/>
        <v/>
      </c>
      <c r="Z1715" s="642" t="str">
        <f t="shared" si="80"/>
        <v/>
      </c>
    </row>
    <row r="1716" spans="1:26" s="127" customFormat="1" ht="25">
      <c r="A1716" s="636">
        <v>61724</v>
      </c>
      <c r="B1716" s="637" t="s">
        <v>33</v>
      </c>
      <c r="C1716" s="636" t="s">
        <v>2725</v>
      </c>
      <c r="D1716" s="637" t="s">
        <v>2329</v>
      </c>
      <c r="E1716" s="637" t="s">
        <v>1995</v>
      </c>
      <c r="F1716" s="636">
        <v>60584</v>
      </c>
      <c r="G1716" s="637" t="s">
        <v>57</v>
      </c>
      <c r="H1716" s="637" t="s">
        <v>1162</v>
      </c>
      <c r="I1716" s="637" t="s">
        <v>58</v>
      </c>
      <c r="J1716" s="636">
        <v>22</v>
      </c>
      <c r="K1716" s="636">
        <v>2</v>
      </c>
      <c r="L1716" s="637" t="s">
        <v>52</v>
      </c>
      <c r="M1716" s="637" t="s">
        <v>441</v>
      </c>
      <c r="N1716" s="637" t="s">
        <v>442</v>
      </c>
      <c r="O1716" s="637" t="s">
        <v>442</v>
      </c>
      <c r="P1716" s="637" t="s">
        <v>1156</v>
      </c>
      <c r="Q1716" s="638">
        <v>0</v>
      </c>
      <c r="R1716" s="638">
        <v>0</v>
      </c>
      <c r="S1716" s="638">
        <v>8707</v>
      </c>
      <c r="T1716" s="638">
        <v>8707</v>
      </c>
      <c r="U1716" s="638">
        <v>2552</v>
      </c>
      <c r="V1716" s="636">
        <v>2022</v>
      </c>
      <c r="W1716" s="640"/>
      <c r="X1716" s="641">
        <f t="shared" si="78"/>
        <v>3.4118338557993733</v>
      </c>
      <c r="Y1716" s="642" t="str">
        <f t="shared" si="79"/>
        <v/>
      </c>
      <c r="Z1716" s="642" t="str">
        <f t="shared" si="80"/>
        <v/>
      </c>
    </row>
    <row r="1717" spans="1:26" s="127" customFormat="1" ht="25">
      <c r="A1717" s="636">
        <v>61725</v>
      </c>
      <c r="B1717" s="637" t="s">
        <v>33</v>
      </c>
      <c r="C1717" s="636" t="s">
        <v>2725</v>
      </c>
      <c r="D1717" s="637" t="s">
        <v>2212</v>
      </c>
      <c r="E1717" s="637" t="s">
        <v>3053</v>
      </c>
      <c r="F1717" s="636">
        <v>60571</v>
      </c>
      <c r="G1717" s="637" t="s">
        <v>57</v>
      </c>
      <c r="H1717" s="637" t="s">
        <v>1162</v>
      </c>
      <c r="I1717" s="637" t="s">
        <v>58</v>
      </c>
      <c r="J1717" s="636">
        <v>22</v>
      </c>
      <c r="K1717" s="636">
        <v>2</v>
      </c>
      <c r="L1717" s="637" t="s">
        <v>52</v>
      </c>
      <c r="M1717" s="637" t="s">
        <v>441</v>
      </c>
      <c r="N1717" s="637" t="s">
        <v>442</v>
      </c>
      <c r="O1717" s="637" t="s">
        <v>442</v>
      </c>
      <c r="P1717" s="637" t="s">
        <v>1156</v>
      </c>
      <c r="Q1717" s="638">
        <v>0</v>
      </c>
      <c r="R1717" s="638">
        <v>0</v>
      </c>
      <c r="S1717" s="638">
        <v>9434</v>
      </c>
      <c r="T1717" s="638">
        <v>9434</v>
      </c>
      <c r="U1717" s="638">
        <v>2765</v>
      </c>
      <c r="V1717" s="636">
        <v>2022</v>
      </c>
      <c r="W1717" s="640"/>
      <c r="X1717" s="641">
        <f t="shared" si="78"/>
        <v>3.4119349005424953</v>
      </c>
      <c r="Y1717" s="642" t="str">
        <f t="shared" si="79"/>
        <v/>
      </c>
      <c r="Z1717" s="642" t="str">
        <f t="shared" si="80"/>
        <v/>
      </c>
    </row>
    <row r="1718" spans="1:26" s="127" customFormat="1" ht="25">
      <c r="A1718" s="636">
        <v>61726</v>
      </c>
      <c r="B1718" s="637" t="s">
        <v>33</v>
      </c>
      <c r="C1718" s="636" t="s">
        <v>2725</v>
      </c>
      <c r="D1718" s="637" t="s">
        <v>2213</v>
      </c>
      <c r="E1718" s="637" t="s">
        <v>1995</v>
      </c>
      <c r="F1718" s="636">
        <v>60584</v>
      </c>
      <c r="G1718" s="637" t="s">
        <v>81</v>
      </c>
      <c r="H1718" s="637" t="s">
        <v>1163</v>
      </c>
      <c r="I1718" s="637" t="s">
        <v>58</v>
      </c>
      <c r="J1718" s="636">
        <v>22</v>
      </c>
      <c r="K1718" s="636">
        <v>2</v>
      </c>
      <c r="L1718" s="637" t="s">
        <v>52</v>
      </c>
      <c r="M1718" s="637" t="s">
        <v>441</v>
      </c>
      <c r="N1718" s="637" t="s">
        <v>442</v>
      </c>
      <c r="O1718" s="637" t="s">
        <v>442</v>
      </c>
      <c r="P1718" s="637" t="s">
        <v>1156</v>
      </c>
      <c r="Q1718" s="638">
        <v>0</v>
      </c>
      <c r="R1718" s="638">
        <v>0</v>
      </c>
      <c r="S1718" s="638">
        <v>12247</v>
      </c>
      <c r="T1718" s="638">
        <v>12247</v>
      </c>
      <c r="U1718" s="638">
        <v>3590</v>
      </c>
      <c r="V1718" s="636">
        <v>2022</v>
      </c>
      <c r="W1718" s="640"/>
      <c r="X1718" s="641">
        <f t="shared" si="78"/>
        <v>3.4114206128133704</v>
      </c>
      <c r="Y1718" s="642" t="str">
        <f t="shared" si="79"/>
        <v/>
      </c>
      <c r="Z1718" s="642" t="str">
        <f t="shared" si="80"/>
        <v/>
      </c>
    </row>
    <row r="1719" spans="1:26" s="127" customFormat="1" ht="25">
      <c r="A1719" s="636">
        <v>61727</v>
      </c>
      <c r="B1719" s="637" t="s">
        <v>33</v>
      </c>
      <c r="C1719" s="636" t="s">
        <v>2725</v>
      </c>
      <c r="D1719" s="637" t="s">
        <v>2330</v>
      </c>
      <c r="E1719" s="637" t="s">
        <v>1995</v>
      </c>
      <c r="F1719" s="636">
        <v>60584</v>
      </c>
      <c r="G1719" s="637" t="s">
        <v>81</v>
      </c>
      <c r="H1719" s="637" t="s">
        <v>1163</v>
      </c>
      <c r="I1719" s="637" t="s">
        <v>58</v>
      </c>
      <c r="J1719" s="636">
        <v>22</v>
      </c>
      <c r="K1719" s="636">
        <v>2</v>
      </c>
      <c r="L1719" s="637" t="s">
        <v>52</v>
      </c>
      <c r="M1719" s="637" t="s">
        <v>441</v>
      </c>
      <c r="N1719" s="637" t="s">
        <v>442</v>
      </c>
      <c r="O1719" s="637" t="s">
        <v>442</v>
      </c>
      <c r="P1719" s="637" t="s">
        <v>1156</v>
      </c>
      <c r="Q1719" s="638">
        <v>0</v>
      </c>
      <c r="R1719" s="638">
        <v>0</v>
      </c>
      <c r="S1719" s="638">
        <v>20250</v>
      </c>
      <c r="T1719" s="638">
        <v>20250</v>
      </c>
      <c r="U1719" s="638">
        <v>5935</v>
      </c>
      <c r="V1719" s="636">
        <v>2022</v>
      </c>
      <c r="W1719" s="640"/>
      <c r="X1719" s="641">
        <f t="shared" si="78"/>
        <v>3.4119629317607414</v>
      </c>
      <c r="Y1719" s="642" t="str">
        <f t="shared" si="79"/>
        <v/>
      </c>
      <c r="Z1719" s="642" t="str">
        <f t="shared" si="80"/>
        <v/>
      </c>
    </row>
    <row r="1720" spans="1:26" s="127" customFormat="1" ht="25">
      <c r="A1720" s="636">
        <v>61728</v>
      </c>
      <c r="B1720" s="637" t="s">
        <v>33</v>
      </c>
      <c r="C1720" s="636" t="s">
        <v>2725</v>
      </c>
      <c r="D1720" s="637" t="s">
        <v>2214</v>
      </c>
      <c r="E1720" s="637" t="s">
        <v>1995</v>
      </c>
      <c r="F1720" s="636">
        <v>60584</v>
      </c>
      <c r="G1720" s="637" t="s">
        <v>41</v>
      </c>
      <c r="H1720" s="637" t="s">
        <v>1163</v>
      </c>
      <c r="I1720" s="637" t="s">
        <v>58</v>
      </c>
      <c r="J1720" s="636">
        <v>22</v>
      </c>
      <c r="K1720" s="636">
        <v>2</v>
      </c>
      <c r="L1720" s="637" t="s">
        <v>52</v>
      </c>
      <c r="M1720" s="637" t="s">
        <v>441</v>
      </c>
      <c r="N1720" s="637" t="s">
        <v>442</v>
      </c>
      <c r="O1720" s="637" t="s">
        <v>442</v>
      </c>
      <c r="P1720" s="637" t="s">
        <v>1156</v>
      </c>
      <c r="Q1720" s="638">
        <v>0</v>
      </c>
      <c r="R1720" s="638">
        <v>0</v>
      </c>
      <c r="S1720" s="638">
        <v>9891</v>
      </c>
      <c r="T1720" s="638">
        <v>9891</v>
      </c>
      <c r="U1720" s="638">
        <v>2899</v>
      </c>
      <c r="V1720" s="636">
        <v>2022</v>
      </c>
      <c r="W1720" s="640"/>
      <c r="X1720" s="641">
        <f t="shared" si="78"/>
        <v>3.4118661607450846</v>
      </c>
      <c r="Y1720" s="642" t="str">
        <f t="shared" si="79"/>
        <v/>
      </c>
      <c r="Z1720" s="642" t="str">
        <f t="shared" si="80"/>
        <v/>
      </c>
    </row>
    <row r="1721" spans="1:26" s="127" customFormat="1" ht="25">
      <c r="A1721" s="636">
        <v>61730</v>
      </c>
      <c r="B1721" s="637" t="s">
        <v>33</v>
      </c>
      <c r="C1721" s="636" t="s">
        <v>2725</v>
      </c>
      <c r="D1721" s="637" t="s">
        <v>2763</v>
      </c>
      <c r="E1721" s="637" t="s">
        <v>2331</v>
      </c>
      <c r="F1721" s="636">
        <v>58764</v>
      </c>
      <c r="G1721" s="637" t="s">
        <v>81</v>
      </c>
      <c r="H1721" s="637" t="s">
        <v>1163</v>
      </c>
      <c r="I1721" s="637" t="s">
        <v>58</v>
      </c>
      <c r="J1721" s="636">
        <v>22</v>
      </c>
      <c r="K1721" s="636">
        <v>2</v>
      </c>
      <c r="L1721" s="637" t="s">
        <v>52</v>
      </c>
      <c r="M1721" s="637" t="s">
        <v>1852</v>
      </c>
      <c r="N1721" s="637" t="s">
        <v>1035</v>
      </c>
      <c r="O1721" s="637" t="s">
        <v>82</v>
      </c>
      <c r="P1721" s="637" t="s">
        <v>2726</v>
      </c>
      <c r="Q1721" s="638">
        <v>314</v>
      </c>
      <c r="R1721" s="638">
        <v>314</v>
      </c>
      <c r="S1721" s="638">
        <v>0</v>
      </c>
      <c r="T1721" s="638">
        <v>0</v>
      </c>
      <c r="U1721" s="638">
        <v>-26</v>
      </c>
      <c r="V1721" s="636">
        <v>2022</v>
      </c>
      <c r="W1721" s="640"/>
      <c r="X1721" s="641" t="str">
        <f t="shared" si="78"/>
        <v/>
      </c>
      <c r="Y1721" s="642" t="str">
        <f t="shared" si="79"/>
        <v/>
      </c>
      <c r="Z1721" s="642" t="str">
        <f t="shared" si="80"/>
        <v/>
      </c>
    </row>
    <row r="1722" spans="1:26" s="127" customFormat="1" ht="25">
      <c r="A1722" s="636">
        <v>61730</v>
      </c>
      <c r="B1722" s="637" t="s">
        <v>33</v>
      </c>
      <c r="C1722" s="636" t="s">
        <v>2725</v>
      </c>
      <c r="D1722" s="637" t="s">
        <v>2763</v>
      </c>
      <c r="E1722" s="637" t="s">
        <v>2331</v>
      </c>
      <c r="F1722" s="636">
        <v>58764</v>
      </c>
      <c r="G1722" s="637" t="s">
        <v>81</v>
      </c>
      <c r="H1722" s="637" t="s">
        <v>1163</v>
      </c>
      <c r="I1722" s="637" t="s">
        <v>58</v>
      </c>
      <c r="J1722" s="636">
        <v>22</v>
      </c>
      <c r="K1722" s="636">
        <v>2</v>
      </c>
      <c r="L1722" s="637" t="s">
        <v>52</v>
      </c>
      <c r="M1722" s="637" t="s">
        <v>441</v>
      </c>
      <c r="N1722" s="637" t="s">
        <v>442</v>
      </c>
      <c r="O1722" s="637" t="s">
        <v>442</v>
      </c>
      <c r="P1722" s="637" t="s">
        <v>1156</v>
      </c>
      <c r="Q1722" s="638">
        <v>0</v>
      </c>
      <c r="R1722" s="638">
        <v>0</v>
      </c>
      <c r="S1722" s="638">
        <v>4894</v>
      </c>
      <c r="T1722" s="638">
        <v>4894</v>
      </c>
      <c r="U1722" s="638">
        <v>1435</v>
      </c>
      <c r="V1722" s="636">
        <v>2022</v>
      </c>
      <c r="W1722" s="640"/>
      <c r="X1722" s="641">
        <f t="shared" si="78"/>
        <v>3.4104529616724739</v>
      </c>
      <c r="Y1722" s="642" t="str">
        <f t="shared" si="79"/>
        <v/>
      </c>
      <c r="Z1722" s="642" t="str">
        <f t="shared" si="80"/>
        <v/>
      </c>
    </row>
    <row r="1723" spans="1:26" s="127" customFormat="1" ht="25">
      <c r="A1723" s="636">
        <v>61731</v>
      </c>
      <c r="B1723" s="637" t="s">
        <v>33</v>
      </c>
      <c r="C1723" s="636" t="s">
        <v>2725</v>
      </c>
      <c r="D1723" s="637" t="s">
        <v>2215</v>
      </c>
      <c r="E1723" s="637" t="s">
        <v>2215</v>
      </c>
      <c r="F1723" s="636">
        <v>61354</v>
      </c>
      <c r="G1723" s="637" t="s">
        <v>81</v>
      </c>
      <c r="H1723" s="637" t="s">
        <v>1163</v>
      </c>
      <c r="I1723" s="637" t="s">
        <v>58</v>
      </c>
      <c r="J1723" s="636">
        <v>22</v>
      </c>
      <c r="K1723" s="636">
        <v>2</v>
      </c>
      <c r="L1723" s="637" t="s">
        <v>52</v>
      </c>
      <c r="M1723" s="637" t="s">
        <v>441</v>
      </c>
      <c r="N1723" s="637" t="s">
        <v>442</v>
      </c>
      <c r="O1723" s="637" t="s">
        <v>442</v>
      </c>
      <c r="P1723" s="637" t="s">
        <v>1156</v>
      </c>
      <c r="Q1723" s="638">
        <v>0</v>
      </c>
      <c r="R1723" s="638">
        <v>0</v>
      </c>
      <c r="S1723" s="638">
        <v>25467</v>
      </c>
      <c r="T1723" s="638">
        <v>25467</v>
      </c>
      <c r="U1723" s="638">
        <v>7464</v>
      </c>
      <c r="V1723" s="636">
        <v>2022</v>
      </c>
      <c r="W1723" s="640"/>
      <c r="X1723" s="641">
        <f t="shared" si="78"/>
        <v>3.411977491961415</v>
      </c>
      <c r="Y1723" s="642" t="str">
        <f t="shared" si="79"/>
        <v/>
      </c>
      <c r="Z1723" s="642" t="str">
        <f t="shared" si="80"/>
        <v/>
      </c>
    </row>
    <row r="1724" spans="1:26" s="127" customFormat="1" ht="25">
      <c r="A1724" s="636">
        <v>61732</v>
      </c>
      <c r="B1724" s="637" t="s">
        <v>33</v>
      </c>
      <c r="C1724" s="636" t="s">
        <v>2725</v>
      </c>
      <c r="D1724" s="637" t="s">
        <v>2216</v>
      </c>
      <c r="E1724" s="637" t="s">
        <v>2217</v>
      </c>
      <c r="F1724" s="636">
        <v>61356</v>
      </c>
      <c r="G1724" s="637" t="s">
        <v>81</v>
      </c>
      <c r="H1724" s="637" t="s">
        <v>1163</v>
      </c>
      <c r="I1724" s="637" t="s">
        <v>58</v>
      </c>
      <c r="J1724" s="636">
        <v>22</v>
      </c>
      <c r="K1724" s="636">
        <v>2</v>
      </c>
      <c r="L1724" s="637" t="s">
        <v>52</v>
      </c>
      <c r="M1724" s="637" t="s">
        <v>441</v>
      </c>
      <c r="N1724" s="637" t="s">
        <v>442</v>
      </c>
      <c r="O1724" s="637" t="s">
        <v>442</v>
      </c>
      <c r="P1724" s="637" t="s">
        <v>1156</v>
      </c>
      <c r="Q1724" s="638">
        <v>0</v>
      </c>
      <c r="R1724" s="638">
        <v>0</v>
      </c>
      <c r="S1724" s="638">
        <v>23175</v>
      </c>
      <c r="T1724" s="638">
        <v>23175</v>
      </c>
      <c r="U1724" s="638">
        <v>6792</v>
      </c>
      <c r="V1724" s="636">
        <v>2022</v>
      </c>
      <c r="W1724" s="640"/>
      <c r="X1724" s="641">
        <f t="shared" si="78"/>
        <v>3.412102473498233</v>
      </c>
      <c r="Y1724" s="642" t="str">
        <f t="shared" si="79"/>
        <v/>
      </c>
      <c r="Z1724" s="642" t="str">
        <f t="shared" si="80"/>
        <v/>
      </c>
    </row>
    <row r="1725" spans="1:26" s="127" customFormat="1" ht="37.5" hidden="1">
      <c r="A1725" s="636">
        <v>61734</v>
      </c>
      <c r="B1725" s="637" t="s">
        <v>33</v>
      </c>
      <c r="C1725" s="636" t="s">
        <v>2725</v>
      </c>
      <c r="D1725" s="637" t="s">
        <v>2218</v>
      </c>
      <c r="E1725" s="637" t="s">
        <v>2219</v>
      </c>
      <c r="F1725" s="636">
        <v>61363</v>
      </c>
      <c r="G1725" s="637" t="s">
        <v>57</v>
      </c>
      <c r="H1725" s="637" t="s">
        <v>1162</v>
      </c>
      <c r="I1725" s="637" t="s">
        <v>58</v>
      </c>
      <c r="J1725" s="636">
        <v>441</v>
      </c>
      <c r="K1725" s="636">
        <v>4</v>
      </c>
      <c r="L1725" s="637" t="s">
        <v>406</v>
      </c>
      <c r="M1725" s="637" t="s">
        <v>71</v>
      </c>
      <c r="N1725" s="637" t="s">
        <v>72</v>
      </c>
      <c r="O1725" s="637" t="s">
        <v>72</v>
      </c>
      <c r="P1725" s="637" t="s">
        <v>1156</v>
      </c>
      <c r="Q1725" s="638">
        <v>0</v>
      </c>
      <c r="R1725" s="638">
        <v>0</v>
      </c>
      <c r="S1725" s="638">
        <v>8924</v>
      </c>
      <c r="T1725" s="638">
        <v>8924</v>
      </c>
      <c r="U1725" s="638">
        <v>2615</v>
      </c>
      <c r="V1725" s="636">
        <v>2022</v>
      </c>
      <c r="W1725" s="640"/>
      <c r="X1725" s="641" t="str">
        <f t="shared" si="78"/>
        <v/>
      </c>
      <c r="Y1725" s="642" t="str">
        <f t="shared" si="79"/>
        <v/>
      </c>
      <c r="Z1725" s="642" t="str">
        <f t="shared" si="80"/>
        <v/>
      </c>
    </row>
    <row r="1726" spans="1:26" s="127" customFormat="1" ht="25">
      <c r="A1726" s="636">
        <v>61736</v>
      </c>
      <c r="B1726" s="637" t="s">
        <v>33</v>
      </c>
      <c r="C1726" s="636" t="s">
        <v>2725</v>
      </c>
      <c r="D1726" s="637" t="s">
        <v>2332</v>
      </c>
      <c r="E1726" s="637" t="s">
        <v>2333</v>
      </c>
      <c r="F1726" s="636">
        <v>61366</v>
      </c>
      <c r="G1726" s="637" t="s">
        <v>41</v>
      </c>
      <c r="H1726" s="637" t="s">
        <v>1163</v>
      </c>
      <c r="I1726" s="637" t="s">
        <v>58</v>
      </c>
      <c r="J1726" s="636">
        <v>22</v>
      </c>
      <c r="K1726" s="636">
        <v>2</v>
      </c>
      <c r="L1726" s="637" t="s">
        <v>52</v>
      </c>
      <c r="M1726" s="637" t="s">
        <v>441</v>
      </c>
      <c r="N1726" s="637" t="s">
        <v>442</v>
      </c>
      <c r="O1726" s="637" t="s">
        <v>442</v>
      </c>
      <c r="P1726" s="637" t="s">
        <v>1156</v>
      </c>
      <c r="Q1726" s="638">
        <v>0</v>
      </c>
      <c r="R1726" s="638">
        <v>0</v>
      </c>
      <c r="S1726" s="638">
        <v>103860</v>
      </c>
      <c r="T1726" s="638">
        <v>103860</v>
      </c>
      <c r="U1726" s="638">
        <v>30439</v>
      </c>
      <c r="V1726" s="636">
        <v>2022</v>
      </c>
      <c r="W1726" s="640"/>
      <c r="X1726" s="641">
        <f t="shared" si="78"/>
        <v>3.41207004172279</v>
      </c>
      <c r="Y1726" s="642" t="str">
        <f t="shared" si="79"/>
        <v/>
      </c>
      <c r="Z1726" s="642" t="str">
        <f t="shared" si="80"/>
        <v/>
      </c>
    </row>
    <row r="1727" spans="1:26" s="127" customFormat="1" ht="37.5" hidden="1">
      <c r="A1727" s="636">
        <v>61739</v>
      </c>
      <c r="B1727" s="637" t="s">
        <v>33</v>
      </c>
      <c r="C1727" s="636" t="s">
        <v>2725</v>
      </c>
      <c r="D1727" s="637" t="s">
        <v>2220</v>
      </c>
      <c r="E1727" s="637" t="s">
        <v>2220</v>
      </c>
      <c r="F1727" s="636">
        <v>61364</v>
      </c>
      <c r="G1727" s="637" t="s">
        <v>57</v>
      </c>
      <c r="H1727" s="637" t="s">
        <v>1162</v>
      </c>
      <c r="I1727" s="637" t="s">
        <v>58</v>
      </c>
      <c r="J1727" s="636">
        <v>339</v>
      </c>
      <c r="K1727" s="636">
        <v>6</v>
      </c>
      <c r="L1727" s="637" t="s">
        <v>404</v>
      </c>
      <c r="M1727" s="637" t="s">
        <v>1852</v>
      </c>
      <c r="N1727" s="637" t="s">
        <v>1035</v>
      </c>
      <c r="O1727" s="637" t="s">
        <v>82</v>
      </c>
      <c r="P1727" s="637" t="s">
        <v>2726</v>
      </c>
      <c r="Q1727" s="638">
        <v>1</v>
      </c>
      <c r="R1727" s="638">
        <v>1</v>
      </c>
      <c r="S1727" s="638">
        <v>0</v>
      </c>
      <c r="T1727" s="638">
        <v>0</v>
      </c>
      <c r="U1727" s="638">
        <v>0</v>
      </c>
      <c r="V1727" s="636">
        <v>2022</v>
      </c>
      <c r="W1727" s="640"/>
      <c r="X1727" s="641" t="str">
        <f t="shared" si="78"/>
        <v/>
      </c>
      <c r="Y1727" s="642" t="str">
        <f t="shared" si="79"/>
        <v/>
      </c>
      <c r="Z1727" s="642" t="str">
        <f t="shared" si="80"/>
        <v/>
      </c>
    </row>
    <row r="1728" spans="1:26" s="127" customFormat="1" ht="25">
      <c r="A1728" s="636">
        <v>61743</v>
      </c>
      <c r="B1728" s="637" t="s">
        <v>33</v>
      </c>
      <c r="C1728" s="636" t="s">
        <v>2725</v>
      </c>
      <c r="D1728" s="637" t="s">
        <v>3633</v>
      </c>
      <c r="E1728" s="637" t="s">
        <v>3634</v>
      </c>
      <c r="F1728" s="636">
        <v>60195</v>
      </c>
      <c r="G1728" s="637" t="s">
        <v>41</v>
      </c>
      <c r="H1728" s="637" t="s">
        <v>1163</v>
      </c>
      <c r="I1728" s="637" t="s">
        <v>58</v>
      </c>
      <c r="J1728" s="636">
        <v>22</v>
      </c>
      <c r="K1728" s="636">
        <v>2</v>
      </c>
      <c r="L1728" s="637" t="s">
        <v>52</v>
      </c>
      <c r="M1728" s="637" t="s">
        <v>1232</v>
      </c>
      <c r="N1728" s="637" t="s">
        <v>39</v>
      </c>
      <c r="O1728" s="637" t="s">
        <v>39</v>
      </c>
      <c r="P1728" s="637" t="s">
        <v>1020</v>
      </c>
      <c r="Q1728" s="638">
        <v>12684</v>
      </c>
      <c r="R1728" s="638">
        <v>12684</v>
      </c>
      <c r="S1728" s="638">
        <v>12177</v>
      </c>
      <c r="T1728" s="638">
        <v>12177</v>
      </c>
      <c r="U1728" s="638">
        <v>2277</v>
      </c>
      <c r="V1728" s="636">
        <v>2022</v>
      </c>
      <c r="W1728" s="640"/>
      <c r="X1728" s="641">
        <f t="shared" si="78"/>
        <v>5.3478260869565215</v>
      </c>
      <c r="Y1728" s="642" t="str">
        <f t="shared" si="79"/>
        <v/>
      </c>
      <c r="Z1728" s="642" t="str">
        <f t="shared" si="80"/>
        <v/>
      </c>
    </row>
    <row r="1729" spans="1:26" s="127" customFormat="1" ht="25">
      <c r="A1729" s="636">
        <v>61755</v>
      </c>
      <c r="B1729" s="637" t="s">
        <v>33</v>
      </c>
      <c r="C1729" s="636" t="s">
        <v>2725</v>
      </c>
      <c r="D1729" s="637" t="s">
        <v>2221</v>
      </c>
      <c r="E1729" s="637" t="s">
        <v>1731</v>
      </c>
      <c r="F1729" s="636">
        <v>59254</v>
      </c>
      <c r="G1729" s="637" t="s">
        <v>81</v>
      </c>
      <c r="H1729" s="637" t="s">
        <v>1163</v>
      </c>
      <c r="I1729" s="637" t="s">
        <v>58</v>
      </c>
      <c r="J1729" s="636">
        <v>22</v>
      </c>
      <c r="K1729" s="636">
        <v>2</v>
      </c>
      <c r="L1729" s="637" t="s">
        <v>52</v>
      </c>
      <c r="M1729" s="637" t="s">
        <v>441</v>
      </c>
      <c r="N1729" s="637" t="s">
        <v>442</v>
      </c>
      <c r="O1729" s="637" t="s">
        <v>442</v>
      </c>
      <c r="P1729" s="637" t="s">
        <v>1156</v>
      </c>
      <c r="Q1729" s="638">
        <v>0</v>
      </c>
      <c r="R1729" s="638">
        <v>0</v>
      </c>
      <c r="S1729" s="638">
        <v>18919</v>
      </c>
      <c r="T1729" s="638">
        <v>18919</v>
      </c>
      <c r="U1729" s="638">
        <v>5545</v>
      </c>
      <c r="V1729" s="636">
        <v>2022</v>
      </c>
      <c r="W1729" s="640"/>
      <c r="X1729" s="641">
        <f t="shared" si="78"/>
        <v>3.4119026149684402</v>
      </c>
      <c r="Y1729" s="642" t="str">
        <f t="shared" si="79"/>
        <v/>
      </c>
      <c r="Z1729" s="642" t="str">
        <f t="shared" si="80"/>
        <v/>
      </c>
    </row>
    <row r="1730" spans="1:26" s="127" customFormat="1" ht="25">
      <c r="A1730" s="636">
        <v>61764</v>
      </c>
      <c r="B1730" s="637" t="s">
        <v>33</v>
      </c>
      <c r="C1730" s="636" t="s">
        <v>2725</v>
      </c>
      <c r="D1730" s="637" t="s">
        <v>2222</v>
      </c>
      <c r="E1730" s="637" t="s">
        <v>2223</v>
      </c>
      <c r="F1730" s="636">
        <v>61391</v>
      </c>
      <c r="G1730" s="637" t="s">
        <v>57</v>
      </c>
      <c r="H1730" s="637" t="s">
        <v>1162</v>
      </c>
      <c r="I1730" s="637" t="s">
        <v>58</v>
      </c>
      <c r="J1730" s="636">
        <v>22</v>
      </c>
      <c r="K1730" s="636">
        <v>2</v>
      </c>
      <c r="L1730" s="637" t="s">
        <v>52</v>
      </c>
      <c r="M1730" s="637" t="s">
        <v>441</v>
      </c>
      <c r="N1730" s="637" t="s">
        <v>442</v>
      </c>
      <c r="O1730" s="637" t="s">
        <v>442</v>
      </c>
      <c r="P1730" s="637" t="s">
        <v>1156</v>
      </c>
      <c r="Q1730" s="638">
        <v>0</v>
      </c>
      <c r="R1730" s="638">
        <v>0</v>
      </c>
      <c r="S1730" s="638">
        <v>9789</v>
      </c>
      <c r="T1730" s="638">
        <v>9789</v>
      </c>
      <c r="U1730" s="638">
        <v>2869</v>
      </c>
      <c r="V1730" s="636">
        <v>2022</v>
      </c>
      <c r="W1730" s="640"/>
      <c r="X1730" s="641">
        <f t="shared" si="78"/>
        <v>3.4119902405019169</v>
      </c>
      <c r="Y1730" s="642" t="str">
        <f t="shared" si="79"/>
        <v/>
      </c>
      <c r="Z1730" s="642" t="str">
        <f t="shared" si="80"/>
        <v/>
      </c>
    </row>
    <row r="1731" spans="1:26" s="127" customFormat="1" ht="25">
      <c r="A1731" s="636">
        <v>61765</v>
      </c>
      <c r="B1731" s="637" t="s">
        <v>33</v>
      </c>
      <c r="C1731" s="636" t="s">
        <v>2725</v>
      </c>
      <c r="D1731" s="637" t="s">
        <v>2224</v>
      </c>
      <c r="E1731" s="637" t="s">
        <v>2225</v>
      </c>
      <c r="F1731" s="636">
        <v>61387</v>
      </c>
      <c r="G1731" s="637" t="s">
        <v>57</v>
      </c>
      <c r="H1731" s="637" t="s">
        <v>1162</v>
      </c>
      <c r="I1731" s="637" t="s">
        <v>58</v>
      </c>
      <c r="J1731" s="636">
        <v>22</v>
      </c>
      <c r="K1731" s="636">
        <v>2</v>
      </c>
      <c r="L1731" s="637" t="s">
        <v>52</v>
      </c>
      <c r="M1731" s="637" t="s">
        <v>441</v>
      </c>
      <c r="N1731" s="637" t="s">
        <v>442</v>
      </c>
      <c r="O1731" s="637" t="s">
        <v>442</v>
      </c>
      <c r="P1731" s="637" t="s">
        <v>1156</v>
      </c>
      <c r="Q1731" s="638">
        <v>0</v>
      </c>
      <c r="R1731" s="638">
        <v>0</v>
      </c>
      <c r="S1731" s="638">
        <v>11099</v>
      </c>
      <c r="T1731" s="638">
        <v>11099</v>
      </c>
      <c r="U1731" s="638">
        <v>3253</v>
      </c>
      <c r="V1731" s="636">
        <v>2022</v>
      </c>
      <c r="W1731" s="640"/>
      <c r="X1731" s="641">
        <f t="shared" si="78"/>
        <v>3.4119274515831539</v>
      </c>
      <c r="Y1731" s="642" t="str">
        <f t="shared" si="79"/>
        <v/>
      </c>
      <c r="Z1731" s="642" t="str">
        <f t="shared" si="80"/>
        <v/>
      </c>
    </row>
    <row r="1732" spans="1:26" s="127" customFormat="1" ht="25">
      <c r="A1732" s="636">
        <v>61769</v>
      </c>
      <c r="B1732" s="637" t="s">
        <v>33</v>
      </c>
      <c r="C1732" s="636" t="s">
        <v>2725</v>
      </c>
      <c r="D1732" s="637" t="s">
        <v>2226</v>
      </c>
      <c r="E1732" s="637" t="s">
        <v>2227</v>
      </c>
      <c r="F1732" s="636">
        <v>61388</v>
      </c>
      <c r="G1732" s="637" t="s">
        <v>81</v>
      </c>
      <c r="H1732" s="637" t="s">
        <v>1163</v>
      </c>
      <c r="I1732" s="637" t="s">
        <v>58</v>
      </c>
      <c r="J1732" s="636">
        <v>22</v>
      </c>
      <c r="K1732" s="636">
        <v>2</v>
      </c>
      <c r="L1732" s="637" t="s">
        <v>52</v>
      </c>
      <c r="M1732" s="637" t="s">
        <v>441</v>
      </c>
      <c r="N1732" s="637" t="s">
        <v>442</v>
      </c>
      <c r="O1732" s="637" t="s">
        <v>442</v>
      </c>
      <c r="P1732" s="637" t="s">
        <v>1156</v>
      </c>
      <c r="Q1732" s="638">
        <v>0</v>
      </c>
      <c r="R1732" s="638">
        <v>0</v>
      </c>
      <c r="S1732" s="638">
        <v>11002</v>
      </c>
      <c r="T1732" s="638">
        <v>11002</v>
      </c>
      <c r="U1732" s="638">
        <v>3224</v>
      </c>
      <c r="V1732" s="636">
        <v>2022</v>
      </c>
      <c r="W1732" s="640"/>
      <c r="X1732" s="641">
        <f t="shared" si="78"/>
        <v>3.412531017369727</v>
      </c>
      <c r="Y1732" s="642" t="str">
        <f t="shared" si="79"/>
        <v/>
      </c>
      <c r="Z1732" s="642" t="str">
        <f t="shared" si="80"/>
        <v/>
      </c>
    </row>
    <row r="1733" spans="1:26" s="127" customFormat="1" ht="25">
      <c r="A1733" s="636">
        <v>61770</v>
      </c>
      <c r="B1733" s="637" t="s">
        <v>33</v>
      </c>
      <c r="C1733" s="636" t="s">
        <v>2725</v>
      </c>
      <c r="D1733" s="637" t="s">
        <v>2228</v>
      </c>
      <c r="E1733" s="637" t="s">
        <v>2229</v>
      </c>
      <c r="F1733" s="636">
        <v>61389</v>
      </c>
      <c r="G1733" s="637" t="s">
        <v>81</v>
      </c>
      <c r="H1733" s="637" t="s">
        <v>1163</v>
      </c>
      <c r="I1733" s="637" t="s">
        <v>58</v>
      </c>
      <c r="J1733" s="636">
        <v>22</v>
      </c>
      <c r="K1733" s="636">
        <v>2</v>
      </c>
      <c r="L1733" s="637" t="s">
        <v>52</v>
      </c>
      <c r="M1733" s="637" t="s">
        <v>441</v>
      </c>
      <c r="N1733" s="637" t="s">
        <v>442</v>
      </c>
      <c r="O1733" s="637" t="s">
        <v>442</v>
      </c>
      <c r="P1733" s="637" t="s">
        <v>1156</v>
      </c>
      <c r="Q1733" s="638">
        <v>0</v>
      </c>
      <c r="R1733" s="638">
        <v>0</v>
      </c>
      <c r="S1733" s="638">
        <v>11521</v>
      </c>
      <c r="T1733" s="638">
        <v>11521</v>
      </c>
      <c r="U1733" s="638">
        <v>3377</v>
      </c>
      <c r="V1733" s="636">
        <v>2022</v>
      </c>
      <c r="W1733" s="640"/>
      <c r="X1733" s="641">
        <f t="shared" si="78"/>
        <v>3.4116079360379032</v>
      </c>
      <c r="Y1733" s="642" t="str">
        <f t="shared" si="79"/>
        <v/>
      </c>
      <c r="Z1733" s="642" t="str">
        <f t="shared" si="80"/>
        <v/>
      </c>
    </row>
    <row r="1734" spans="1:26" s="127" customFormat="1" ht="25">
      <c r="A1734" s="636">
        <v>61771</v>
      </c>
      <c r="B1734" s="637" t="s">
        <v>33</v>
      </c>
      <c r="C1734" s="636" t="s">
        <v>2725</v>
      </c>
      <c r="D1734" s="637" t="s">
        <v>2230</v>
      </c>
      <c r="E1734" s="637" t="s">
        <v>2231</v>
      </c>
      <c r="F1734" s="636">
        <v>61390</v>
      </c>
      <c r="G1734" s="637" t="s">
        <v>81</v>
      </c>
      <c r="H1734" s="637" t="s">
        <v>1163</v>
      </c>
      <c r="I1734" s="637" t="s">
        <v>58</v>
      </c>
      <c r="J1734" s="636">
        <v>22</v>
      </c>
      <c r="K1734" s="636">
        <v>2</v>
      </c>
      <c r="L1734" s="637" t="s">
        <v>52</v>
      </c>
      <c r="M1734" s="637" t="s">
        <v>441</v>
      </c>
      <c r="N1734" s="637" t="s">
        <v>442</v>
      </c>
      <c r="O1734" s="637" t="s">
        <v>442</v>
      </c>
      <c r="P1734" s="637" t="s">
        <v>1156</v>
      </c>
      <c r="Q1734" s="638">
        <v>0</v>
      </c>
      <c r="R1734" s="638">
        <v>0</v>
      </c>
      <c r="S1734" s="638">
        <v>5864</v>
      </c>
      <c r="T1734" s="638">
        <v>5864</v>
      </c>
      <c r="U1734" s="638">
        <v>1719</v>
      </c>
      <c r="V1734" s="636">
        <v>2022</v>
      </c>
      <c r="W1734" s="640"/>
      <c r="X1734" s="641">
        <f t="shared" si="78"/>
        <v>3.411285631180919</v>
      </c>
      <c r="Y1734" s="642" t="str">
        <f t="shared" si="79"/>
        <v/>
      </c>
      <c r="Z1734" s="642" t="str">
        <f t="shared" si="80"/>
        <v/>
      </c>
    </row>
    <row r="1735" spans="1:26" s="127" customFormat="1" ht="25">
      <c r="A1735" s="636">
        <v>61774</v>
      </c>
      <c r="B1735" s="637" t="s">
        <v>33</v>
      </c>
      <c r="C1735" s="636" t="s">
        <v>2725</v>
      </c>
      <c r="D1735" s="637" t="s">
        <v>2334</v>
      </c>
      <c r="E1735" s="637" t="s">
        <v>2232</v>
      </c>
      <c r="F1735" s="636">
        <v>61392</v>
      </c>
      <c r="G1735" s="637" t="s">
        <v>81</v>
      </c>
      <c r="H1735" s="637" t="s">
        <v>1163</v>
      </c>
      <c r="I1735" s="637" t="s">
        <v>58</v>
      </c>
      <c r="J1735" s="636">
        <v>22</v>
      </c>
      <c r="K1735" s="636">
        <v>2</v>
      </c>
      <c r="L1735" s="637" t="s">
        <v>52</v>
      </c>
      <c r="M1735" s="637" t="s">
        <v>441</v>
      </c>
      <c r="N1735" s="637" t="s">
        <v>442</v>
      </c>
      <c r="O1735" s="637" t="s">
        <v>442</v>
      </c>
      <c r="P1735" s="637" t="s">
        <v>1156</v>
      </c>
      <c r="Q1735" s="638">
        <v>0</v>
      </c>
      <c r="R1735" s="638">
        <v>0</v>
      </c>
      <c r="S1735" s="638">
        <v>12556</v>
      </c>
      <c r="T1735" s="638">
        <v>12556</v>
      </c>
      <c r="U1735" s="638">
        <v>3680</v>
      </c>
      <c r="V1735" s="636">
        <v>2022</v>
      </c>
      <c r="W1735" s="640"/>
      <c r="X1735" s="641">
        <f t="shared" si="78"/>
        <v>3.4119565217391306</v>
      </c>
      <c r="Y1735" s="642" t="str">
        <f t="shared" si="79"/>
        <v/>
      </c>
      <c r="Z1735" s="642" t="str">
        <f t="shared" si="80"/>
        <v/>
      </c>
    </row>
    <row r="1736" spans="1:26" s="127" customFormat="1" ht="37.5" hidden="1">
      <c r="A1736" s="636">
        <v>61775</v>
      </c>
      <c r="B1736" s="637" t="s">
        <v>33</v>
      </c>
      <c r="C1736" s="636" t="s">
        <v>2725</v>
      </c>
      <c r="D1736" s="637" t="s">
        <v>2335</v>
      </c>
      <c r="E1736" s="637" t="s">
        <v>2336</v>
      </c>
      <c r="F1736" s="636">
        <v>61397</v>
      </c>
      <c r="G1736" s="637" t="s">
        <v>81</v>
      </c>
      <c r="H1736" s="637" t="s">
        <v>1163</v>
      </c>
      <c r="I1736" s="637" t="s">
        <v>58</v>
      </c>
      <c r="J1736" s="636">
        <v>92</v>
      </c>
      <c r="K1736" s="636">
        <v>4</v>
      </c>
      <c r="L1736" s="637" t="s">
        <v>406</v>
      </c>
      <c r="M1736" s="637" t="s">
        <v>71</v>
      </c>
      <c r="N1736" s="637" t="s">
        <v>72</v>
      </c>
      <c r="O1736" s="637" t="s">
        <v>72</v>
      </c>
      <c r="P1736" s="637" t="s">
        <v>1156</v>
      </c>
      <c r="Q1736" s="638">
        <v>0</v>
      </c>
      <c r="R1736" s="638">
        <v>0</v>
      </c>
      <c r="S1736" s="638">
        <v>11469</v>
      </c>
      <c r="T1736" s="638">
        <v>11469</v>
      </c>
      <c r="U1736" s="638">
        <v>3361</v>
      </c>
      <c r="V1736" s="636">
        <v>2022</v>
      </c>
      <c r="W1736" s="640"/>
      <c r="X1736" s="641" t="str">
        <f t="shared" ref="X1736:X1799" si="81">IF(OR(K1736&gt;3,T1736=0,NOT(U1736&gt;0)),"",T1736/U1736)</f>
        <v/>
      </c>
      <c r="Y1736" s="642" t="str">
        <f t="shared" ref="Y1736:Y1799" si="82">IF(AND($M1736=$Y$2,$N1736=$Y$3,NOT($Q1736=$R1736),NOT($U1736=0)),IF($K1736=5,$S1736/($U1736+(8/5)*$U1736),IF($K1736=7,$S1736/($U1736+(29/25)*$U1736),"")),"")</f>
        <v/>
      </c>
      <c r="Z1736" s="642" t="str">
        <f t="shared" si="80"/>
        <v/>
      </c>
    </row>
    <row r="1737" spans="1:26" s="127" customFormat="1" ht="25">
      <c r="A1737" s="636">
        <v>61786</v>
      </c>
      <c r="B1737" s="637" t="s">
        <v>33</v>
      </c>
      <c r="C1737" s="636" t="s">
        <v>2725</v>
      </c>
      <c r="D1737" s="637" t="s">
        <v>2337</v>
      </c>
      <c r="E1737" s="637" t="s">
        <v>3053</v>
      </c>
      <c r="F1737" s="636">
        <v>60571</v>
      </c>
      <c r="G1737" s="637" t="s">
        <v>41</v>
      </c>
      <c r="H1737" s="637" t="s">
        <v>1163</v>
      </c>
      <c r="I1737" s="637" t="s">
        <v>58</v>
      </c>
      <c r="J1737" s="636">
        <v>22</v>
      </c>
      <c r="K1737" s="636">
        <v>2</v>
      </c>
      <c r="L1737" s="637" t="s">
        <v>52</v>
      </c>
      <c r="M1737" s="637" t="s">
        <v>1232</v>
      </c>
      <c r="N1737" s="637" t="s">
        <v>39</v>
      </c>
      <c r="O1737" s="637" t="s">
        <v>39</v>
      </c>
      <c r="P1737" s="637" t="s">
        <v>1020</v>
      </c>
      <c r="Q1737" s="638">
        <v>85337</v>
      </c>
      <c r="R1737" s="638">
        <v>85337</v>
      </c>
      <c r="S1737" s="638">
        <v>87298</v>
      </c>
      <c r="T1737" s="638">
        <v>87298</v>
      </c>
      <c r="U1737" s="638">
        <v>9187</v>
      </c>
      <c r="V1737" s="636">
        <v>2022</v>
      </c>
      <c r="W1737" s="640"/>
      <c r="X1737" s="641">
        <f t="shared" si="81"/>
        <v>9.5023402634156966</v>
      </c>
      <c r="Y1737" s="642" t="str">
        <f t="shared" si="82"/>
        <v/>
      </c>
      <c r="Z1737" s="642" t="str">
        <f t="shared" si="80"/>
        <v/>
      </c>
    </row>
    <row r="1738" spans="1:26" s="127" customFormat="1" ht="25">
      <c r="A1738" s="636">
        <v>61804</v>
      </c>
      <c r="B1738" s="637" t="s">
        <v>33</v>
      </c>
      <c r="C1738" s="636" t="s">
        <v>2725</v>
      </c>
      <c r="D1738" s="637" t="s">
        <v>2233</v>
      </c>
      <c r="E1738" s="637" t="s">
        <v>2166</v>
      </c>
      <c r="F1738" s="636">
        <v>61012</v>
      </c>
      <c r="G1738" s="637" t="s">
        <v>57</v>
      </c>
      <c r="H1738" s="637" t="s">
        <v>1162</v>
      </c>
      <c r="I1738" s="637" t="s">
        <v>58</v>
      </c>
      <c r="J1738" s="636">
        <v>22</v>
      </c>
      <c r="K1738" s="636">
        <v>2</v>
      </c>
      <c r="L1738" s="637" t="s">
        <v>52</v>
      </c>
      <c r="M1738" s="637" t="s">
        <v>441</v>
      </c>
      <c r="N1738" s="637" t="s">
        <v>442</v>
      </c>
      <c r="O1738" s="637" t="s">
        <v>442</v>
      </c>
      <c r="P1738" s="637" t="s">
        <v>1156</v>
      </c>
      <c r="Q1738" s="638">
        <v>0</v>
      </c>
      <c r="R1738" s="638">
        <v>0</v>
      </c>
      <c r="S1738" s="638">
        <v>9663</v>
      </c>
      <c r="T1738" s="638">
        <v>9663</v>
      </c>
      <c r="U1738" s="638">
        <v>2832</v>
      </c>
      <c r="V1738" s="636">
        <v>2022</v>
      </c>
      <c r="W1738" s="640"/>
      <c r="X1738" s="641">
        <f t="shared" si="81"/>
        <v>3.4120762711864407</v>
      </c>
      <c r="Y1738" s="642" t="str">
        <f t="shared" si="82"/>
        <v/>
      </c>
      <c r="Z1738" s="642" t="str">
        <f t="shared" si="80"/>
        <v/>
      </c>
    </row>
    <row r="1739" spans="1:26" s="127" customFormat="1" ht="25">
      <c r="A1739" s="636">
        <v>61814</v>
      </c>
      <c r="B1739" s="637" t="s">
        <v>33</v>
      </c>
      <c r="C1739" s="636" t="s">
        <v>2725</v>
      </c>
      <c r="D1739" s="637" t="s">
        <v>2338</v>
      </c>
      <c r="E1739" s="637" t="s">
        <v>2339</v>
      </c>
      <c r="F1739" s="636">
        <v>61428</v>
      </c>
      <c r="G1739" s="637" t="s">
        <v>81</v>
      </c>
      <c r="H1739" s="637" t="s">
        <v>1163</v>
      </c>
      <c r="I1739" s="637" t="s">
        <v>58</v>
      </c>
      <c r="J1739" s="636">
        <v>22</v>
      </c>
      <c r="K1739" s="636">
        <v>2</v>
      </c>
      <c r="L1739" s="637" t="s">
        <v>52</v>
      </c>
      <c r="M1739" s="637" t="s">
        <v>441</v>
      </c>
      <c r="N1739" s="637" t="s">
        <v>442</v>
      </c>
      <c r="O1739" s="637" t="s">
        <v>442</v>
      </c>
      <c r="P1739" s="637" t="s">
        <v>1156</v>
      </c>
      <c r="Q1739" s="638">
        <v>0</v>
      </c>
      <c r="R1739" s="638">
        <v>0</v>
      </c>
      <c r="S1739" s="638">
        <v>24854</v>
      </c>
      <c r="T1739" s="638">
        <v>24854</v>
      </c>
      <c r="U1739" s="638">
        <v>7284</v>
      </c>
      <c r="V1739" s="636">
        <v>2022</v>
      </c>
      <c r="W1739" s="640"/>
      <c r="X1739" s="641">
        <f t="shared" si="81"/>
        <v>3.4121361889071937</v>
      </c>
      <c r="Y1739" s="642" t="str">
        <f t="shared" si="82"/>
        <v/>
      </c>
      <c r="Z1739" s="642" t="str">
        <f t="shared" si="80"/>
        <v/>
      </c>
    </row>
    <row r="1740" spans="1:26" s="127" customFormat="1" ht="25">
      <c r="A1740" s="636">
        <v>61815</v>
      </c>
      <c r="B1740" s="637" t="s">
        <v>33</v>
      </c>
      <c r="C1740" s="636" t="s">
        <v>2725</v>
      </c>
      <c r="D1740" s="637" t="s">
        <v>2340</v>
      </c>
      <c r="E1740" s="637" t="s">
        <v>2341</v>
      </c>
      <c r="F1740" s="636">
        <v>61426</v>
      </c>
      <c r="G1740" s="637" t="s">
        <v>81</v>
      </c>
      <c r="H1740" s="637" t="s">
        <v>1163</v>
      </c>
      <c r="I1740" s="637" t="s">
        <v>58</v>
      </c>
      <c r="J1740" s="636">
        <v>22</v>
      </c>
      <c r="K1740" s="636">
        <v>2</v>
      </c>
      <c r="L1740" s="637" t="s">
        <v>52</v>
      </c>
      <c r="M1740" s="637" t="s">
        <v>441</v>
      </c>
      <c r="N1740" s="637" t="s">
        <v>442</v>
      </c>
      <c r="O1740" s="637" t="s">
        <v>442</v>
      </c>
      <c r="P1740" s="637" t="s">
        <v>1156</v>
      </c>
      <c r="Q1740" s="638">
        <v>0</v>
      </c>
      <c r="R1740" s="638">
        <v>0</v>
      </c>
      <c r="S1740" s="638">
        <v>13614</v>
      </c>
      <c r="T1740" s="638">
        <v>13614</v>
      </c>
      <c r="U1740" s="638">
        <v>3990</v>
      </c>
      <c r="V1740" s="636">
        <v>2022</v>
      </c>
      <c r="W1740" s="640"/>
      <c r="X1740" s="641">
        <f t="shared" si="81"/>
        <v>3.4120300751879697</v>
      </c>
      <c r="Y1740" s="642" t="str">
        <f t="shared" si="82"/>
        <v/>
      </c>
      <c r="Z1740" s="642" t="str">
        <f t="shared" si="80"/>
        <v/>
      </c>
    </row>
    <row r="1741" spans="1:26" s="127" customFormat="1" ht="37.5" hidden="1">
      <c r="A1741" s="636">
        <v>61820</v>
      </c>
      <c r="B1741" s="637" t="s">
        <v>33</v>
      </c>
      <c r="C1741" s="636" t="s">
        <v>2725</v>
      </c>
      <c r="D1741" s="637" t="s">
        <v>3635</v>
      </c>
      <c r="E1741" s="637" t="s">
        <v>2234</v>
      </c>
      <c r="F1741" s="636">
        <v>57389</v>
      </c>
      <c r="G1741" s="637" t="s">
        <v>41</v>
      </c>
      <c r="H1741" s="637" t="s">
        <v>1163</v>
      </c>
      <c r="I1741" s="637" t="s">
        <v>58</v>
      </c>
      <c r="J1741" s="636">
        <v>441</v>
      </c>
      <c r="K1741" s="636">
        <v>4</v>
      </c>
      <c r="L1741" s="637" t="s">
        <v>406</v>
      </c>
      <c r="M1741" s="637" t="s">
        <v>1232</v>
      </c>
      <c r="N1741" s="637" t="s">
        <v>39</v>
      </c>
      <c r="O1741" s="637" t="s">
        <v>39</v>
      </c>
      <c r="P1741" s="637" t="s">
        <v>1020</v>
      </c>
      <c r="Q1741" s="638">
        <v>10586</v>
      </c>
      <c r="R1741" s="638">
        <v>10586</v>
      </c>
      <c r="S1741" s="638">
        <v>10586</v>
      </c>
      <c r="T1741" s="638">
        <v>10586</v>
      </c>
      <c r="U1741" s="638">
        <v>1404</v>
      </c>
      <c r="V1741" s="636">
        <v>2022</v>
      </c>
      <c r="W1741" s="640"/>
      <c r="X1741" s="641" t="str">
        <f t="shared" si="81"/>
        <v/>
      </c>
      <c r="Y1741" s="642" t="str">
        <f t="shared" si="82"/>
        <v/>
      </c>
      <c r="Z1741" s="642" t="str">
        <f t="shared" si="80"/>
        <v/>
      </c>
    </row>
    <row r="1742" spans="1:26" s="127" customFormat="1" ht="37.5" hidden="1">
      <c r="A1742" s="636">
        <v>61820</v>
      </c>
      <c r="B1742" s="637" t="s">
        <v>33</v>
      </c>
      <c r="C1742" s="636" t="s">
        <v>2725</v>
      </c>
      <c r="D1742" s="637" t="s">
        <v>3635</v>
      </c>
      <c r="E1742" s="637" t="s">
        <v>2234</v>
      </c>
      <c r="F1742" s="636">
        <v>57389</v>
      </c>
      <c r="G1742" s="637" t="s">
        <v>41</v>
      </c>
      <c r="H1742" s="637" t="s">
        <v>1163</v>
      </c>
      <c r="I1742" s="637" t="s">
        <v>58</v>
      </c>
      <c r="J1742" s="636">
        <v>441</v>
      </c>
      <c r="K1742" s="636">
        <v>4</v>
      </c>
      <c r="L1742" s="637" t="s">
        <v>406</v>
      </c>
      <c r="M1742" s="637" t="s">
        <v>441</v>
      </c>
      <c r="N1742" s="637" t="s">
        <v>442</v>
      </c>
      <c r="O1742" s="637" t="s">
        <v>442</v>
      </c>
      <c r="P1742" s="637" t="s">
        <v>1156</v>
      </c>
      <c r="Q1742" s="638">
        <v>0</v>
      </c>
      <c r="R1742" s="638">
        <v>0</v>
      </c>
      <c r="S1742" s="638">
        <v>8139</v>
      </c>
      <c r="T1742" s="638">
        <v>8139</v>
      </c>
      <c r="U1742" s="638">
        <v>2385</v>
      </c>
      <c r="V1742" s="636">
        <v>2022</v>
      </c>
      <c r="W1742" s="640"/>
      <c r="X1742" s="641" t="str">
        <f t="shared" si="81"/>
        <v/>
      </c>
      <c r="Y1742" s="642" t="str">
        <f t="shared" si="82"/>
        <v/>
      </c>
      <c r="Z1742" s="642" t="str">
        <f t="shared" si="80"/>
        <v/>
      </c>
    </row>
    <row r="1743" spans="1:26" s="127" customFormat="1" ht="25">
      <c r="A1743" s="636">
        <v>61840</v>
      </c>
      <c r="B1743" s="637" t="s">
        <v>33</v>
      </c>
      <c r="C1743" s="636" t="s">
        <v>2725</v>
      </c>
      <c r="D1743" s="637" t="s">
        <v>2764</v>
      </c>
      <c r="E1743" s="637" t="s">
        <v>3297</v>
      </c>
      <c r="F1743" s="636">
        <v>60496</v>
      </c>
      <c r="G1743" s="637" t="s">
        <v>130</v>
      </c>
      <c r="H1743" s="637" t="s">
        <v>1163</v>
      </c>
      <c r="I1743" s="637" t="s">
        <v>58</v>
      </c>
      <c r="J1743" s="636">
        <v>22</v>
      </c>
      <c r="K1743" s="636">
        <v>2</v>
      </c>
      <c r="L1743" s="637" t="s">
        <v>52</v>
      </c>
      <c r="M1743" s="637" t="s">
        <v>441</v>
      </c>
      <c r="N1743" s="637" t="s">
        <v>442</v>
      </c>
      <c r="O1743" s="637" t="s">
        <v>442</v>
      </c>
      <c r="P1743" s="637" t="s">
        <v>1156</v>
      </c>
      <c r="Q1743" s="638">
        <v>0</v>
      </c>
      <c r="R1743" s="638">
        <v>0</v>
      </c>
      <c r="S1743" s="638">
        <v>58141</v>
      </c>
      <c r="T1743" s="638">
        <v>58141</v>
      </c>
      <c r="U1743" s="638">
        <v>17040</v>
      </c>
      <c r="V1743" s="636">
        <v>2022</v>
      </c>
      <c r="W1743" s="640"/>
      <c r="X1743" s="641">
        <f t="shared" si="81"/>
        <v>3.4120305164319249</v>
      </c>
      <c r="Y1743" s="642" t="str">
        <f t="shared" si="82"/>
        <v/>
      </c>
      <c r="Z1743" s="642" t="str">
        <f t="shared" si="80"/>
        <v/>
      </c>
    </row>
    <row r="1744" spans="1:26" s="127" customFormat="1" ht="25">
      <c r="A1744" s="636">
        <v>61847</v>
      </c>
      <c r="B1744" s="637" t="s">
        <v>33</v>
      </c>
      <c r="C1744" s="636" t="s">
        <v>2725</v>
      </c>
      <c r="D1744" s="637" t="s">
        <v>2342</v>
      </c>
      <c r="E1744" s="637" t="s">
        <v>1995</v>
      </c>
      <c r="F1744" s="636">
        <v>60584</v>
      </c>
      <c r="G1744" s="637" t="s">
        <v>57</v>
      </c>
      <c r="H1744" s="637" t="s">
        <v>1162</v>
      </c>
      <c r="I1744" s="637" t="s">
        <v>58</v>
      </c>
      <c r="J1744" s="636">
        <v>22</v>
      </c>
      <c r="K1744" s="636">
        <v>2</v>
      </c>
      <c r="L1744" s="637" t="s">
        <v>52</v>
      </c>
      <c r="M1744" s="637" t="s">
        <v>441</v>
      </c>
      <c r="N1744" s="637" t="s">
        <v>442</v>
      </c>
      <c r="O1744" s="637" t="s">
        <v>442</v>
      </c>
      <c r="P1744" s="637" t="s">
        <v>1156</v>
      </c>
      <c r="Q1744" s="638">
        <v>0</v>
      </c>
      <c r="R1744" s="638">
        <v>0</v>
      </c>
      <c r="S1744" s="638">
        <v>11141</v>
      </c>
      <c r="T1744" s="638">
        <v>11141</v>
      </c>
      <c r="U1744" s="638">
        <v>3265</v>
      </c>
      <c r="V1744" s="636">
        <v>2022</v>
      </c>
      <c r="W1744" s="640"/>
      <c r="X1744" s="641">
        <f t="shared" si="81"/>
        <v>3.4122511485451761</v>
      </c>
      <c r="Y1744" s="642" t="str">
        <f t="shared" si="82"/>
        <v/>
      </c>
      <c r="Z1744" s="642" t="str">
        <f t="shared" ref="Z1744:Z1807" si="83">IF(AND($M1744=$Y$2,$N1744=$Y$4,NOT($Q1744=$R1744),NOT($U1744=0)),IF($K1744=5,$S1744/($U1744+(8/5)*$U1744),IF($K1744=7,$S1744/($U1744+(29/25)*$U1744),"")),"")</f>
        <v/>
      </c>
    </row>
    <row r="1745" spans="1:26" s="127" customFormat="1" ht="37.5" hidden="1">
      <c r="A1745" s="636">
        <v>61857</v>
      </c>
      <c r="B1745" s="637" t="s">
        <v>54</v>
      </c>
      <c r="C1745" s="636" t="s">
        <v>2725</v>
      </c>
      <c r="D1745" s="637" t="s">
        <v>2235</v>
      </c>
      <c r="E1745" s="637" t="s">
        <v>2236</v>
      </c>
      <c r="F1745" s="636">
        <v>61478</v>
      </c>
      <c r="G1745" s="637" t="s">
        <v>130</v>
      </c>
      <c r="H1745" s="637" t="s">
        <v>1163</v>
      </c>
      <c r="I1745" s="637" t="s">
        <v>58</v>
      </c>
      <c r="J1745" s="636">
        <v>326</v>
      </c>
      <c r="K1745" s="636">
        <v>7</v>
      </c>
      <c r="L1745" s="637" t="s">
        <v>403</v>
      </c>
      <c r="M1745" s="637" t="s">
        <v>50</v>
      </c>
      <c r="N1745" s="637" t="s">
        <v>46</v>
      </c>
      <c r="O1745" s="637" t="s">
        <v>46</v>
      </c>
      <c r="P1745" s="637" t="s">
        <v>47</v>
      </c>
      <c r="Q1745" s="638">
        <v>0</v>
      </c>
      <c r="R1745" s="638">
        <v>0</v>
      </c>
      <c r="S1745" s="638">
        <v>0</v>
      </c>
      <c r="T1745" s="638">
        <v>0</v>
      </c>
      <c r="U1745" s="638">
        <v>0</v>
      </c>
      <c r="V1745" s="636">
        <v>2022</v>
      </c>
      <c r="W1745" s="640"/>
      <c r="X1745" s="641" t="str">
        <f t="shared" si="81"/>
        <v/>
      </c>
      <c r="Y1745" s="642" t="str">
        <f t="shared" si="82"/>
        <v/>
      </c>
      <c r="Z1745" s="642" t="str">
        <f t="shared" si="83"/>
        <v/>
      </c>
    </row>
    <row r="1746" spans="1:26" s="127" customFormat="1" ht="37.5" hidden="1">
      <c r="A1746" s="636">
        <v>61857</v>
      </c>
      <c r="B1746" s="637" t="s">
        <v>54</v>
      </c>
      <c r="C1746" s="636" t="s">
        <v>2725</v>
      </c>
      <c r="D1746" s="637" t="s">
        <v>2235</v>
      </c>
      <c r="E1746" s="637" t="s">
        <v>2236</v>
      </c>
      <c r="F1746" s="636">
        <v>61478</v>
      </c>
      <c r="G1746" s="637" t="s">
        <v>130</v>
      </c>
      <c r="H1746" s="637" t="s">
        <v>1163</v>
      </c>
      <c r="I1746" s="637" t="s">
        <v>58</v>
      </c>
      <c r="J1746" s="636">
        <v>326</v>
      </c>
      <c r="K1746" s="636">
        <v>7</v>
      </c>
      <c r="L1746" s="637" t="s">
        <v>403</v>
      </c>
      <c r="M1746" s="637" t="s">
        <v>50</v>
      </c>
      <c r="N1746" s="637" t="s">
        <v>39</v>
      </c>
      <c r="O1746" s="637" t="s">
        <v>39</v>
      </c>
      <c r="P1746" s="637" t="s">
        <v>1020</v>
      </c>
      <c r="Q1746" s="638">
        <v>708602</v>
      </c>
      <c r="R1746" s="638">
        <v>645868</v>
      </c>
      <c r="S1746" s="638">
        <v>708602</v>
      </c>
      <c r="T1746" s="638">
        <v>645868</v>
      </c>
      <c r="U1746" s="638">
        <v>55652.24</v>
      </c>
      <c r="V1746" s="636">
        <v>2022</v>
      </c>
      <c r="W1746" s="640"/>
      <c r="X1746" s="641" t="str">
        <f t="shared" si="81"/>
        <v/>
      </c>
      <c r="Y1746" s="642">
        <f t="shared" si="82"/>
        <v>5.8947579015953622</v>
      </c>
      <c r="Z1746" s="642" t="str">
        <f t="shared" si="83"/>
        <v/>
      </c>
    </row>
    <row r="1747" spans="1:26" s="127" customFormat="1" ht="37.5" hidden="1">
      <c r="A1747" s="636">
        <v>61857</v>
      </c>
      <c r="B1747" s="637" t="s">
        <v>54</v>
      </c>
      <c r="C1747" s="636" t="s">
        <v>2725</v>
      </c>
      <c r="D1747" s="637" t="s">
        <v>2235</v>
      </c>
      <c r="E1747" s="637" t="s">
        <v>2236</v>
      </c>
      <c r="F1747" s="636">
        <v>61478</v>
      </c>
      <c r="G1747" s="637" t="s">
        <v>130</v>
      </c>
      <c r="H1747" s="637" t="s">
        <v>1163</v>
      </c>
      <c r="I1747" s="637" t="s">
        <v>58</v>
      </c>
      <c r="J1747" s="636">
        <v>326</v>
      </c>
      <c r="K1747" s="636">
        <v>7</v>
      </c>
      <c r="L1747" s="637" t="s">
        <v>403</v>
      </c>
      <c r="M1747" s="637" t="s">
        <v>51</v>
      </c>
      <c r="N1747" s="637" t="s">
        <v>39</v>
      </c>
      <c r="O1747" s="637" t="s">
        <v>39</v>
      </c>
      <c r="P1747" s="637" t="s">
        <v>1020</v>
      </c>
      <c r="Q1747" s="638">
        <v>831484</v>
      </c>
      <c r="R1747" s="638">
        <v>831484</v>
      </c>
      <c r="S1747" s="638">
        <v>831484</v>
      </c>
      <c r="T1747" s="638">
        <v>831484</v>
      </c>
      <c r="U1747" s="638">
        <v>95669.56</v>
      </c>
      <c r="V1747" s="636">
        <v>2022</v>
      </c>
      <c r="W1747" s="640"/>
      <c r="X1747" s="641" t="str">
        <f t="shared" si="81"/>
        <v/>
      </c>
      <c r="Y1747" s="642" t="str">
        <f t="shared" si="82"/>
        <v/>
      </c>
      <c r="Z1747" s="642" t="str">
        <f t="shared" si="83"/>
        <v/>
      </c>
    </row>
    <row r="1748" spans="1:26" s="127" customFormat="1" ht="25">
      <c r="A1748" s="636">
        <v>61863</v>
      </c>
      <c r="B1748" s="637" t="s">
        <v>33</v>
      </c>
      <c r="C1748" s="636" t="s">
        <v>2725</v>
      </c>
      <c r="D1748" s="637" t="s">
        <v>2343</v>
      </c>
      <c r="E1748" s="637" t="s">
        <v>1995</v>
      </c>
      <c r="F1748" s="636">
        <v>60584</v>
      </c>
      <c r="G1748" s="637" t="s">
        <v>57</v>
      </c>
      <c r="H1748" s="637" t="s">
        <v>1162</v>
      </c>
      <c r="I1748" s="637" t="s">
        <v>58</v>
      </c>
      <c r="J1748" s="636">
        <v>22</v>
      </c>
      <c r="K1748" s="636">
        <v>2</v>
      </c>
      <c r="L1748" s="637" t="s">
        <v>52</v>
      </c>
      <c r="M1748" s="637" t="s">
        <v>441</v>
      </c>
      <c r="N1748" s="637" t="s">
        <v>442</v>
      </c>
      <c r="O1748" s="637" t="s">
        <v>442</v>
      </c>
      <c r="P1748" s="637" t="s">
        <v>1156</v>
      </c>
      <c r="Q1748" s="638">
        <v>0</v>
      </c>
      <c r="R1748" s="638">
        <v>0</v>
      </c>
      <c r="S1748" s="638">
        <v>11709</v>
      </c>
      <c r="T1748" s="638">
        <v>11709</v>
      </c>
      <c r="U1748" s="638">
        <v>3432</v>
      </c>
      <c r="V1748" s="636">
        <v>2022</v>
      </c>
      <c r="W1748" s="640"/>
      <c r="X1748" s="641">
        <f t="shared" si="81"/>
        <v>3.4117132867132867</v>
      </c>
      <c r="Y1748" s="642" t="str">
        <f t="shared" si="82"/>
        <v/>
      </c>
      <c r="Z1748" s="642" t="str">
        <f t="shared" si="83"/>
        <v/>
      </c>
    </row>
    <row r="1749" spans="1:26" s="127" customFormat="1" ht="25">
      <c r="A1749" s="636">
        <v>61888</v>
      </c>
      <c r="B1749" s="637" t="s">
        <v>33</v>
      </c>
      <c r="C1749" s="636" t="s">
        <v>2725</v>
      </c>
      <c r="D1749" s="637" t="s">
        <v>2344</v>
      </c>
      <c r="E1749" s="637" t="s">
        <v>1995</v>
      </c>
      <c r="F1749" s="636">
        <v>60584</v>
      </c>
      <c r="G1749" s="637" t="s">
        <v>57</v>
      </c>
      <c r="H1749" s="637" t="s">
        <v>1162</v>
      </c>
      <c r="I1749" s="637" t="s">
        <v>58</v>
      </c>
      <c r="J1749" s="636">
        <v>22</v>
      </c>
      <c r="K1749" s="636">
        <v>2</v>
      </c>
      <c r="L1749" s="637" t="s">
        <v>52</v>
      </c>
      <c r="M1749" s="637" t="s">
        <v>441</v>
      </c>
      <c r="N1749" s="637" t="s">
        <v>442</v>
      </c>
      <c r="O1749" s="637" t="s">
        <v>442</v>
      </c>
      <c r="P1749" s="637" t="s">
        <v>1156</v>
      </c>
      <c r="Q1749" s="638">
        <v>0</v>
      </c>
      <c r="R1749" s="638">
        <v>0</v>
      </c>
      <c r="S1749" s="638">
        <v>11283</v>
      </c>
      <c r="T1749" s="638">
        <v>11283</v>
      </c>
      <c r="U1749" s="638">
        <v>3307</v>
      </c>
      <c r="V1749" s="636">
        <v>2022</v>
      </c>
      <c r="W1749" s="640"/>
      <c r="X1749" s="641">
        <f t="shared" si="81"/>
        <v>3.4118536437859088</v>
      </c>
      <c r="Y1749" s="642" t="str">
        <f t="shared" si="82"/>
        <v/>
      </c>
      <c r="Z1749" s="642" t="str">
        <f t="shared" si="83"/>
        <v/>
      </c>
    </row>
    <row r="1750" spans="1:26" s="127" customFormat="1" ht="25">
      <c r="A1750" s="636">
        <v>61898</v>
      </c>
      <c r="B1750" s="637" t="s">
        <v>33</v>
      </c>
      <c r="C1750" s="636" t="s">
        <v>2725</v>
      </c>
      <c r="D1750" s="637" t="s">
        <v>2345</v>
      </c>
      <c r="E1750" s="637" t="s">
        <v>1905</v>
      </c>
      <c r="F1750" s="636">
        <v>59474</v>
      </c>
      <c r="G1750" s="637" t="s">
        <v>57</v>
      </c>
      <c r="H1750" s="637" t="s">
        <v>1162</v>
      </c>
      <c r="I1750" s="637" t="s">
        <v>58</v>
      </c>
      <c r="J1750" s="636">
        <v>22</v>
      </c>
      <c r="K1750" s="636">
        <v>2</v>
      </c>
      <c r="L1750" s="637" t="s">
        <v>52</v>
      </c>
      <c r="M1750" s="637" t="s">
        <v>441</v>
      </c>
      <c r="N1750" s="637" t="s">
        <v>442</v>
      </c>
      <c r="O1750" s="637" t="s">
        <v>442</v>
      </c>
      <c r="P1750" s="637" t="s">
        <v>1156</v>
      </c>
      <c r="Q1750" s="638">
        <v>0</v>
      </c>
      <c r="R1750" s="638">
        <v>0</v>
      </c>
      <c r="S1750" s="638">
        <v>15876</v>
      </c>
      <c r="T1750" s="638">
        <v>15876</v>
      </c>
      <c r="U1750" s="638">
        <v>4653</v>
      </c>
      <c r="V1750" s="636">
        <v>2022</v>
      </c>
      <c r="W1750" s="640"/>
      <c r="X1750" s="641">
        <f t="shared" si="81"/>
        <v>3.411992263056093</v>
      </c>
      <c r="Y1750" s="642" t="str">
        <f t="shared" si="82"/>
        <v/>
      </c>
      <c r="Z1750" s="642" t="str">
        <f t="shared" si="83"/>
        <v/>
      </c>
    </row>
    <row r="1751" spans="1:26" s="127" customFormat="1" ht="25">
      <c r="A1751" s="636">
        <v>61899</v>
      </c>
      <c r="B1751" s="637" t="s">
        <v>33</v>
      </c>
      <c r="C1751" s="636" t="s">
        <v>2725</v>
      </c>
      <c r="D1751" s="637" t="s">
        <v>2346</v>
      </c>
      <c r="E1751" s="637" t="s">
        <v>3055</v>
      </c>
      <c r="F1751" s="636">
        <v>63970</v>
      </c>
      <c r="G1751" s="637" t="s">
        <v>57</v>
      </c>
      <c r="H1751" s="637" t="s">
        <v>1162</v>
      </c>
      <c r="I1751" s="637" t="s">
        <v>58</v>
      </c>
      <c r="J1751" s="636">
        <v>22</v>
      </c>
      <c r="K1751" s="636">
        <v>2</v>
      </c>
      <c r="L1751" s="637" t="s">
        <v>52</v>
      </c>
      <c r="M1751" s="637" t="s">
        <v>441</v>
      </c>
      <c r="N1751" s="637" t="s">
        <v>442</v>
      </c>
      <c r="O1751" s="637" t="s">
        <v>442</v>
      </c>
      <c r="P1751" s="637" t="s">
        <v>1156</v>
      </c>
      <c r="Q1751" s="638">
        <v>0</v>
      </c>
      <c r="R1751" s="638">
        <v>0</v>
      </c>
      <c r="S1751" s="638">
        <v>11978</v>
      </c>
      <c r="T1751" s="638">
        <v>11978</v>
      </c>
      <c r="U1751" s="638">
        <v>3511</v>
      </c>
      <c r="V1751" s="636">
        <v>2022</v>
      </c>
      <c r="W1751" s="640"/>
      <c r="X1751" s="641">
        <f t="shared" si="81"/>
        <v>3.4115636570777554</v>
      </c>
      <c r="Y1751" s="642" t="str">
        <f t="shared" si="82"/>
        <v/>
      </c>
      <c r="Z1751" s="642" t="str">
        <f t="shared" si="83"/>
        <v/>
      </c>
    </row>
    <row r="1752" spans="1:26" s="127" customFormat="1" ht="25">
      <c r="A1752" s="636">
        <v>61900</v>
      </c>
      <c r="B1752" s="637" t="s">
        <v>33</v>
      </c>
      <c r="C1752" s="636" t="s">
        <v>2725</v>
      </c>
      <c r="D1752" s="637" t="s">
        <v>2347</v>
      </c>
      <c r="E1752" s="637" t="s">
        <v>3055</v>
      </c>
      <c r="F1752" s="636">
        <v>63970</v>
      </c>
      <c r="G1752" s="637" t="s">
        <v>57</v>
      </c>
      <c r="H1752" s="637" t="s">
        <v>1162</v>
      </c>
      <c r="I1752" s="637" t="s">
        <v>58</v>
      </c>
      <c r="J1752" s="636">
        <v>22</v>
      </c>
      <c r="K1752" s="636">
        <v>2</v>
      </c>
      <c r="L1752" s="637" t="s">
        <v>52</v>
      </c>
      <c r="M1752" s="637" t="s">
        <v>441</v>
      </c>
      <c r="N1752" s="637" t="s">
        <v>442</v>
      </c>
      <c r="O1752" s="637" t="s">
        <v>442</v>
      </c>
      <c r="P1752" s="637" t="s">
        <v>1156</v>
      </c>
      <c r="Q1752" s="638">
        <v>0</v>
      </c>
      <c r="R1752" s="638">
        <v>0</v>
      </c>
      <c r="S1752" s="638">
        <v>10190</v>
      </c>
      <c r="T1752" s="638">
        <v>10190</v>
      </c>
      <c r="U1752" s="638">
        <v>2987</v>
      </c>
      <c r="V1752" s="636">
        <v>2022</v>
      </c>
      <c r="W1752" s="640"/>
      <c r="X1752" s="641">
        <f t="shared" si="81"/>
        <v>3.4114496149983262</v>
      </c>
      <c r="Y1752" s="642" t="str">
        <f t="shared" si="82"/>
        <v/>
      </c>
      <c r="Z1752" s="642" t="str">
        <f t="shared" si="83"/>
        <v/>
      </c>
    </row>
    <row r="1753" spans="1:26" s="127" customFormat="1" ht="25">
      <c r="A1753" s="636">
        <v>61902</v>
      </c>
      <c r="B1753" s="637" t="s">
        <v>33</v>
      </c>
      <c r="C1753" s="636" t="s">
        <v>2725</v>
      </c>
      <c r="D1753" s="637" t="s">
        <v>2348</v>
      </c>
      <c r="E1753" s="637" t="s">
        <v>3055</v>
      </c>
      <c r="F1753" s="636">
        <v>63970</v>
      </c>
      <c r="G1753" s="637" t="s">
        <v>57</v>
      </c>
      <c r="H1753" s="637" t="s">
        <v>1162</v>
      </c>
      <c r="I1753" s="637" t="s">
        <v>58</v>
      </c>
      <c r="J1753" s="636">
        <v>22</v>
      </c>
      <c r="K1753" s="636">
        <v>2</v>
      </c>
      <c r="L1753" s="637" t="s">
        <v>52</v>
      </c>
      <c r="M1753" s="637" t="s">
        <v>441</v>
      </c>
      <c r="N1753" s="637" t="s">
        <v>442</v>
      </c>
      <c r="O1753" s="637" t="s">
        <v>442</v>
      </c>
      <c r="P1753" s="637" t="s">
        <v>1156</v>
      </c>
      <c r="Q1753" s="638">
        <v>0</v>
      </c>
      <c r="R1753" s="638">
        <v>0</v>
      </c>
      <c r="S1753" s="638">
        <v>5508</v>
      </c>
      <c r="T1753" s="638">
        <v>5508</v>
      </c>
      <c r="U1753" s="638">
        <v>1614</v>
      </c>
      <c r="V1753" s="636">
        <v>2022</v>
      </c>
      <c r="W1753" s="640"/>
      <c r="X1753" s="641">
        <f t="shared" si="81"/>
        <v>3.4126394052044611</v>
      </c>
      <c r="Y1753" s="642" t="str">
        <f t="shared" si="82"/>
        <v/>
      </c>
      <c r="Z1753" s="642" t="str">
        <f t="shared" si="83"/>
        <v/>
      </c>
    </row>
    <row r="1754" spans="1:26" s="127" customFormat="1" ht="25">
      <c r="A1754" s="636">
        <v>61903</v>
      </c>
      <c r="B1754" s="637" t="s">
        <v>33</v>
      </c>
      <c r="C1754" s="636" t="s">
        <v>2725</v>
      </c>
      <c r="D1754" s="637" t="s">
        <v>2349</v>
      </c>
      <c r="E1754" s="637" t="s">
        <v>1995</v>
      </c>
      <c r="F1754" s="636">
        <v>60584</v>
      </c>
      <c r="G1754" s="637" t="s">
        <v>57</v>
      </c>
      <c r="H1754" s="637" t="s">
        <v>1162</v>
      </c>
      <c r="I1754" s="637" t="s">
        <v>58</v>
      </c>
      <c r="J1754" s="636">
        <v>22</v>
      </c>
      <c r="K1754" s="636">
        <v>2</v>
      </c>
      <c r="L1754" s="637" t="s">
        <v>52</v>
      </c>
      <c r="M1754" s="637" t="s">
        <v>441</v>
      </c>
      <c r="N1754" s="637" t="s">
        <v>442</v>
      </c>
      <c r="O1754" s="637" t="s">
        <v>442</v>
      </c>
      <c r="P1754" s="637" t="s">
        <v>1156</v>
      </c>
      <c r="Q1754" s="638">
        <v>0</v>
      </c>
      <c r="R1754" s="638">
        <v>0</v>
      </c>
      <c r="S1754" s="638">
        <v>10493</v>
      </c>
      <c r="T1754" s="638">
        <v>10493</v>
      </c>
      <c r="U1754" s="638">
        <v>3075</v>
      </c>
      <c r="V1754" s="636">
        <v>2022</v>
      </c>
      <c r="W1754" s="640"/>
      <c r="X1754" s="641">
        <f t="shared" si="81"/>
        <v>3.412357723577236</v>
      </c>
      <c r="Y1754" s="642" t="str">
        <f t="shared" si="82"/>
        <v/>
      </c>
      <c r="Z1754" s="642" t="str">
        <f t="shared" si="83"/>
        <v/>
      </c>
    </row>
    <row r="1755" spans="1:26" s="127" customFormat="1" ht="25">
      <c r="A1755" s="636">
        <v>61904</v>
      </c>
      <c r="B1755" s="637" t="s">
        <v>33</v>
      </c>
      <c r="C1755" s="636" t="s">
        <v>2725</v>
      </c>
      <c r="D1755" s="637" t="s">
        <v>2350</v>
      </c>
      <c r="E1755" s="637" t="s">
        <v>1995</v>
      </c>
      <c r="F1755" s="636">
        <v>60584</v>
      </c>
      <c r="G1755" s="637" t="s">
        <v>57</v>
      </c>
      <c r="H1755" s="637" t="s">
        <v>1162</v>
      </c>
      <c r="I1755" s="637" t="s">
        <v>58</v>
      </c>
      <c r="J1755" s="636">
        <v>22</v>
      </c>
      <c r="K1755" s="636">
        <v>2</v>
      </c>
      <c r="L1755" s="637" t="s">
        <v>52</v>
      </c>
      <c r="M1755" s="637" t="s">
        <v>441</v>
      </c>
      <c r="N1755" s="637" t="s">
        <v>442</v>
      </c>
      <c r="O1755" s="637" t="s">
        <v>442</v>
      </c>
      <c r="P1755" s="637" t="s">
        <v>1156</v>
      </c>
      <c r="Q1755" s="638">
        <v>0</v>
      </c>
      <c r="R1755" s="638">
        <v>0</v>
      </c>
      <c r="S1755" s="638">
        <v>11440</v>
      </c>
      <c r="T1755" s="638">
        <v>11440</v>
      </c>
      <c r="U1755" s="638">
        <v>3353</v>
      </c>
      <c r="V1755" s="636">
        <v>2022</v>
      </c>
      <c r="W1755" s="640"/>
      <c r="X1755" s="641">
        <f t="shared" si="81"/>
        <v>3.411869967193558</v>
      </c>
      <c r="Y1755" s="642" t="str">
        <f t="shared" si="82"/>
        <v/>
      </c>
      <c r="Z1755" s="642" t="str">
        <f t="shared" si="83"/>
        <v/>
      </c>
    </row>
    <row r="1756" spans="1:26" s="127" customFormat="1" ht="25">
      <c r="A1756" s="636">
        <v>61905</v>
      </c>
      <c r="B1756" s="637" t="s">
        <v>33</v>
      </c>
      <c r="C1756" s="636" t="s">
        <v>2725</v>
      </c>
      <c r="D1756" s="637" t="s">
        <v>2351</v>
      </c>
      <c r="E1756" s="637" t="s">
        <v>1995</v>
      </c>
      <c r="F1756" s="636">
        <v>60584</v>
      </c>
      <c r="G1756" s="637" t="s">
        <v>57</v>
      </c>
      <c r="H1756" s="637" t="s">
        <v>1162</v>
      </c>
      <c r="I1756" s="637" t="s">
        <v>58</v>
      </c>
      <c r="J1756" s="636">
        <v>22</v>
      </c>
      <c r="K1756" s="636">
        <v>2</v>
      </c>
      <c r="L1756" s="637" t="s">
        <v>52</v>
      </c>
      <c r="M1756" s="637" t="s">
        <v>441</v>
      </c>
      <c r="N1756" s="637" t="s">
        <v>442</v>
      </c>
      <c r="O1756" s="637" t="s">
        <v>442</v>
      </c>
      <c r="P1756" s="637" t="s">
        <v>1156</v>
      </c>
      <c r="Q1756" s="638">
        <v>0</v>
      </c>
      <c r="R1756" s="638">
        <v>0</v>
      </c>
      <c r="S1756" s="638">
        <v>10369</v>
      </c>
      <c r="T1756" s="638">
        <v>10369</v>
      </c>
      <c r="U1756" s="638">
        <v>3039</v>
      </c>
      <c r="V1756" s="636">
        <v>2022</v>
      </c>
      <c r="W1756" s="640"/>
      <c r="X1756" s="641">
        <f t="shared" si="81"/>
        <v>3.4119776242184927</v>
      </c>
      <c r="Y1756" s="642" t="str">
        <f t="shared" si="82"/>
        <v/>
      </c>
      <c r="Z1756" s="642" t="str">
        <f t="shared" si="83"/>
        <v/>
      </c>
    </row>
    <row r="1757" spans="1:26" s="127" customFormat="1" ht="25">
      <c r="A1757" s="636">
        <v>61917</v>
      </c>
      <c r="B1757" s="637" t="s">
        <v>33</v>
      </c>
      <c r="C1757" s="636" t="s">
        <v>2725</v>
      </c>
      <c r="D1757" s="637" t="s">
        <v>2352</v>
      </c>
      <c r="E1757" s="637" t="s">
        <v>2353</v>
      </c>
      <c r="F1757" s="636">
        <v>61520</v>
      </c>
      <c r="G1757" s="637" t="s">
        <v>57</v>
      </c>
      <c r="H1757" s="637" t="s">
        <v>1162</v>
      </c>
      <c r="I1757" s="637" t="s">
        <v>58</v>
      </c>
      <c r="J1757" s="636">
        <v>22</v>
      </c>
      <c r="K1757" s="636">
        <v>2</v>
      </c>
      <c r="L1757" s="637" t="s">
        <v>52</v>
      </c>
      <c r="M1757" s="637" t="s">
        <v>441</v>
      </c>
      <c r="N1757" s="637" t="s">
        <v>442</v>
      </c>
      <c r="O1757" s="637" t="s">
        <v>442</v>
      </c>
      <c r="P1757" s="637" t="s">
        <v>1156</v>
      </c>
      <c r="Q1757" s="638">
        <v>0</v>
      </c>
      <c r="R1757" s="638">
        <v>0</v>
      </c>
      <c r="S1757" s="638">
        <v>8238</v>
      </c>
      <c r="T1757" s="638">
        <v>8238</v>
      </c>
      <c r="U1757" s="638">
        <v>2414</v>
      </c>
      <c r="V1757" s="636">
        <v>2022</v>
      </c>
      <c r="W1757" s="640"/>
      <c r="X1757" s="641">
        <f t="shared" si="81"/>
        <v>3.4125932062966031</v>
      </c>
      <c r="Y1757" s="642" t="str">
        <f t="shared" si="82"/>
        <v/>
      </c>
      <c r="Z1757" s="642" t="str">
        <f t="shared" si="83"/>
        <v/>
      </c>
    </row>
    <row r="1758" spans="1:26" s="127" customFormat="1" ht="25">
      <c r="A1758" s="636">
        <v>61922</v>
      </c>
      <c r="B1758" s="637" t="s">
        <v>33</v>
      </c>
      <c r="C1758" s="636" t="s">
        <v>2725</v>
      </c>
      <c r="D1758" s="637" t="s">
        <v>2354</v>
      </c>
      <c r="E1758" s="637" t="s">
        <v>1905</v>
      </c>
      <c r="F1758" s="636">
        <v>59474</v>
      </c>
      <c r="G1758" s="637" t="s">
        <v>57</v>
      </c>
      <c r="H1758" s="637" t="s">
        <v>1162</v>
      </c>
      <c r="I1758" s="637" t="s">
        <v>58</v>
      </c>
      <c r="J1758" s="636">
        <v>22</v>
      </c>
      <c r="K1758" s="636">
        <v>2</v>
      </c>
      <c r="L1758" s="637" t="s">
        <v>52</v>
      </c>
      <c r="M1758" s="637" t="s">
        <v>441</v>
      </c>
      <c r="N1758" s="637" t="s">
        <v>442</v>
      </c>
      <c r="O1758" s="637" t="s">
        <v>442</v>
      </c>
      <c r="P1758" s="637" t="s">
        <v>1156</v>
      </c>
      <c r="Q1758" s="638">
        <v>0</v>
      </c>
      <c r="R1758" s="638">
        <v>0</v>
      </c>
      <c r="S1758" s="638">
        <v>12701</v>
      </c>
      <c r="T1758" s="638">
        <v>12701</v>
      </c>
      <c r="U1758" s="638">
        <v>3722</v>
      </c>
      <c r="V1758" s="636">
        <v>2022</v>
      </c>
      <c r="W1758" s="640"/>
      <c r="X1758" s="641">
        <f t="shared" si="81"/>
        <v>3.4124126813541107</v>
      </c>
      <c r="Y1758" s="642" t="str">
        <f t="shared" si="82"/>
        <v/>
      </c>
      <c r="Z1758" s="642" t="str">
        <f t="shared" si="83"/>
        <v/>
      </c>
    </row>
    <row r="1759" spans="1:26" s="127" customFormat="1" ht="25">
      <c r="A1759" s="636">
        <v>61928</v>
      </c>
      <c r="B1759" s="637" t="s">
        <v>33</v>
      </c>
      <c r="C1759" s="636" t="s">
        <v>2725</v>
      </c>
      <c r="D1759" s="637" t="s">
        <v>2355</v>
      </c>
      <c r="E1759" s="637" t="s">
        <v>2113</v>
      </c>
      <c r="F1759" s="636">
        <v>61060</v>
      </c>
      <c r="G1759" s="637" t="s">
        <v>89</v>
      </c>
      <c r="H1759" s="637" t="s">
        <v>1163</v>
      </c>
      <c r="I1759" s="637" t="s">
        <v>58</v>
      </c>
      <c r="J1759" s="636">
        <v>22</v>
      </c>
      <c r="K1759" s="636">
        <v>2</v>
      </c>
      <c r="L1759" s="637" t="s">
        <v>52</v>
      </c>
      <c r="M1759" s="637" t="s">
        <v>441</v>
      </c>
      <c r="N1759" s="637" t="s">
        <v>442</v>
      </c>
      <c r="O1759" s="637" t="s">
        <v>442</v>
      </c>
      <c r="P1759" s="637" t="s">
        <v>1156</v>
      </c>
      <c r="Q1759" s="638">
        <v>0</v>
      </c>
      <c r="R1759" s="638">
        <v>0</v>
      </c>
      <c r="S1759" s="638">
        <v>26416</v>
      </c>
      <c r="T1759" s="638">
        <v>26416</v>
      </c>
      <c r="U1759" s="638">
        <v>7742</v>
      </c>
      <c r="V1759" s="636">
        <v>2022</v>
      </c>
      <c r="W1759" s="640"/>
      <c r="X1759" s="641">
        <f t="shared" si="81"/>
        <v>3.4120382330147248</v>
      </c>
      <c r="Y1759" s="642" t="str">
        <f t="shared" si="82"/>
        <v/>
      </c>
      <c r="Z1759" s="642" t="str">
        <f t="shared" si="83"/>
        <v/>
      </c>
    </row>
    <row r="1760" spans="1:26" s="127" customFormat="1" ht="25">
      <c r="A1760" s="636">
        <v>61958</v>
      </c>
      <c r="B1760" s="637" t="s">
        <v>33</v>
      </c>
      <c r="C1760" s="636" t="s">
        <v>2725</v>
      </c>
      <c r="D1760" s="637" t="s">
        <v>2356</v>
      </c>
      <c r="E1760" s="637" t="s">
        <v>2166</v>
      </c>
      <c r="F1760" s="636">
        <v>61012</v>
      </c>
      <c r="G1760" s="637" t="s">
        <v>57</v>
      </c>
      <c r="H1760" s="637" t="s">
        <v>1162</v>
      </c>
      <c r="I1760" s="637" t="s">
        <v>58</v>
      </c>
      <c r="J1760" s="636">
        <v>22</v>
      </c>
      <c r="K1760" s="636">
        <v>2</v>
      </c>
      <c r="L1760" s="637" t="s">
        <v>52</v>
      </c>
      <c r="M1760" s="637" t="s">
        <v>441</v>
      </c>
      <c r="N1760" s="637" t="s">
        <v>442</v>
      </c>
      <c r="O1760" s="637" t="s">
        <v>442</v>
      </c>
      <c r="P1760" s="637" t="s">
        <v>1156</v>
      </c>
      <c r="Q1760" s="638">
        <v>0</v>
      </c>
      <c r="R1760" s="638">
        <v>0</v>
      </c>
      <c r="S1760" s="638">
        <v>7713</v>
      </c>
      <c r="T1760" s="638">
        <v>7713</v>
      </c>
      <c r="U1760" s="638">
        <v>2261</v>
      </c>
      <c r="V1760" s="636">
        <v>2022</v>
      </c>
      <c r="W1760" s="640"/>
      <c r="X1760" s="641">
        <f t="shared" si="81"/>
        <v>3.4113224237063244</v>
      </c>
      <c r="Y1760" s="642" t="str">
        <f t="shared" si="82"/>
        <v/>
      </c>
      <c r="Z1760" s="642" t="str">
        <f t="shared" si="83"/>
        <v/>
      </c>
    </row>
    <row r="1761" spans="1:26" s="127" customFormat="1" ht="25">
      <c r="A1761" s="636">
        <v>61959</v>
      </c>
      <c r="B1761" s="637" t="s">
        <v>33</v>
      </c>
      <c r="C1761" s="636" t="s">
        <v>2725</v>
      </c>
      <c r="D1761" s="637" t="s">
        <v>2357</v>
      </c>
      <c r="E1761" s="637" t="s">
        <v>2358</v>
      </c>
      <c r="F1761" s="636">
        <v>61540</v>
      </c>
      <c r="G1761" s="637" t="s">
        <v>89</v>
      </c>
      <c r="H1761" s="637" t="s">
        <v>1163</v>
      </c>
      <c r="I1761" s="637" t="s">
        <v>58</v>
      </c>
      <c r="J1761" s="636">
        <v>22</v>
      </c>
      <c r="K1761" s="636">
        <v>2</v>
      </c>
      <c r="L1761" s="637" t="s">
        <v>52</v>
      </c>
      <c r="M1761" s="637" t="s">
        <v>441</v>
      </c>
      <c r="N1761" s="637" t="s">
        <v>442</v>
      </c>
      <c r="O1761" s="637" t="s">
        <v>442</v>
      </c>
      <c r="P1761" s="637" t="s">
        <v>1156</v>
      </c>
      <c r="Q1761" s="638">
        <v>0</v>
      </c>
      <c r="R1761" s="638">
        <v>0</v>
      </c>
      <c r="S1761" s="638">
        <v>100972</v>
      </c>
      <c r="T1761" s="638">
        <v>100972</v>
      </c>
      <c r="U1761" s="638">
        <v>29594</v>
      </c>
      <c r="V1761" s="636">
        <v>2022</v>
      </c>
      <c r="W1761" s="640"/>
      <c r="X1761" s="641">
        <f t="shared" si="81"/>
        <v>3.4119078191525309</v>
      </c>
      <c r="Y1761" s="642" t="str">
        <f t="shared" si="82"/>
        <v/>
      </c>
      <c r="Z1761" s="642" t="str">
        <f t="shared" si="83"/>
        <v/>
      </c>
    </row>
    <row r="1762" spans="1:26" s="127" customFormat="1" ht="37.5" hidden="1">
      <c r="A1762" s="636">
        <v>62001</v>
      </c>
      <c r="B1762" s="637" t="s">
        <v>33</v>
      </c>
      <c r="C1762" s="636" t="s">
        <v>2725</v>
      </c>
      <c r="D1762" s="637" t="s">
        <v>2359</v>
      </c>
      <c r="E1762" s="637" t="s">
        <v>2359</v>
      </c>
      <c r="F1762" s="636">
        <v>61578</v>
      </c>
      <c r="G1762" s="637" t="s">
        <v>57</v>
      </c>
      <c r="H1762" s="637" t="s">
        <v>1162</v>
      </c>
      <c r="I1762" s="637" t="s">
        <v>58</v>
      </c>
      <c r="J1762" s="636">
        <v>622</v>
      </c>
      <c r="K1762" s="636">
        <v>4</v>
      </c>
      <c r="L1762" s="637" t="s">
        <v>406</v>
      </c>
      <c r="M1762" s="637" t="s">
        <v>51</v>
      </c>
      <c r="N1762" s="637" t="s">
        <v>46</v>
      </c>
      <c r="O1762" s="637" t="s">
        <v>46</v>
      </c>
      <c r="P1762" s="637" t="s">
        <v>47</v>
      </c>
      <c r="Q1762" s="638">
        <v>63</v>
      </c>
      <c r="R1762" s="638">
        <v>63</v>
      </c>
      <c r="S1762" s="638">
        <v>348</v>
      </c>
      <c r="T1762" s="638">
        <v>348</v>
      </c>
      <c r="U1762" s="638">
        <v>43</v>
      </c>
      <c r="V1762" s="636">
        <v>2022</v>
      </c>
      <c r="W1762" s="640"/>
      <c r="X1762" s="641" t="str">
        <f t="shared" si="81"/>
        <v/>
      </c>
      <c r="Y1762" s="642" t="str">
        <f t="shared" si="82"/>
        <v/>
      </c>
      <c r="Z1762" s="642" t="str">
        <f t="shared" si="83"/>
        <v/>
      </c>
    </row>
    <row r="1763" spans="1:26" s="127" customFormat="1" ht="37.5" hidden="1">
      <c r="A1763" s="636">
        <v>62002</v>
      </c>
      <c r="B1763" s="637" t="s">
        <v>33</v>
      </c>
      <c r="C1763" s="636" t="s">
        <v>2725</v>
      </c>
      <c r="D1763" s="637" t="s">
        <v>2360</v>
      </c>
      <c r="E1763" s="637" t="s">
        <v>2360</v>
      </c>
      <c r="F1763" s="636">
        <v>61584</v>
      </c>
      <c r="G1763" s="637" t="s">
        <v>57</v>
      </c>
      <c r="H1763" s="637" t="s">
        <v>1162</v>
      </c>
      <c r="I1763" s="637" t="s">
        <v>58</v>
      </c>
      <c r="J1763" s="636">
        <v>622</v>
      </c>
      <c r="K1763" s="636">
        <v>4</v>
      </c>
      <c r="L1763" s="637" t="s">
        <v>406</v>
      </c>
      <c r="M1763" s="637" t="s">
        <v>51</v>
      </c>
      <c r="N1763" s="637" t="s">
        <v>46</v>
      </c>
      <c r="O1763" s="637" t="s">
        <v>46</v>
      </c>
      <c r="P1763" s="637" t="s">
        <v>47</v>
      </c>
      <c r="Q1763" s="638">
        <v>41</v>
      </c>
      <c r="R1763" s="638">
        <v>41</v>
      </c>
      <c r="S1763" s="638">
        <v>226</v>
      </c>
      <c r="T1763" s="638">
        <v>226</v>
      </c>
      <c r="U1763" s="638">
        <v>24</v>
      </c>
      <c r="V1763" s="636">
        <v>2022</v>
      </c>
      <c r="W1763" s="640"/>
      <c r="X1763" s="641" t="str">
        <f t="shared" si="81"/>
        <v/>
      </c>
      <c r="Y1763" s="642" t="str">
        <f t="shared" si="82"/>
        <v/>
      </c>
      <c r="Z1763" s="642" t="str">
        <f t="shared" si="83"/>
        <v/>
      </c>
    </row>
    <row r="1764" spans="1:26" s="127" customFormat="1" ht="37.5" hidden="1">
      <c r="A1764" s="636">
        <v>62003</v>
      </c>
      <c r="B1764" s="637" t="s">
        <v>33</v>
      </c>
      <c r="C1764" s="636" t="s">
        <v>2725</v>
      </c>
      <c r="D1764" s="637" t="s">
        <v>2361</v>
      </c>
      <c r="E1764" s="637" t="s">
        <v>2361</v>
      </c>
      <c r="F1764" s="636">
        <v>61577</v>
      </c>
      <c r="G1764" s="637" t="s">
        <v>57</v>
      </c>
      <c r="H1764" s="637" t="s">
        <v>1162</v>
      </c>
      <c r="I1764" s="637" t="s">
        <v>58</v>
      </c>
      <c r="J1764" s="636">
        <v>622</v>
      </c>
      <c r="K1764" s="636">
        <v>4</v>
      </c>
      <c r="L1764" s="637" t="s">
        <v>406</v>
      </c>
      <c r="M1764" s="637" t="s">
        <v>51</v>
      </c>
      <c r="N1764" s="637" t="s">
        <v>46</v>
      </c>
      <c r="O1764" s="637" t="s">
        <v>46</v>
      </c>
      <c r="P1764" s="637" t="s">
        <v>47</v>
      </c>
      <c r="Q1764" s="638">
        <v>22</v>
      </c>
      <c r="R1764" s="638">
        <v>22</v>
      </c>
      <c r="S1764" s="638">
        <v>122</v>
      </c>
      <c r="T1764" s="638">
        <v>122</v>
      </c>
      <c r="U1764" s="638">
        <v>14</v>
      </c>
      <c r="V1764" s="636">
        <v>2022</v>
      </c>
      <c r="W1764" s="640"/>
      <c r="X1764" s="641" t="str">
        <f t="shared" si="81"/>
        <v/>
      </c>
      <c r="Y1764" s="642" t="str">
        <f t="shared" si="82"/>
        <v/>
      </c>
      <c r="Z1764" s="642" t="str">
        <f t="shared" si="83"/>
        <v/>
      </c>
    </row>
    <row r="1765" spans="1:26" s="127" customFormat="1" ht="25">
      <c r="A1765" s="636">
        <v>62017</v>
      </c>
      <c r="B1765" s="637" t="s">
        <v>33</v>
      </c>
      <c r="C1765" s="636" t="s">
        <v>2725</v>
      </c>
      <c r="D1765" s="637" t="s">
        <v>2765</v>
      </c>
      <c r="E1765" s="637" t="s">
        <v>2166</v>
      </c>
      <c r="F1765" s="636">
        <v>61012</v>
      </c>
      <c r="G1765" s="637" t="s">
        <v>57</v>
      </c>
      <c r="H1765" s="637" t="s">
        <v>1162</v>
      </c>
      <c r="I1765" s="637" t="s">
        <v>58</v>
      </c>
      <c r="J1765" s="636">
        <v>22</v>
      </c>
      <c r="K1765" s="636">
        <v>2</v>
      </c>
      <c r="L1765" s="637" t="s">
        <v>52</v>
      </c>
      <c r="M1765" s="637" t="s">
        <v>441</v>
      </c>
      <c r="N1765" s="637" t="s">
        <v>442</v>
      </c>
      <c r="O1765" s="637" t="s">
        <v>442</v>
      </c>
      <c r="P1765" s="637" t="s">
        <v>1156</v>
      </c>
      <c r="Q1765" s="638">
        <v>0</v>
      </c>
      <c r="R1765" s="638">
        <v>0</v>
      </c>
      <c r="S1765" s="638">
        <v>117618</v>
      </c>
      <c r="T1765" s="638">
        <v>117618</v>
      </c>
      <c r="U1765" s="638">
        <v>34472</v>
      </c>
      <c r="V1765" s="636">
        <v>2022</v>
      </c>
      <c r="W1765" s="640"/>
      <c r="X1765" s="641">
        <f t="shared" si="81"/>
        <v>3.4119865398004179</v>
      </c>
      <c r="Y1765" s="642" t="str">
        <f t="shared" si="82"/>
        <v/>
      </c>
      <c r="Z1765" s="642" t="str">
        <f t="shared" si="83"/>
        <v/>
      </c>
    </row>
    <row r="1766" spans="1:26" s="127" customFormat="1" ht="25">
      <c r="A1766" s="636">
        <v>62021</v>
      </c>
      <c r="B1766" s="637" t="s">
        <v>33</v>
      </c>
      <c r="C1766" s="636" t="s">
        <v>2725</v>
      </c>
      <c r="D1766" s="637" t="s">
        <v>2362</v>
      </c>
      <c r="E1766" s="637" t="s">
        <v>1926</v>
      </c>
      <c r="F1766" s="636">
        <v>58135</v>
      </c>
      <c r="G1766" s="637" t="s">
        <v>41</v>
      </c>
      <c r="H1766" s="637" t="s">
        <v>1163</v>
      </c>
      <c r="I1766" s="637" t="s">
        <v>58</v>
      </c>
      <c r="J1766" s="636">
        <v>22</v>
      </c>
      <c r="K1766" s="636">
        <v>2</v>
      </c>
      <c r="L1766" s="637" t="s">
        <v>52</v>
      </c>
      <c r="M1766" s="637" t="s">
        <v>441</v>
      </c>
      <c r="N1766" s="637" t="s">
        <v>442</v>
      </c>
      <c r="O1766" s="637" t="s">
        <v>442</v>
      </c>
      <c r="P1766" s="637" t="s">
        <v>1156</v>
      </c>
      <c r="Q1766" s="638">
        <v>0</v>
      </c>
      <c r="R1766" s="638">
        <v>0</v>
      </c>
      <c r="S1766" s="638">
        <v>5561</v>
      </c>
      <c r="T1766" s="638">
        <v>5561</v>
      </c>
      <c r="U1766" s="638">
        <v>1630</v>
      </c>
      <c r="V1766" s="636">
        <v>2022</v>
      </c>
      <c r="W1766" s="640"/>
      <c r="X1766" s="641">
        <f t="shared" si="81"/>
        <v>3.4116564417177915</v>
      </c>
      <c r="Y1766" s="642" t="str">
        <f t="shared" si="82"/>
        <v/>
      </c>
      <c r="Z1766" s="642" t="str">
        <f t="shared" si="83"/>
        <v/>
      </c>
    </row>
    <row r="1767" spans="1:26" s="127" customFormat="1" ht="25">
      <c r="A1767" s="636">
        <v>62023</v>
      </c>
      <c r="B1767" s="637" t="s">
        <v>33</v>
      </c>
      <c r="C1767" s="636" t="s">
        <v>2725</v>
      </c>
      <c r="D1767" s="637" t="s">
        <v>1581</v>
      </c>
      <c r="E1767" s="637" t="s">
        <v>1926</v>
      </c>
      <c r="F1767" s="636">
        <v>58135</v>
      </c>
      <c r="G1767" s="637" t="s">
        <v>41</v>
      </c>
      <c r="H1767" s="637" t="s">
        <v>1163</v>
      </c>
      <c r="I1767" s="637" t="s">
        <v>58</v>
      </c>
      <c r="J1767" s="636">
        <v>22</v>
      </c>
      <c r="K1767" s="636">
        <v>2</v>
      </c>
      <c r="L1767" s="637" t="s">
        <v>52</v>
      </c>
      <c r="M1767" s="637" t="s">
        <v>441</v>
      </c>
      <c r="N1767" s="637" t="s">
        <v>442</v>
      </c>
      <c r="O1767" s="637" t="s">
        <v>442</v>
      </c>
      <c r="P1767" s="637" t="s">
        <v>1156</v>
      </c>
      <c r="Q1767" s="638">
        <v>0</v>
      </c>
      <c r="R1767" s="638">
        <v>0</v>
      </c>
      <c r="S1767" s="638">
        <v>5658</v>
      </c>
      <c r="T1767" s="638">
        <v>5658</v>
      </c>
      <c r="U1767" s="638">
        <v>1658</v>
      </c>
      <c r="V1767" s="636">
        <v>2022</v>
      </c>
      <c r="W1767" s="640"/>
      <c r="X1767" s="641">
        <f t="shared" si="81"/>
        <v>3.4125452352231602</v>
      </c>
      <c r="Y1767" s="642" t="str">
        <f t="shared" si="82"/>
        <v/>
      </c>
      <c r="Z1767" s="642" t="str">
        <f t="shared" si="83"/>
        <v/>
      </c>
    </row>
    <row r="1768" spans="1:26" s="127" customFormat="1" ht="25">
      <c r="A1768" s="636">
        <v>62024</v>
      </c>
      <c r="B1768" s="637" t="s">
        <v>33</v>
      </c>
      <c r="C1768" s="636" t="s">
        <v>2725</v>
      </c>
      <c r="D1768" s="637" t="s">
        <v>2363</v>
      </c>
      <c r="E1768" s="637" t="s">
        <v>1926</v>
      </c>
      <c r="F1768" s="636">
        <v>58135</v>
      </c>
      <c r="G1768" s="637" t="s">
        <v>41</v>
      </c>
      <c r="H1768" s="637" t="s">
        <v>1163</v>
      </c>
      <c r="I1768" s="637" t="s">
        <v>58</v>
      </c>
      <c r="J1768" s="636">
        <v>22</v>
      </c>
      <c r="K1768" s="636">
        <v>2</v>
      </c>
      <c r="L1768" s="637" t="s">
        <v>52</v>
      </c>
      <c r="M1768" s="637" t="s">
        <v>441</v>
      </c>
      <c r="N1768" s="637" t="s">
        <v>442</v>
      </c>
      <c r="O1768" s="637" t="s">
        <v>442</v>
      </c>
      <c r="P1768" s="637" t="s">
        <v>1156</v>
      </c>
      <c r="Q1768" s="638">
        <v>0</v>
      </c>
      <c r="R1768" s="638">
        <v>0</v>
      </c>
      <c r="S1768" s="638">
        <v>5453</v>
      </c>
      <c r="T1768" s="638">
        <v>5453</v>
      </c>
      <c r="U1768" s="638">
        <v>1598</v>
      </c>
      <c r="V1768" s="636">
        <v>2022</v>
      </c>
      <c r="W1768" s="640"/>
      <c r="X1768" s="641">
        <f t="shared" si="81"/>
        <v>3.4123904881101375</v>
      </c>
      <c r="Y1768" s="642" t="str">
        <f t="shared" si="82"/>
        <v/>
      </c>
      <c r="Z1768" s="642" t="str">
        <f t="shared" si="83"/>
        <v/>
      </c>
    </row>
    <row r="1769" spans="1:26" s="127" customFormat="1" ht="25">
      <c r="A1769" s="636">
        <v>62025</v>
      </c>
      <c r="B1769" s="637" t="s">
        <v>33</v>
      </c>
      <c r="C1769" s="636" t="s">
        <v>2725</v>
      </c>
      <c r="D1769" s="637" t="s">
        <v>2364</v>
      </c>
      <c r="E1769" s="637" t="s">
        <v>1926</v>
      </c>
      <c r="F1769" s="636">
        <v>58135</v>
      </c>
      <c r="G1769" s="637" t="s">
        <v>41</v>
      </c>
      <c r="H1769" s="637" t="s">
        <v>1163</v>
      </c>
      <c r="I1769" s="637" t="s">
        <v>58</v>
      </c>
      <c r="J1769" s="636">
        <v>22</v>
      </c>
      <c r="K1769" s="636">
        <v>2</v>
      </c>
      <c r="L1769" s="637" t="s">
        <v>52</v>
      </c>
      <c r="M1769" s="637" t="s">
        <v>441</v>
      </c>
      <c r="N1769" s="637" t="s">
        <v>442</v>
      </c>
      <c r="O1769" s="637" t="s">
        <v>442</v>
      </c>
      <c r="P1769" s="637" t="s">
        <v>1156</v>
      </c>
      <c r="Q1769" s="638">
        <v>0</v>
      </c>
      <c r="R1769" s="638">
        <v>0</v>
      </c>
      <c r="S1769" s="638">
        <v>5509</v>
      </c>
      <c r="T1769" s="638">
        <v>5509</v>
      </c>
      <c r="U1769" s="638">
        <v>1615</v>
      </c>
      <c r="V1769" s="636">
        <v>2022</v>
      </c>
      <c r="W1769" s="640"/>
      <c r="X1769" s="641">
        <f t="shared" si="81"/>
        <v>3.4111455108359134</v>
      </c>
      <c r="Y1769" s="642" t="str">
        <f t="shared" si="82"/>
        <v/>
      </c>
      <c r="Z1769" s="642" t="str">
        <f t="shared" si="83"/>
        <v/>
      </c>
    </row>
    <row r="1770" spans="1:26" s="127" customFormat="1" ht="25">
      <c r="A1770" s="636">
        <v>62026</v>
      </c>
      <c r="B1770" s="637" t="s">
        <v>33</v>
      </c>
      <c r="C1770" s="636" t="s">
        <v>2725</v>
      </c>
      <c r="D1770" s="637" t="s">
        <v>2365</v>
      </c>
      <c r="E1770" s="637" t="s">
        <v>1926</v>
      </c>
      <c r="F1770" s="636">
        <v>58135</v>
      </c>
      <c r="G1770" s="637" t="s">
        <v>41</v>
      </c>
      <c r="H1770" s="637" t="s">
        <v>1163</v>
      </c>
      <c r="I1770" s="637" t="s">
        <v>58</v>
      </c>
      <c r="J1770" s="636">
        <v>22</v>
      </c>
      <c r="K1770" s="636">
        <v>2</v>
      </c>
      <c r="L1770" s="637" t="s">
        <v>52</v>
      </c>
      <c r="M1770" s="637" t="s">
        <v>441</v>
      </c>
      <c r="N1770" s="637" t="s">
        <v>442</v>
      </c>
      <c r="O1770" s="637" t="s">
        <v>442</v>
      </c>
      <c r="P1770" s="637" t="s">
        <v>1156</v>
      </c>
      <c r="Q1770" s="638">
        <v>0</v>
      </c>
      <c r="R1770" s="638">
        <v>0</v>
      </c>
      <c r="S1770" s="638">
        <v>5397</v>
      </c>
      <c r="T1770" s="638">
        <v>5397</v>
      </c>
      <c r="U1770" s="638">
        <v>1582</v>
      </c>
      <c r="V1770" s="636">
        <v>2022</v>
      </c>
      <c r="W1770" s="640"/>
      <c r="X1770" s="641">
        <f t="shared" si="81"/>
        <v>3.4115044247787609</v>
      </c>
      <c r="Y1770" s="642" t="str">
        <f t="shared" si="82"/>
        <v/>
      </c>
      <c r="Z1770" s="642" t="str">
        <f t="shared" si="83"/>
        <v/>
      </c>
    </row>
    <row r="1771" spans="1:26" s="127" customFormat="1" ht="25">
      <c r="A1771" s="636">
        <v>62029</v>
      </c>
      <c r="B1771" s="637" t="s">
        <v>33</v>
      </c>
      <c r="C1771" s="636" t="s">
        <v>2725</v>
      </c>
      <c r="D1771" s="637" t="s">
        <v>2366</v>
      </c>
      <c r="E1771" s="637" t="s">
        <v>2366</v>
      </c>
      <c r="F1771" s="636">
        <v>61599</v>
      </c>
      <c r="G1771" s="637" t="s">
        <v>57</v>
      </c>
      <c r="H1771" s="637" t="s">
        <v>1162</v>
      </c>
      <c r="I1771" s="637" t="s">
        <v>58</v>
      </c>
      <c r="J1771" s="636">
        <v>22</v>
      </c>
      <c r="K1771" s="636">
        <v>2</v>
      </c>
      <c r="L1771" s="637" t="s">
        <v>52</v>
      </c>
      <c r="M1771" s="637" t="s">
        <v>441</v>
      </c>
      <c r="N1771" s="637" t="s">
        <v>442</v>
      </c>
      <c r="O1771" s="637" t="s">
        <v>442</v>
      </c>
      <c r="P1771" s="637" t="s">
        <v>1156</v>
      </c>
      <c r="Q1771" s="638">
        <v>0</v>
      </c>
      <c r="R1771" s="638">
        <v>0</v>
      </c>
      <c r="S1771" s="638">
        <v>7377</v>
      </c>
      <c r="T1771" s="638">
        <v>7377</v>
      </c>
      <c r="U1771" s="638">
        <v>2162</v>
      </c>
      <c r="V1771" s="636">
        <v>2022</v>
      </c>
      <c r="W1771" s="640"/>
      <c r="X1771" s="641">
        <f t="shared" si="81"/>
        <v>3.4121184088806662</v>
      </c>
      <c r="Y1771" s="642" t="str">
        <f t="shared" si="82"/>
        <v/>
      </c>
      <c r="Z1771" s="642" t="str">
        <f t="shared" si="83"/>
        <v/>
      </c>
    </row>
    <row r="1772" spans="1:26" s="127" customFormat="1" ht="25">
      <c r="A1772" s="636">
        <v>62034</v>
      </c>
      <c r="B1772" s="637" t="s">
        <v>33</v>
      </c>
      <c r="C1772" s="636" t="s">
        <v>2725</v>
      </c>
      <c r="D1772" s="637" t="s">
        <v>2367</v>
      </c>
      <c r="E1772" s="637" t="s">
        <v>2368</v>
      </c>
      <c r="F1772" s="636">
        <v>61610</v>
      </c>
      <c r="G1772" s="637" t="s">
        <v>57</v>
      </c>
      <c r="H1772" s="637" t="s">
        <v>1162</v>
      </c>
      <c r="I1772" s="637" t="s">
        <v>58</v>
      </c>
      <c r="J1772" s="636">
        <v>22</v>
      </c>
      <c r="K1772" s="636">
        <v>2</v>
      </c>
      <c r="L1772" s="637" t="s">
        <v>52</v>
      </c>
      <c r="M1772" s="637" t="s">
        <v>441</v>
      </c>
      <c r="N1772" s="637" t="s">
        <v>442</v>
      </c>
      <c r="O1772" s="637" t="s">
        <v>442</v>
      </c>
      <c r="P1772" s="637" t="s">
        <v>1156</v>
      </c>
      <c r="Q1772" s="638">
        <v>0</v>
      </c>
      <c r="R1772" s="638">
        <v>0</v>
      </c>
      <c r="S1772" s="638">
        <v>8962</v>
      </c>
      <c r="T1772" s="638">
        <v>8962</v>
      </c>
      <c r="U1772" s="638">
        <v>2627</v>
      </c>
      <c r="V1772" s="636">
        <v>2022</v>
      </c>
      <c r="W1772" s="640"/>
      <c r="X1772" s="641">
        <f t="shared" si="81"/>
        <v>3.4114960030452988</v>
      </c>
      <c r="Y1772" s="642" t="str">
        <f t="shared" si="82"/>
        <v/>
      </c>
      <c r="Z1772" s="642" t="str">
        <f t="shared" si="83"/>
        <v/>
      </c>
    </row>
    <row r="1773" spans="1:26" s="127" customFormat="1" ht="37.5" hidden="1">
      <c r="A1773" s="636">
        <v>62050</v>
      </c>
      <c r="B1773" s="637" t="s">
        <v>33</v>
      </c>
      <c r="C1773" s="636" t="s">
        <v>2725</v>
      </c>
      <c r="D1773" s="637" t="s">
        <v>2369</v>
      </c>
      <c r="E1773" s="637" t="s">
        <v>2369</v>
      </c>
      <c r="F1773" s="636">
        <v>61618</v>
      </c>
      <c r="G1773" s="637" t="s">
        <v>57</v>
      </c>
      <c r="H1773" s="637" t="s">
        <v>1162</v>
      </c>
      <c r="I1773" s="637" t="s">
        <v>58</v>
      </c>
      <c r="J1773" s="636">
        <v>622</v>
      </c>
      <c r="K1773" s="636">
        <v>4</v>
      </c>
      <c r="L1773" s="637" t="s">
        <v>406</v>
      </c>
      <c r="M1773" s="637" t="s">
        <v>51</v>
      </c>
      <c r="N1773" s="637" t="s">
        <v>46</v>
      </c>
      <c r="O1773" s="637" t="s">
        <v>46</v>
      </c>
      <c r="P1773" s="637" t="s">
        <v>47</v>
      </c>
      <c r="Q1773" s="638">
        <v>13</v>
      </c>
      <c r="R1773" s="638">
        <v>13</v>
      </c>
      <c r="S1773" s="638">
        <v>80</v>
      </c>
      <c r="T1773" s="638">
        <v>80</v>
      </c>
      <c r="U1773" s="638">
        <v>17</v>
      </c>
      <c r="V1773" s="636">
        <v>2022</v>
      </c>
      <c r="W1773" s="640"/>
      <c r="X1773" s="641" t="str">
        <f t="shared" si="81"/>
        <v/>
      </c>
      <c r="Y1773" s="642" t="str">
        <f t="shared" si="82"/>
        <v/>
      </c>
      <c r="Z1773" s="642" t="str">
        <f t="shared" si="83"/>
        <v/>
      </c>
    </row>
    <row r="1774" spans="1:26" s="127" customFormat="1" ht="37.5" hidden="1">
      <c r="A1774" s="636">
        <v>62051</v>
      </c>
      <c r="B1774" s="637" t="s">
        <v>33</v>
      </c>
      <c r="C1774" s="636" t="s">
        <v>2725</v>
      </c>
      <c r="D1774" s="637" t="s">
        <v>2370</v>
      </c>
      <c r="E1774" s="637" t="s">
        <v>2370</v>
      </c>
      <c r="F1774" s="636">
        <v>61619</v>
      </c>
      <c r="G1774" s="637" t="s">
        <v>57</v>
      </c>
      <c r="H1774" s="637" t="s">
        <v>1162</v>
      </c>
      <c r="I1774" s="637" t="s">
        <v>58</v>
      </c>
      <c r="J1774" s="636">
        <v>622</v>
      </c>
      <c r="K1774" s="636">
        <v>4</v>
      </c>
      <c r="L1774" s="637" t="s">
        <v>406</v>
      </c>
      <c r="M1774" s="637" t="s">
        <v>51</v>
      </c>
      <c r="N1774" s="637" t="s">
        <v>46</v>
      </c>
      <c r="O1774" s="637" t="s">
        <v>46</v>
      </c>
      <c r="P1774" s="637" t="s">
        <v>47</v>
      </c>
      <c r="Q1774" s="638">
        <v>18</v>
      </c>
      <c r="R1774" s="638">
        <v>18</v>
      </c>
      <c r="S1774" s="638">
        <v>100</v>
      </c>
      <c r="T1774" s="638">
        <v>100</v>
      </c>
      <c r="U1774" s="638">
        <v>5</v>
      </c>
      <c r="V1774" s="636">
        <v>2022</v>
      </c>
      <c r="W1774" s="640"/>
      <c r="X1774" s="641" t="str">
        <f t="shared" si="81"/>
        <v/>
      </c>
      <c r="Y1774" s="642" t="str">
        <f t="shared" si="82"/>
        <v/>
      </c>
      <c r="Z1774" s="642" t="str">
        <f t="shared" si="83"/>
        <v/>
      </c>
    </row>
    <row r="1775" spans="1:26" s="127" customFormat="1" ht="25">
      <c r="A1775" s="636">
        <v>62055</v>
      </c>
      <c r="B1775" s="637" t="s">
        <v>33</v>
      </c>
      <c r="C1775" s="636" t="s">
        <v>2725</v>
      </c>
      <c r="D1775" s="637" t="s">
        <v>2371</v>
      </c>
      <c r="E1775" s="637" t="s">
        <v>2372</v>
      </c>
      <c r="F1775" s="636">
        <v>54913</v>
      </c>
      <c r="G1775" s="637" t="s">
        <v>81</v>
      </c>
      <c r="H1775" s="637" t="s">
        <v>1163</v>
      </c>
      <c r="I1775" s="637" t="s">
        <v>58</v>
      </c>
      <c r="J1775" s="636">
        <v>22</v>
      </c>
      <c r="K1775" s="636">
        <v>1</v>
      </c>
      <c r="L1775" s="637" t="s">
        <v>34</v>
      </c>
      <c r="M1775" s="637" t="s">
        <v>441</v>
      </c>
      <c r="N1775" s="637" t="s">
        <v>442</v>
      </c>
      <c r="O1775" s="637" t="s">
        <v>442</v>
      </c>
      <c r="P1775" s="637" t="s">
        <v>1156</v>
      </c>
      <c r="Q1775" s="638">
        <v>0</v>
      </c>
      <c r="R1775" s="638">
        <v>0</v>
      </c>
      <c r="S1775" s="638">
        <v>4565</v>
      </c>
      <c r="T1775" s="638">
        <v>4565</v>
      </c>
      <c r="U1775" s="638">
        <v>1338</v>
      </c>
      <c r="V1775" s="636">
        <v>2022</v>
      </c>
      <c r="W1775" s="640"/>
      <c r="X1775" s="641">
        <f t="shared" si="81"/>
        <v>3.4118086696562031</v>
      </c>
      <c r="Y1775" s="642" t="str">
        <f t="shared" si="82"/>
        <v/>
      </c>
      <c r="Z1775" s="642" t="str">
        <f t="shared" si="83"/>
        <v/>
      </c>
    </row>
    <row r="1776" spans="1:26" s="127" customFormat="1" ht="25">
      <c r="A1776" s="636">
        <v>62059</v>
      </c>
      <c r="B1776" s="637" t="s">
        <v>33</v>
      </c>
      <c r="C1776" s="636" t="s">
        <v>2725</v>
      </c>
      <c r="D1776" s="637" t="s">
        <v>2373</v>
      </c>
      <c r="E1776" s="637" t="s">
        <v>2372</v>
      </c>
      <c r="F1776" s="636">
        <v>54913</v>
      </c>
      <c r="G1776" s="637" t="s">
        <v>81</v>
      </c>
      <c r="H1776" s="637" t="s">
        <v>1163</v>
      </c>
      <c r="I1776" s="637" t="s">
        <v>58</v>
      </c>
      <c r="J1776" s="636">
        <v>22</v>
      </c>
      <c r="K1776" s="636">
        <v>1</v>
      </c>
      <c r="L1776" s="637" t="s">
        <v>34</v>
      </c>
      <c r="M1776" s="637" t="s">
        <v>441</v>
      </c>
      <c r="N1776" s="637" t="s">
        <v>442</v>
      </c>
      <c r="O1776" s="637" t="s">
        <v>442</v>
      </c>
      <c r="P1776" s="637" t="s">
        <v>1156</v>
      </c>
      <c r="Q1776" s="638">
        <v>0</v>
      </c>
      <c r="R1776" s="638">
        <v>0</v>
      </c>
      <c r="S1776" s="638">
        <v>30746</v>
      </c>
      <c r="T1776" s="638">
        <v>30746</v>
      </c>
      <c r="U1776" s="638">
        <v>9011</v>
      </c>
      <c r="V1776" s="636">
        <v>2022</v>
      </c>
      <c r="W1776" s="640"/>
      <c r="X1776" s="641">
        <f t="shared" si="81"/>
        <v>3.4120519365220288</v>
      </c>
      <c r="Y1776" s="642" t="str">
        <f t="shared" si="82"/>
        <v/>
      </c>
      <c r="Z1776" s="642" t="str">
        <f t="shared" si="83"/>
        <v/>
      </c>
    </row>
    <row r="1777" spans="1:26" s="127" customFormat="1" ht="25">
      <c r="A1777" s="636">
        <v>62063</v>
      </c>
      <c r="B1777" s="637" t="s">
        <v>33</v>
      </c>
      <c r="C1777" s="636" t="s">
        <v>2725</v>
      </c>
      <c r="D1777" s="637" t="s">
        <v>2766</v>
      </c>
      <c r="E1777" s="637" t="s">
        <v>2372</v>
      </c>
      <c r="F1777" s="636">
        <v>54913</v>
      </c>
      <c r="G1777" s="637" t="s">
        <v>81</v>
      </c>
      <c r="H1777" s="637" t="s">
        <v>1163</v>
      </c>
      <c r="I1777" s="637" t="s">
        <v>58</v>
      </c>
      <c r="J1777" s="636">
        <v>22</v>
      </c>
      <c r="K1777" s="636">
        <v>1</v>
      </c>
      <c r="L1777" s="637" t="s">
        <v>34</v>
      </c>
      <c r="M1777" s="637" t="s">
        <v>441</v>
      </c>
      <c r="N1777" s="637" t="s">
        <v>442</v>
      </c>
      <c r="O1777" s="637" t="s">
        <v>442</v>
      </c>
      <c r="P1777" s="637" t="s">
        <v>1156</v>
      </c>
      <c r="Q1777" s="638">
        <v>0</v>
      </c>
      <c r="R1777" s="638">
        <v>0</v>
      </c>
      <c r="S1777" s="638">
        <v>10926</v>
      </c>
      <c r="T1777" s="638">
        <v>10926</v>
      </c>
      <c r="U1777" s="638">
        <v>3202</v>
      </c>
      <c r="V1777" s="636">
        <v>2022</v>
      </c>
      <c r="W1777" s="640"/>
      <c r="X1777" s="641">
        <f t="shared" si="81"/>
        <v>3.4122423485321676</v>
      </c>
      <c r="Y1777" s="642" t="str">
        <f t="shared" si="82"/>
        <v/>
      </c>
      <c r="Z1777" s="642" t="str">
        <f t="shared" si="83"/>
        <v/>
      </c>
    </row>
    <row r="1778" spans="1:26" s="127" customFormat="1" ht="25">
      <c r="A1778" s="636">
        <v>62064</v>
      </c>
      <c r="B1778" s="637" t="s">
        <v>33</v>
      </c>
      <c r="C1778" s="636" t="s">
        <v>2725</v>
      </c>
      <c r="D1778" s="637" t="s">
        <v>2767</v>
      </c>
      <c r="E1778" s="637" t="s">
        <v>2372</v>
      </c>
      <c r="F1778" s="636">
        <v>54913</v>
      </c>
      <c r="G1778" s="637" t="s">
        <v>81</v>
      </c>
      <c r="H1778" s="637" t="s">
        <v>1163</v>
      </c>
      <c r="I1778" s="637" t="s">
        <v>58</v>
      </c>
      <c r="J1778" s="636">
        <v>22</v>
      </c>
      <c r="K1778" s="636">
        <v>1</v>
      </c>
      <c r="L1778" s="637" t="s">
        <v>34</v>
      </c>
      <c r="M1778" s="637" t="s">
        <v>441</v>
      </c>
      <c r="N1778" s="637" t="s">
        <v>442</v>
      </c>
      <c r="O1778" s="637" t="s">
        <v>442</v>
      </c>
      <c r="P1778" s="637" t="s">
        <v>1156</v>
      </c>
      <c r="Q1778" s="638">
        <v>0</v>
      </c>
      <c r="R1778" s="638">
        <v>0</v>
      </c>
      <c r="S1778" s="638">
        <v>10508</v>
      </c>
      <c r="T1778" s="638">
        <v>10508</v>
      </c>
      <c r="U1778" s="638">
        <v>3080</v>
      </c>
      <c r="V1778" s="636">
        <v>2022</v>
      </c>
      <c r="W1778" s="640"/>
      <c r="X1778" s="641">
        <f t="shared" si="81"/>
        <v>3.4116883116883119</v>
      </c>
      <c r="Y1778" s="642" t="str">
        <f t="shared" si="82"/>
        <v/>
      </c>
      <c r="Z1778" s="642" t="str">
        <f t="shared" si="83"/>
        <v/>
      </c>
    </row>
    <row r="1779" spans="1:26" s="127" customFormat="1" ht="25">
      <c r="A1779" s="636">
        <v>62065</v>
      </c>
      <c r="B1779" s="637" t="s">
        <v>33</v>
      </c>
      <c r="C1779" s="636" t="s">
        <v>2725</v>
      </c>
      <c r="D1779" s="637" t="s">
        <v>2768</v>
      </c>
      <c r="E1779" s="637" t="s">
        <v>2372</v>
      </c>
      <c r="F1779" s="636">
        <v>54913</v>
      </c>
      <c r="G1779" s="637" t="s">
        <v>81</v>
      </c>
      <c r="H1779" s="637" t="s">
        <v>1163</v>
      </c>
      <c r="I1779" s="637" t="s">
        <v>58</v>
      </c>
      <c r="J1779" s="636">
        <v>22</v>
      </c>
      <c r="K1779" s="636">
        <v>1</v>
      </c>
      <c r="L1779" s="637" t="s">
        <v>34</v>
      </c>
      <c r="M1779" s="637" t="s">
        <v>441</v>
      </c>
      <c r="N1779" s="637" t="s">
        <v>442</v>
      </c>
      <c r="O1779" s="637" t="s">
        <v>442</v>
      </c>
      <c r="P1779" s="637" t="s">
        <v>1156</v>
      </c>
      <c r="Q1779" s="638">
        <v>0</v>
      </c>
      <c r="R1779" s="638">
        <v>0</v>
      </c>
      <c r="S1779" s="638">
        <v>11202</v>
      </c>
      <c r="T1779" s="638">
        <v>11202</v>
      </c>
      <c r="U1779" s="638">
        <v>3283</v>
      </c>
      <c r="V1779" s="636">
        <v>2022</v>
      </c>
      <c r="W1779" s="640"/>
      <c r="X1779" s="641">
        <f t="shared" si="81"/>
        <v>3.4121230581784951</v>
      </c>
      <c r="Y1779" s="642" t="str">
        <f t="shared" si="82"/>
        <v/>
      </c>
      <c r="Z1779" s="642" t="str">
        <f t="shared" si="83"/>
        <v/>
      </c>
    </row>
    <row r="1780" spans="1:26" s="127" customFormat="1" ht="25">
      <c r="A1780" s="636">
        <v>62066</v>
      </c>
      <c r="B1780" s="637" t="s">
        <v>33</v>
      </c>
      <c r="C1780" s="636" t="s">
        <v>2725</v>
      </c>
      <c r="D1780" s="637" t="s">
        <v>2769</v>
      </c>
      <c r="E1780" s="637" t="s">
        <v>2372</v>
      </c>
      <c r="F1780" s="636">
        <v>54913</v>
      </c>
      <c r="G1780" s="637" t="s">
        <v>81</v>
      </c>
      <c r="H1780" s="637" t="s">
        <v>1163</v>
      </c>
      <c r="I1780" s="637" t="s">
        <v>58</v>
      </c>
      <c r="J1780" s="636">
        <v>22</v>
      </c>
      <c r="K1780" s="636">
        <v>1</v>
      </c>
      <c r="L1780" s="637" t="s">
        <v>34</v>
      </c>
      <c r="M1780" s="637" t="s">
        <v>441</v>
      </c>
      <c r="N1780" s="637" t="s">
        <v>442</v>
      </c>
      <c r="O1780" s="637" t="s">
        <v>442</v>
      </c>
      <c r="P1780" s="637" t="s">
        <v>1156</v>
      </c>
      <c r="Q1780" s="638">
        <v>0</v>
      </c>
      <c r="R1780" s="638">
        <v>0</v>
      </c>
      <c r="S1780" s="638">
        <v>11471</v>
      </c>
      <c r="T1780" s="638">
        <v>11471</v>
      </c>
      <c r="U1780" s="638">
        <v>3362</v>
      </c>
      <c r="V1780" s="636">
        <v>2022</v>
      </c>
      <c r="W1780" s="640"/>
      <c r="X1780" s="641">
        <f t="shared" si="81"/>
        <v>3.4119571683521714</v>
      </c>
      <c r="Y1780" s="642" t="str">
        <f t="shared" si="82"/>
        <v/>
      </c>
      <c r="Z1780" s="642" t="str">
        <f t="shared" si="83"/>
        <v/>
      </c>
    </row>
    <row r="1781" spans="1:26" s="127" customFormat="1" ht="25">
      <c r="A1781" s="636">
        <v>62072</v>
      </c>
      <c r="B1781" s="637" t="s">
        <v>33</v>
      </c>
      <c r="C1781" s="636" t="s">
        <v>2725</v>
      </c>
      <c r="D1781" s="637" t="s">
        <v>2770</v>
      </c>
      <c r="E1781" s="637" t="s">
        <v>2372</v>
      </c>
      <c r="F1781" s="636">
        <v>54913</v>
      </c>
      <c r="G1781" s="637" t="s">
        <v>81</v>
      </c>
      <c r="H1781" s="637" t="s">
        <v>1163</v>
      </c>
      <c r="I1781" s="637" t="s">
        <v>58</v>
      </c>
      <c r="J1781" s="636">
        <v>22</v>
      </c>
      <c r="K1781" s="636">
        <v>1</v>
      </c>
      <c r="L1781" s="637" t="s">
        <v>34</v>
      </c>
      <c r="M1781" s="637" t="s">
        <v>441</v>
      </c>
      <c r="N1781" s="637" t="s">
        <v>442</v>
      </c>
      <c r="O1781" s="637" t="s">
        <v>442</v>
      </c>
      <c r="P1781" s="637" t="s">
        <v>1156</v>
      </c>
      <c r="Q1781" s="638">
        <v>0</v>
      </c>
      <c r="R1781" s="638">
        <v>0</v>
      </c>
      <c r="S1781" s="638">
        <v>21892</v>
      </c>
      <c r="T1781" s="638">
        <v>21892</v>
      </c>
      <c r="U1781" s="638">
        <v>6416</v>
      </c>
      <c r="V1781" s="636">
        <v>2022</v>
      </c>
      <c r="W1781" s="640"/>
      <c r="X1781" s="641">
        <f t="shared" si="81"/>
        <v>3.4120947630922691</v>
      </c>
      <c r="Y1781" s="642" t="str">
        <f t="shared" si="82"/>
        <v/>
      </c>
      <c r="Z1781" s="642" t="str">
        <f t="shared" si="83"/>
        <v/>
      </c>
    </row>
    <row r="1782" spans="1:26" s="127" customFormat="1" ht="25">
      <c r="A1782" s="636">
        <v>62073</v>
      </c>
      <c r="B1782" s="637" t="s">
        <v>33</v>
      </c>
      <c r="C1782" s="636" t="s">
        <v>2725</v>
      </c>
      <c r="D1782" s="637" t="s">
        <v>2771</v>
      </c>
      <c r="E1782" s="637" t="s">
        <v>2372</v>
      </c>
      <c r="F1782" s="636">
        <v>54913</v>
      </c>
      <c r="G1782" s="637" t="s">
        <v>81</v>
      </c>
      <c r="H1782" s="637" t="s">
        <v>1163</v>
      </c>
      <c r="I1782" s="637" t="s">
        <v>58</v>
      </c>
      <c r="J1782" s="636">
        <v>22</v>
      </c>
      <c r="K1782" s="636">
        <v>1</v>
      </c>
      <c r="L1782" s="637" t="s">
        <v>34</v>
      </c>
      <c r="M1782" s="637" t="s">
        <v>441</v>
      </c>
      <c r="N1782" s="637" t="s">
        <v>442</v>
      </c>
      <c r="O1782" s="637" t="s">
        <v>442</v>
      </c>
      <c r="P1782" s="637" t="s">
        <v>1156</v>
      </c>
      <c r="Q1782" s="638">
        <v>0</v>
      </c>
      <c r="R1782" s="638">
        <v>0</v>
      </c>
      <c r="S1782" s="638">
        <v>21620</v>
      </c>
      <c r="T1782" s="638">
        <v>21620</v>
      </c>
      <c r="U1782" s="638">
        <v>6337</v>
      </c>
      <c r="V1782" s="636">
        <v>2022</v>
      </c>
      <c r="W1782" s="640"/>
      <c r="X1782" s="641">
        <f t="shared" si="81"/>
        <v>3.4117090105728263</v>
      </c>
      <c r="Y1782" s="642" t="str">
        <f t="shared" si="82"/>
        <v/>
      </c>
      <c r="Z1782" s="642" t="str">
        <f t="shared" si="83"/>
        <v/>
      </c>
    </row>
    <row r="1783" spans="1:26" s="127" customFormat="1" ht="25">
      <c r="A1783" s="636">
        <v>62076</v>
      </c>
      <c r="B1783" s="637" t="s">
        <v>33</v>
      </c>
      <c r="C1783" s="636" t="s">
        <v>2725</v>
      </c>
      <c r="D1783" s="637" t="s">
        <v>2374</v>
      </c>
      <c r="E1783" s="637" t="s">
        <v>1883</v>
      </c>
      <c r="F1783" s="636">
        <v>60947</v>
      </c>
      <c r="G1783" s="637" t="s">
        <v>41</v>
      </c>
      <c r="H1783" s="637" t="s">
        <v>1163</v>
      </c>
      <c r="I1783" s="637" t="s">
        <v>58</v>
      </c>
      <c r="J1783" s="636">
        <v>22</v>
      </c>
      <c r="K1783" s="636">
        <v>2</v>
      </c>
      <c r="L1783" s="637" t="s">
        <v>52</v>
      </c>
      <c r="M1783" s="637" t="s">
        <v>441</v>
      </c>
      <c r="N1783" s="637" t="s">
        <v>442</v>
      </c>
      <c r="O1783" s="637" t="s">
        <v>442</v>
      </c>
      <c r="P1783" s="637" t="s">
        <v>1156</v>
      </c>
      <c r="Q1783" s="638">
        <v>0</v>
      </c>
      <c r="R1783" s="638">
        <v>0</v>
      </c>
      <c r="S1783" s="638">
        <v>5625</v>
      </c>
      <c r="T1783" s="638">
        <v>5625</v>
      </c>
      <c r="U1783" s="638">
        <v>1649</v>
      </c>
      <c r="V1783" s="636">
        <v>2022</v>
      </c>
      <c r="W1783" s="640"/>
      <c r="X1783" s="641">
        <f t="shared" si="81"/>
        <v>3.4111582777440872</v>
      </c>
      <c r="Y1783" s="642" t="str">
        <f t="shared" si="82"/>
        <v/>
      </c>
      <c r="Z1783" s="642" t="str">
        <f t="shared" si="83"/>
        <v/>
      </c>
    </row>
    <row r="1784" spans="1:26" s="127" customFormat="1" ht="25">
      <c r="A1784" s="636">
        <v>62082</v>
      </c>
      <c r="B1784" s="637" t="s">
        <v>33</v>
      </c>
      <c r="C1784" s="636" t="s">
        <v>2725</v>
      </c>
      <c r="D1784" s="637" t="s">
        <v>2375</v>
      </c>
      <c r="E1784" s="637" t="s">
        <v>2372</v>
      </c>
      <c r="F1784" s="636">
        <v>54913</v>
      </c>
      <c r="G1784" s="637" t="s">
        <v>81</v>
      </c>
      <c r="H1784" s="637" t="s">
        <v>1163</v>
      </c>
      <c r="I1784" s="637" t="s">
        <v>58</v>
      </c>
      <c r="J1784" s="636">
        <v>22</v>
      </c>
      <c r="K1784" s="636">
        <v>1</v>
      </c>
      <c r="L1784" s="637" t="s">
        <v>34</v>
      </c>
      <c r="M1784" s="637" t="s">
        <v>441</v>
      </c>
      <c r="N1784" s="637" t="s">
        <v>442</v>
      </c>
      <c r="O1784" s="637" t="s">
        <v>442</v>
      </c>
      <c r="P1784" s="637" t="s">
        <v>1156</v>
      </c>
      <c r="Q1784" s="638">
        <v>0</v>
      </c>
      <c r="R1784" s="638">
        <v>0</v>
      </c>
      <c r="S1784" s="638">
        <v>32110</v>
      </c>
      <c r="T1784" s="638">
        <v>32110</v>
      </c>
      <c r="U1784" s="638">
        <v>9411</v>
      </c>
      <c r="V1784" s="636">
        <v>2022</v>
      </c>
      <c r="W1784" s="640"/>
      <c r="X1784" s="641">
        <f t="shared" si="81"/>
        <v>3.4119647221336735</v>
      </c>
      <c r="Y1784" s="642" t="str">
        <f t="shared" si="82"/>
        <v/>
      </c>
      <c r="Z1784" s="642" t="str">
        <f t="shared" si="83"/>
        <v/>
      </c>
    </row>
    <row r="1785" spans="1:26" s="127" customFormat="1" ht="25">
      <c r="A1785" s="636">
        <v>62090</v>
      </c>
      <c r="B1785" s="637" t="s">
        <v>33</v>
      </c>
      <c r="C1785" s="636" t="s">
        <v>2725</v>
      </c>
      <c r="D1785" s="637" t="s">
        <v>2376</v>
      </c>
      <c r="E1785" s="637" t="s">
        <v>2372</v>
      </c>
      <c r="F1785" s="636">
        <v>54913</v>
      </c>
      <c r="G1785" s="637" t="s">
        <v>81</v>
      </c>
      <c r="H1785" s="637" t="s">
        <v>1163</v>
      </c>
      <c r="I1785" s="637" t="s">
        <v>58</v>
      </c>
      <c r="J1785" s="636">
        <v>22</v>
      </c>
      <c r="K1785" s="636">
        <v>1</v>
      </c>
      <c r="L1785" s="637" t="s">
        <v>34</v>
      </c>
      <c r="M1785" s="637" t="s">
        <v>441</v>
      </c>
      <c r="N1785" s="637" t="s">
        <v>442</v>
      </c>
      <c r="O1785" s="637" t="s">
        <v>442</v>
      </c>
      <c r="P1785" s="637" t="s">
        <v>1156</v>
      </c>
      <c r="Q1785" s="638">
        <v>0</v>
      </c>
      <c r="R1785" s="638">
        <v>0</v>
      </c>
      <c r="S1785" s="638">
        <v>5974</v>
      </c>
      <c r="T1785" s="638">
        <v>5974</v>
      </c>
      <c r="U1785" s="638">
        <v>1751</v>
      </c>
      <c r="V1785" s="636">
        <v>2022</v>
      </c>
      <c r="W1785" s="640"/>
      <c r="X1785" s="641">
        <f t="shared" si="81"/>
        <v>3.4117647058823528</v>
      </c>
      <c r="Y1785" s="642" t="str">
        <f t="shared" si="82"/>
        <v/>
      </c>
      <c r="Z1785" s="642" t="str">
        <f t="shared" si="83"/>
        <v/>
      </c>
    </row>
    <row r="1786" spans="1:26" s="127" customFormat="1" ht="25">
      <c r="A1786" s="636">
        <v>62091</v>
      </c>
      <c r="B1786" s="637" t="s">
        <v>33</v>
      </c>
      <c r="C1786" s="636" t="s">
        <v>2725</v>
      </c>
      <c r="D1786" s="637" t="s">
        <v>2377</v>
      </c>
      <c r="E1786" s="637" t="s">
        <v>2372</v>
      </c>
      <c r="F1786" s="636">
        <v>54913</v>
      </c>
      <c r="G1786" s="637" t="s">
        <v>81</v>
      </c>
      <c r="H1786" s="637" t="s">
        <v>1163</v>
      </c>
      <c r="I1786" s="637" t="s">
        <v>58</v>
      </c>
      <c r="J1786" s="636">
        <v>22</v>
      </c>
      <c r="K1786" s="636">
        <v>1</v>
      </c>
      <c r="L1786" s="637" t="s">
        <v>34</v>
      </c>
      <c r="M1786" s="637" t="s">
        <v>441</v>
      </c>
      <c r="N1786" s="637" t="s">
        <v>442</v>
      </c>
      <c r="O1786" s="637" t="s">
        <v>442</v>
      </c>
      <c r="P1786" s="637" t="s">
        <v>1156</v>
      </c>
      <c r="Q1786" s="638">
        <v>0</v>
      </c>
      <c r="R1786" s="638">
        <v>0</v>
      </c>
      <c r="S1786" s="638">
        <v>20137</v>
      </c>
      <c r="T1786" s="638">
        <v>20137</v>
      </c>
      <c r="U1786" s="638">
        <v>5902</v>
      </c>
      <c r="V1786" s="636">
        <v>2022</v>
      </c>
      <c r="W1786" s="640"/>
      <c r="X1786" s="641">
        <f t="shared" si="81"/>
        <v>3.4118942731277535</v>
      </c>
      <c r="Y1786" s="642" t="str">
        <f t="shared" si="82"/>
        <v/>
      </c>
      <c r="Z1786" s="642" t="str">
        <f t="shared" si="83"/>
        <v/>
      </c>
    </row>
    <row r="1787" spans="1:26" s="127" customFormat="1" ht="25">
      <c r="A1787" s="636">
        <v>62092</v>
      </c>
      <c r="B1787" s="637" t="s">
        <v>33</v>
      </c>
      <c r="C1787" s="636" t="s">
        <v>2725</v>
      </c>
      <c r="D1787" s="637" t="s">
        <v>2378</v>
      </c>
      <c r="E1787" s="637" t="s">
        <v>2372</v>
      </c>
      <c r="F1787" s="636">
        <v>54913</v>
      </c>
      <c r="G1787" s="637" t="s">
        <v>81</v>
      </c>
      <c r="H1787" s="637" t="s">
        <v>1163</v>
      </c>
      <c r="I1787" s="637" t="s">
        <v>58</v>
      </c>
      <c r="J1787" s="636">
        <v>22</v>
      </c>
      <c r="K1787" s="636">
        <v>1</v>
      </c>
      <c r="L1787" s="637" t="s">
        <v>34</v>
      </c>
      <c r="M1787" s="637" t="s">
        <v>441</v>
      </c>
      <c r="N1787" s="637" t="s">
        <v>442</v>
      </c>
      <c r="O1787" s="637" t="s">
        <v>442</v>
      </c>
      <c r="P1787" s="637" t="s">
        <v>1156</v>
      </c>
      <c r="Q1787" s="638">
        <v>0</v>
      </c>
      <c r="R1787" s="638">
        <v>0</v>
      </c>
      <c r="S1787" s="638">
        <v>21831</v>
      </c>
      <c r="T1787" s="638">
        <v>21831</v>
      </c>
      <c r="U1787" s="638">
        <v>6398</v>
      </c>
      <c r="V1787" s="636">
        <v>2022</v>
      </c>
      <c r="W1787" s="640"/>
      <c r="X1787" s="641">
        <f t="shared" si="81"/>
        <v>3.4121600500156299</v>
      </c>
      <c r="Y1787" s="642" t="str">
        <f t="shared" si="82"/>
        <v/>
      </c>
      <c r="Z1787" s="642" t="str">
        <f t="shared" si="83"/>
        <v/>
      </c>
    </row>
    <row r="1788" spans="1:26" s="127" customFormat="1" ht="25">
      <c r="A1788" s="636">
        <v>62093</v>
      </c>
      <c r="B1788" s="637" t="s">
        <v>33</v>
      </c>
      <c r="C1788" s="636" t="s">
        <v>2725</v>
      </c>
      <c r="D1788" s="637" t="s">
        <v>2379</v>
      </c>
      <c r="E1788" s="637" t="s">
        <v>2372</v>
      </c>
      <c r="F1788" s="636">
        <v>54913</v>
      </c>
      <c r="G1788" s="637" t="s">
        <v>81</v>
      </c>
      <c r="H1788" s="637" t="s">
        <v>1163</v>
      </c>
      <c r="I1788" s="637" t="s">
        <v>58</v>
      </c>
      <c r="J1788" s="636">
        <v>22</v>
      </c>
      <c r="K1788" s="636">
        <v>1</v>
      </c>
      <c r="L1788" s="637" t="s">
        <v>34</v>
      </c>
      <c r="M1788" s="637" t="s">
        <v>441</v>
      </c>
      <c r="N1788" s="637" t="s">
        <v>442</v>
      </c>
      <c r="O1788" s="637" t="s">
        <v>442</v>
      </c>
      <c r="P1788" s="637" t="s">
        <v>1156</v>
      </c>
      <c r="Q1788" s="638">
        <v>0</v>
      </c>
      <c r="R1788" s="638">
        <v>0</v>
      </c>
      <c r="S1788" s="638">
        <v>7121</v>
      </c>
      <c r="T1788" s="638">
        <v>7121</v>
      </c>
      <c r="U1788" s="638">
        <v>2087</v>
      </c>
      <c r="V1788" s="636">
        <v>2022</v>
      </c>
      <c r="W1788" s="640"/>
      <c r="X1788" s="641">
        <f t="shared" si="81"/>
        <v>3.4120747484427407</v>
      </c>
      <c r="Y1788" s="642" t="str">
        <f t="shared" si="82"/>
        <v/>
      </c>
      <c r="Z1788" s="642" t="str">
        <f t="shared" si="83"/>
        <v/>
      </c>
    </row>
    <row r="1789" spans="1:26" s="127" customFormat="1" ht="25">
      <c r="A1789" s="636">
        <v>62097</v>
      </c>
      <c r="B1789" s="637" t="s">
        <v>33</v>
      </c>
      <c r="C1789" s="636" t="s">
        <v>2725</v>
      </c>
      <c r="D1789" s="637" t="s">
        <v>2380</v>
      </c>
      <c r="E1789" s="637" t="s">
        <v>2372</v>
      </c>
      <c r="F1789" s="636">
        <v>54913</v>
      </c>
      <c r="G1789" s="637" t="s">
        <v>81</v>
      </c>
      <c r="H1789" s="637" t="s">
        <v>1163</v>
      </c>
      <c r="I1789" s="637" t="s">
        <v>58</v>
      </c>
      <c r="J1789" s="636">
        <v>22</v>
      </c>
      <c r="K1789" s="636">
        <v>1</v>
      </c>
      <c r="L1789" s="637" t="s">
        <v>34</v>
      </c>
      <c r="M1789" s="637" t="s">
        <v>441</v>
      </c>
      <c r="N1789" s="637" t="s">
        <v>442</v>
      </c>
      <c r="O1789" s="637" t="s">
        <v>442</v>
      </c>
      <c r="P1789" s="637" t="s">
        <v>1156</v>
      </c>
      <c r="Q1789" s="638">
        <v>0</v>
      </c>
      <c r="R1789" s="638">
        <v>0</v>
      </c>
      <c r="S1789" s="638">
        <v>8939</v>
      </c>
      <c r="T1789" s="638">
        <v>8939</v>
      </c>
      <c r="U1789" s="638">
        <v>2620</v>
      </c>
      <c r="V1789" s="636">
        <v>2022</v>
      </c>
      <c r="W1789" s="640"/>
      <c r="X1789" s="641">
        <f t="shared" si="81"/>
        <v>3.4118320610687021</v>
      </c>
      <c r="Y1789" s="642" t="str">
        <f t="shared" si="82"/>
        <v/>
      </c>
      <c r="Z1789" s="642" t="str">
        <f t="shared" si="83"/>
        <v/>
      </c>
    </row>
    <row r="1790" spans="1:26" s="127" customFormat="1" ht="25">
      <c r="A1790" s="636">
        <v>62106</v>
      </c>
      <c r="B1790" s="637" t="s">
        <v>33</v>
      </c>
      <c r="C1790" s="636" t="s">
        <v>2725</v>
      </c>
      <c r="D1790" s="637" t="s">
        <v>2381</v>
      </c>
      <c r="E1790" s="637" t="s">
        <v>2381</v>
      </c>
      <c r="F1790" s="636">
        <v>61648</v>
      </c>
      <c r="G1790" s="637" t="s">
        <v>130</v>
      </c>
      <c r="H1790" s="637" t="s">
        <v>1163</v>
      </c>
      <c r="I1790" s="637" t="s">
        <v>58</v>
      </c>
      <c r="J1790" s="636">
        <v>22</v>
      </c>
      <c r="K1790" s="636">
        <v>2</v>
      </c>
      <c r="L1790" s="637" t="s">
        <v>52</v>
      </c>
      <c r="M1790" s="637" t="s">
        <v>71</v>
      </c>
      <c r="N1790" s="637" t="s">
        <v>72</v>
      </c>
      <c r="O1790" s="637" t="s">
        <v>72</v>
      </c>
      <c r="P1790" s="637" t="s">
        <v>1156</v>
      </c>
      <c r="Q1790" s="638">
        <v>0</v>
      </c>
      <c r="R1790" s="638">
        <v>0</v>
      </c>
      <c r="S1790" s="638">
        <v>23991</v>
      </c>
      <c r="T1790" s="638">
        <v>23991</v>
      </c>
      <c r="U1790" s="638">
        <v>7031</v>
      </c>
      <c r="V1790" s="636">
        <v>2022</v>
      </c>
      <c r="W1790" s="640"/>
      <c r="X1790" s="641">
        <f t="shared" si="81"/>
        <v>3.4121746550988479</v>
      </c>
      <c r="Y1790" s="642" t="str">
        <f t="shared" si="82"/>
        <v/>
      </c>
      <c r="Z1790" s="642" t="str">
        <f t="shared" si="83"/>
        <v/>
      </c>
    </row>
    <row r="1791" spans="1:26" s="127" customFormat="1" ht="25">
      <c r="A1791" s="636">
        <v>62107</v>
      </c>
      <c r="B1791" s="637" t="s">
        <v>33</v>
      </c>
      <c r="C1791" s="636" t="s">
        <v>2725</v>
      </c>
      <c r="D1791" s="637" t="s">
        <v>2772</v>
      </c>
      <c r="E1791" s="637" t="s">
        <v>2772</v>
      </c>
      <c r="F1791" s="636">
        <v>61649</v>
      </c>
      <c r="G1791" s="637" t="s">
        <v>130</v>
      </c>
      <c r="H1791" s="637" t="s">
        <v>1163</v>
      </c>
      <c r="I1791" s="637" t="s">
        <v>58</v>
      </c>
      <c r="J1791" s="636">
        <v>22</v>
      </c>
      <c r="K1791" s="636">
        <v>2</v>
      </c>
      <c r="L1791" s="637" t="s">
        <v>52</v>
      </c>
      <c r="M1791" s="637" t="s">
        <v>71</v>
      </c>
      <c r="N1791" s="637" t="s">
        <v>72</v>
      </c>
      <c r="O1791" s="637" t="s">
        <v>72</v>
      </c>
      <c r="P1791" s="637" t="s">
        <v>1156</v>
      </c>
      <c r="Q1791" s="638">
        <v>0</v>
      </c>
      <c r="R1791" s="638">
        <v>0</v>
      </c>
      <c r="S1791" s="638">
        <v>24765</v>
      </c>
      <c r="T1791" s="638">
        <v>24765</v>
      </c>
      <c r="U1791" s="638">
        <v>7258</v>
      </c>
      <c r="V1791" s="636">
        <v>2022</v>
      </c>
      <c r="W1791" s="640"/>
      <c r="X1791" s="641">
        <f t="shared" si="81"/>
        <v>3.4120969964177461</v>
      </c>
      <c r="Y1791" s="642" t="str">
        <f t="shared" si="82"/>
        <v/>
      </c>
      <c r="Z1791" s="642" t="str">
        <f t="shared" si="83"/>
        <v/>
      </c>
    </row>
    <row r="1792" spans="1:26" s="127" customFormat="1" ht="25">
      <c r="A1792" s="636">
        <v>62108</v>
      </c>
      <c r="B1792" s="637" t="s">
        <v>33</v>
      </c>
      <c r="C1792" s="636" t="s">
        <v>2725</v>
      </c>
      <c r="D1792" s="637" t="s">
        <v>2773</v>
      </c>
      <c r="E1792" s="637" t="s">
        <v>2773</v>
      </c>
      <c r="F1792" s="636">
        <v>61650</v>
      </c>
      <c r="G1792" s="637" t="s">
        <v>130</v>
      </c>
      <c r="H1792" s="637" t="s">
        <v>1163</v>
      </c>
      <c r="I1792" s="637" t="s">
        <v>58</v>
      </c>
      <c r="J1792" s="636">
        <v>22</v>
      </c>
      <c r="K1792" s="636">
        <v>2</v>
      </c>
      <c r="L1792" s="637" t="s">
        <v>52</v>
      </c>
      <c r="M1792" s="637" t="s">
        <v>71</v>
      </c>
      <c r="N1792" s="637" t="s">
        <v>72</v>
      </c>
      <c r="O1792" s="637" t="s">
        <v>72</v>
      </c>
      <c r="P1792" s="637" t="s">
        <v>1156</v>
      </c>
      <c r="Q1792" s="638">
        <v>0</v>
      </c>
      <c r="R1792" s="638">
        <v>0</v>
      </c>
      <c r="S1792" s="638">
        <v>21673</v>
      </c>
      <c r="T1792" s="638">
        <v>21673</v>
      </c>
      <c r="U1792" s="638">
        <v>6352</v>
      </c>
      <c r="V1792" s="636">
        <v>2022</v>
      </c>
      <c r="W1792" s="640"/>
      <c r="X1792" s="641">
        <f t="shared" si="81"/>
        <v>3.4119962216624686</v>
      </c>
      <c r="Y1792" s="642" t="str">
        <f t="shared" si="82"/>
        <v/>
      </c>
      <c r="Z1792" s="642" t="str">
        <f t="shared" si="83"/>
        <v/>
      </c>
    </row>
    <row r="1793" spans="1:26" s="127" customFormat="1" ht="25">
      <c r="A1793" s="636">
        <v>62109</v>
      </c>
      <c r="B1793" s="637" t="s">
        <v>33</v>
      </c>
      <c r="C1793" s="636" t="s">
        <v>2725</v>
      </c>
      <c r="D1793" s="637" t="s">
        <v>2774</v>
      </c>
      <c r="E1793" s="637" t="s">
        <v>2774</v>
      </c>
      <c r="F1793" s="636">
        <v>61651</v>
      </c>
      <c r="G1793" s="637" t="s">
        <v>130</v>
      </c>
      <c r="H1793" s="637" t="s">
        <v>1163</v>
      </c>
      <c r="I1793" s="637" t="s">
        <v>58</v>
      </c>
      <c r="J1793" s="636">
        <v>22</v>
      </c>
      <c r="K1793" s="636">
        <v>2</v>
      </c>
      <c r="L1793" s="637" t="s">
        <v>52</v>
      </c>
      <c r="M1793" s="637" t="s">
        <v>71</v>
      </c>
      <c r="N1793" s="637" t="s">
        <v>72</v>
      </c>
      <c r="O1793" s="637" t="s">
        <v>72</v>
      </c>
      <c r="P1793" s="637" t="s">
        <v>1156</v>
      </c>
      <c r="Q1793" s="638">
        <v>0</v>
      </c>
      <c r="R1793" s="638">
        <v>0</v>
      </c>
      <c r="S1793" s="638">
        <v>22521</v>
      </c>
      <c r="T1793" s="638">
        <v>22521</v>
      </c>
      <c r="U1793" s="638">
        <v>6600</v>
      </c>
      <c r="V1793" s="636">
        <v>2022</v>
      </c>
      <c r="W1793" s="640"/>
      <c r="X1793" s="641">
        <f t="shared" si="81"/>
        <v>3.4122727272727271</v>
      </c>
      <c r="Y1793" s="642" t="str">
        <f t="shared" si="82"/>
        <v/>
      </c>
      <c r="Z1793" s="642" t="str">
        <f t="shared" si="83"/>
        <v/>
      </c>
    </row>
    <row r="1794" spans="1:26" s="127" customFormat="1" ht="25">
      <c r="A1794" s="636">
        <v>62110</v>
      </c>
      <c r="B1794" s="637" t="s">
        <v>33</v>
      </c>
      <c r="C1794" s="636" t="s">
        <v>2725</v>
      </c>
      <c r="D1794" s="637" t="s">
        <v>2382</v>
      </c>
      <c r="E1794" s="637" t="s">
        <v>2382</v>
      </c>
      <c r="F1794" s="636">
        <v>61652</v>
      </c>
      <c r="G1794" s="637" t="s">
        <v>130</v>
      </c>
      <c r="H1794" s="637" t="s">
        <v>1163</v>
      </c>
      <c r="I1794" s="637" t="s">
        <v>58</v>
      </c>
      <c r="J1794" s="636">
        <v>22</v>
      </c>
      <c r="K1794" s="636">
        <v>2</v>
      </c>
      <c r="L1794" s="637" t="s">
        <v>52</v>
      </c>
      <c r="M1794" s="637" t="s">
        <v>71</v>
      </c>
      <c r="N1794" s="637" t="s">
        <v>72</v>
      </c>
      <c r="O1794" s="637" t="s">
        <v>72</v>
      </c>
      <c r="P1794" s="637" t="s">
        <v>1156</v>
      </c>
      <c r="Q1794" s="638">
        <v>0</v>
      </c>
      <c r="R1794" s="638">
        <v>0</v>
      </c>
      <c r="S1794" s="638">
        <v>26852</v>
      </c>
      <c r="T1794" s="638">
        <v>26852</v>
      </c>
      <c r="U1794" s="638">
        <v>7870</v>
      </c>
      <c r="V1794" s="636">
        <v>2022</v>
      </c>
      <c r="W1794" s="640"/>
      <c r="X1794" s="641">
        <f t="shared" si="81"/>
        <v>3.4119440914866583</v>
      </c>
      <c r="Y1794" s="642" t="str">
        <f t="shared" si="82"/>
        <v/>
      </c>
      <c r="Z1794" s="642" t="str">
        <f t="shared" si="83"/>
        <v/>
      </c>
    </row>
    <row r="1795" spans="1:26" s="127" customFormat="1" ht="25">
      <c r="A1795" s="636">
        <v>62111</v>
      </c>
      <c r="B1795" s="637" t="s">
        <v>33</v>
      </c>
      <c r="C1795" s="636" t="s">
        <v>2725</v>
      </c>
      <c r="D1795" s="637" t="s">
        <v>2383</v>
      </c>
      <c r="E1795" s="637" t="s">
        <v>2383</v>
      </c>
      <c r="F1795" s="636">
        <v>61653</v>
      </c>
      <c r="G1795" s="637" t="s">
        <v>130</v>
      </c>
      <c r="H1795" s="637" t="s">
        <v>1163</v>
      </c>
      <c r="I1795" s="637" t="s">
        <v>58</v>
      </c>
      <c r="J1795" s="636">
        <v>22</v>
      </c>
      <c r="K1795" s="636">
        <v>2</v>
      </c>
      <c r="L1795" s="637" t="s">
        <v>52</v>
      </c>
      <c r="M1795" s="637" t="s">
        <v>71</v>
      </c>
      <c r="N1795" s="637" t="s">
        <v>72</v>
      </c>
      <c r="O1795" s="637" t="s">
        <v>72</v>
      </c>
      <c r="P1795" s="637" t="s">
        <v>1156</v>
      </c>
      <c r="Q1795" s="638">
        <v>0</v>
      </c>
      <c r="R1795" s="638">
        <v>0</v>
      </c>
      <c r="S1795" s="638">
        <v>24923</v>
      </c>
      <c r="T1795" s="638">
        <v>24923</v>
      </c>
      <c r="U1795" s="638">
        <v>7305</v>
      </c>
      <c r="V1795" s="636">
        <v>2022</v>
      </c>
      <c r="W1795" s="640"/>
      <c r="X1795" s="641">
        <f t="shared" si="81"/>
        <v>3.411772758384668</v>
      </c>
      <c r="Y1795" s="642" t="str">
        <f t="shared" si="82"/>
        <v/>
      </c>
      <c r="Z1795" s="642" t="str">
        <f t="shared" si="83"/>
        <v/>
      </c>
    </row>
    <row r="1796" spans="1:26" s="127" customFormat="1" ht="25">
      <c r="A1796" s="636">
        <v>62112</v>
      </c>
      <c r="B1796" s="637" t="s">
        <v>33</v>
      </c>
      <c r="C1796" s="636" t="s">
        <v>2725</v>
      </c>
      <c r="D1796" s="637" t="s">
        <v>2384</v>
      </c>
      <c r="E1796" s="637" t="s">
        <v>2384</v>
      </c>
      <c r="F1796" s="636">
        <v>61654</v>
      </c>
      <c r="G1796" s="637" t="s">
        <v>130</v>
      </c>
      <c r="H1796" s="637" t="s">
        <v>1163</v>
      </c>
      <c r="I1796" s="637" t="s">
        <v>58</v>
      </c>
      <c r="J1796" s="636">
        <v>22</v>
      </c>
      <c r="K1796" s="636">
        <v>2</v>
      </c>
      <c r="L1796" s="637" t="s">
        <v>52</v>
      </c>
      <c r="M1796" s="637" t="s">
        <v>71</v>
      </c>
      <c r="N1796" s="637" t="s">
        <v>72</v>
      </c>
      <c r="O1796" s="637" t="s">
        <v>72</v>
      </c>
      <c r="P1796" s="637" t="s">
        <v>1156</v>
      </c>
      <c r="Q1796" s="638">
        <v>0</v>
      </c>
      <c r="R1796" s="638">
        <v>0</v>
      </c>
      <c r="S1796" s="638">
        <v>26105</v>
      </c>
      <c r="T1796" s="638">
        <v>26105</v>
      </c>
      <c r="U1796" s="638">
        <v>7651</v>
      </c>
      <c r="V1796" s="636">
        <v>2022</v>
      </c>
      <c r="W1796" s="640"/>
      <c r="X1796" s="641">
        <f t="shared" si="81"/>
        <v>3.4119722912037642</v>
      </c>
      <c r="Y1796" s="642" t="str">
        <f t="shared" si="82"/>
        <v/>
      </c>
      <c r="Z1796" s="642" t="str">
        <f t="shared" si="83"/>
        <v/>
      </c>
    </row>
    <row r="1797" spans="1:26" s="127" customFormat="1" ht="25">
      <c r="A1797" s="636">
        <v>62118</v>
      </c>
      <c r="B1797" s="637" t="s">
        <v>33</v>
      </c>
      <c r="C1797" s="636" t="s">
        <v>2725</v>
      </c>
      <c r="D1797" s="637" t="s">
        <v>2775</v>
      </c>
      <c r="E1797" s="637" t="s">
        <v>2776</v>
      </c>
      <c r="F1797" s="636">
        <v>61666</v>
      </c>
      <c r="G1797" s="637" t="s">
        <v>130</v>
      </c>
      <c r="H1797" s="637" t="s">
        <v>1163</v>
      </c>
      <c r="I1797" s="637" t="s">
        <v>58</v>
      </c>
      <c r="J1797" s="636">
        <v>22</v>
      </c>
      <c r="K1797" s="636">
        <v>2</v>
      </c>
      <c r="L1797" s="637" t="s">
        <v>52</v>
      </c>
      <c r="M1797" s="637" t="s">
        <v>441</v>
      </c>
      <c r="N1797" s="637" t="s">
        <v>442</v>
      </c>
      <c r="O1797" s="637" t="s">
        <v>442</v>
      </c>
      <c r="P1797" s="637" t="s">
        <v>1156</v>
      </c>
      <c r="Q1797" s="638">
        <v>0</v>
      </c>
      <c r="R1797" s="638">
        <v>0</v>
      </c>
      <c r="S1797" s="638">
        <v>15479</v>
      </c>
      <c r="T1797" s="638">
        <v>15479</v>
      </c>
      <c r="U1797" s="638">
        <v>4537</v>
      </c>
      <c r="V1797" s="636">
        <v>2022</v>
      </c>
      <c r="W1797" s="640"/>
      <c r="X1797" s="641">
        <f t="shared" si="81"/>
        <v>3.4117258100066121</v>
      </c>
      <c r="Y1797" s="642" t="str">
        <f t="shared" si="82"/>
        <v/>
      </c>
      <c r="Z1797" s="642" t="str">
        <f t="shared" si="83"/>
        <v/>
      </c>
    </row>
    <row r="1798" spans="1:26" s="127" customFormat="1" ht="25">
      <c r="A1798" s="636">
        <v>62135</v>
      </c>
      <c r="B1798" s="637" t="s">
        <v>33</v>
      </c>
      <c r="C1798" s="636" t="s">
        <v>2725</v>
      </c>
      <c r="D1798" s="637" t="s">
        <v>2777</v>
      </c>
      <c r="E1798" s="637" t="s">
        <v>2166</v>
      </c>
      <c r="F1798" s="636">
        <v>61012</v>
      </c>
      <c r="G1798" s="637" t="s">
        <v>81</v>
      </c>
      <c r="H1798" s="637" t="s">
        <v>1163</v>
      </c>
      <c r="I1798" s="637" t="s">
        <v>58</v>
      </c>
      <c r="J1798" s="636">
        <v>22</v>
      </c>
      <c r="K1798" s="636">
        <v>2</v>
      </c>
      <c r="L1798" s="637" t="s">
        <v>52</v>
      </c>
      <c r="M1798" s="637" t="s">
        <v>441</v>
      </c>
      <c r="N1798" s="637" t="s">
        <v>442</v>
      </c>
      <c r="O1798" s="637" t="s">
        <v>442</v>
      </c>
      <c r="P1798" s="637" t="s">
        <v>1156</v>
      </c>
      <c r="Q1798" s="638">
        <v>0</v>
      </c>
      <c r="R1798" s="638">
        <v>0</v>
      </c>
      <c r="S1798" s="638">
        <v>20375</v>
      </c>
      <c r="T1798" s="638">
        <v>20375</v>
      </c>
      <c r="U1798" s="638">
        <v>5971</v>
      </c>
      <c r="V1798" s="636">
        <v>2022</v>
      </c>
      <c r="W1798" s="640"/>
      <c r="X1798" s="641">
        <f t="shared" si="81"/>
        <v>3.4123262435102997</v>
      </c>
      <c r="Y1798" s="642" t="str">
        <f t="shared" si="82"/>
        <v/>
      </c>
      <c r="Z1798" s="642" t="str">
        <f t="shared" si="83"/>
        <v/>
      </c>
    </row>
    <row r="1799" spans="1:26" s="127" customFormat="1" ht="25">
      <c r="A1799" s="636">
        <v>62145</v>
      </c>
      <c r="B1799" s="637" t="s">
        <v>33</v>
      </c>
      <c r="C1799" s="636" t="s">
        <v>2725</v>
      </c>
      <c r="D1799" s="637" t="s">
        <v>2385</v>
      </c>
      <c r="E1799" s="637" t="s">
        <v>2385</v>
      </c>
      <c r="F1799" s="636">
        <v>61681</v>
      </c>
      <c r="G1799" s="637" t="s">
        <v>57</v>
      </c>
      <c r="H1799" s="637" t="s">
        <v>1162</v>
      </c>
      <c r="I1799" s="637" t="s">
        <v>58</v>
      </c>
      <c r="J1799" s="636">
        <v>22</v>
      </c>
      <c r="K1799" s="636">
        <v>2</v>
      </c>
      <c r="L1799" s="637" t="s">
        <v>52</v>
      </c>
      <c r="M1799" s="637" t="s">
        <v>441</v>
      </c>
      <c r="N1799" s="637" t="s">
        <v>442</v>
      </c>
      <c r="O1799" s="637" t="s">
        <v>442</v>
      </c>
      <c r="P1799" s="637" t="s">
        <v>1156</v>
      </c>
      <c r="Q1799" s="638">
        <v>0</v>
      </c>
      <c r="R1799" s="638">
        <v>0</v>
      </c>
      <c r="S1799" s="638">
        <v>11253</v>
      </c>
      <c r="T1799" s="638">
        <v>11253</v>
      </c>
      <c r="U1799" s="638">
        <v>3298</v>
      </c>
      <c r="V1799" s="636">
        <v>2022</v>
      </c>
      <c r="W1799" s="640"/>
      <c r="X1799" s="641">
        <f t="shared" si="81"/>
        <v>3.4120679199514856</v>
      </c>
      <c r="Y1799" s="642" t="str">
        <f t="shared" si="82"/>
        <v/>
      </c>
      <c r="Z1799" s="642" t="str">
        <f t="shared" si="83"/>
        <v/>
      </c>
    </row>
    <row r="1800" spans="1:26" s="127" customFormat="1" ht="25">
      <c r="A1800" s="636">
        <v>62146</v>
      </c>
      <c r="B1800" s="637" t="s">
        <v>33</v>
      </c>
      <c r="C1800" s="636" t="s">
        <v>2725</v>
      </c>
      <c r="D1800" s="637" t="s">
        <v>2386</v>
      </c>
      <c r="E1800" s="637" t="s">
        <v>2387</v>
      </c>
      <c r="F1800" s="636">
        <v>61682</v>
      </c>
      <c r="G1800" s="637" t="s">
        <v>57</v>
      </c>
      <c r="H1800" s="637" t="s">
        <v>1162</v>
      </c>
      <c r="I1800" s="637" t="s">
        <v>58</v>
      </c>
      <c r="J1800" s="636">
        <v>22</v>
      </c>
      <c r="K1800" s="636">
        <v>2</v>
      </c>
      <c r="L1800" s="637" t="s">
        <v>52</v>
      </c>
      <c r="M1800" s="637" t="s">
        <v>441</v>
      </c>
      <c r="N1800" s="637" t="s">
        <v>442</v>
      </c>
      <c r="O1800" s="637" t="s">
        <v>442</v>
      </c>
      <c r="P1800" s="637" t="s">
        <v>1156</v>
      </c>
      <c r="Q1800" s="638">
        <v>0</v>
      </c>
      <c r="R1800" s="638">
        <v>0</v>
      </c>
      <c r="S1800" s="638">
        <v>11632</v>
      </c>
      <c r="T1800" s="638">
        <v>11632</v>
      </c>
      <c r="U1800" s="638">
        <v>3409</v>
      </c>
      <c r="V1800" s="636">
        <v>2022</v>
      </c>
      <c r="W1800" s="640"/>
      <c r="X1800" s="641">
        <f t="shared" ref="X1800:X1863" si="84">IF(OR(K1800&gt;3,T1800=0,NOT(U1800&gt;0)),"",T1800/U1800)</f>
        <v>3.412144323848636</v>
      </c>
      <c r="Y1800" s="642" t="str">
        <f t="shared" ref="Y1800:Y1863" si="85">IF(AND($M1800=$Y$2,$N1800=$Y$3,NOT($Q1800=$R1800),NOT($U1800=0)),IF($K1800=5,$S1800/($U1800+(8/5)*$U1800),IF($K1800=7,$S1800/($U1800+(29/25)*$U1800),"")),"")</f>
        <v/>
      </c>
      <c r="Z1800" s="642" t="str">
        <f t="shared" si="83"/>
        <v/>
      </c>
    </row>
    <row r="1801" spans="1:26" s="127" customFormat="1" ht="25">
      <c r="A1801" s="636">
        <v>62147</v>
      </c>
      <c r="B1801" s="637" t="s">
        <v>33</v>
      </c>
      <c r="C1801" s="636" t="s">
        <v>2725</v>
      </c>
      <c r="D1801" s="637" t="s">
        <v>2778</v>
      </c>
      <c r="E1801" s="637" t="s">
        <v>2779</v>
      </c>
      <c r="F1801" s="636">
        <v>61687</v>
      </c>
      <c r="G1801" s="637" t="s">
        <v>57</v>
      </c>
      <c r="H1801" s="637" t="s">
        <v>1162</v>
      </c>
      <c r="I1801" s="637" t="s">
        <v>58</v>
      </c>
      <c r="J1801" s="636">
        <v>22</v>
      </c>
      <c r="K1801" s="636">
        <v>2</v>
      </c>
      <c r="L1801" s="637" t="s">
        <v>52</v>
      </c>
      <c r="M1801" s="637" t="s">
        <v>1852</v>
      </c>
      <c r="N1801" s="637" t="s">
        <v>1035</v>
      </c>
      <c r="O1801" s="637" t="s">
        <v>82</v>
      </c>
      <c r="P1801" s="637" t="s">
        <v>2726</v>
      </c>
      <c r="Q1801" s="638">
        <v>18416</v>
      </c>
      <c r="R1801" s="638">
        <v>18416</v>
      </c>
      <c r="S1801" s="638">
        <v>0</v>
      </c>
      <c r="T1801" s="638">
        <v>0</v>
      </c>
      <c r="U1801" s="638">
        <v>-2187</v>
      </c>
      <c r="V1801" s="636">
        <v>2022</v>
      </c>
      <c r="W1801" s="640"/>
      <c r="X1801" s="641" t="str">
        <f t="shared" si="84"/>
        <v/>
      </c>
      <c r="Y1801" s="642" t="str">
        <f t="shared" si="85"/>
        <v/>
      </c>
      <c r="Z1801" s="642" t="str">
        <f t="shared" si="83"/>
        <v/>
      </c>
    </row>
    <row r="1802" spans="1:26" s="127" customFormat="1" ht="25">
      <c r="A1802" s="636">
        <v>62154</v>
      </c>
      <c r="B1802" s="637" t="s">
        <v>33</v>
      </c>
      <c r="C1802" s="636" t="s">
        <v>2725</v>
      </c>
      <c r="D1802" s="637" t="s">
        <v>3056</v>
      </c>
      <c r="E1802" s="637" t="s">
        <v>2782</v>
      </c>
      <c r="F1802" s="636">
        <v>61194</v>
      </c>
      <c r="G1802" s="637" t="s">
        <v>57</v>
      </c>
      <c r="H1802" s="637" t="s">
        <v>1162</v>
      </c>
      <c r="I1802" s="637" t="s">
        <v>58</v>
      </c>
      <c r="J1802" s="636">
        <v>22</v>
      </c>
      <c r="K1802" s="636">
        <v>2</v>
      </c>
      <c r="L1802" s="637" t="s">
        <v>52</v>
      </c>
      <c r="M1802" s="637" t="s">
        <v>441</v>
      </c>
      <c r="N1802" s="637" t="s">
        <v>442</v>
      </c>
      <c r="O1802" s="637" t="s">
        <v>442</v>
      </c>
      <c r="P1802" s="637" t="s">
        <v>1156</v>
      </c>
      <c r="Q1802" s="638">
        <v>0</v>
      </c>
      <c r="R1802" s="638">
        <v>0</v>
      </c>
      <c r="S1802" s="638">
        <v>11739</v>
      </c>
      <c r="T1802" s="638">
        <v>11739</v>
      </c>
      <c r="U1802" s="638">
        <v>3440</v>
      </c>
      <c r="V1802" s="636">
        <v>2022</v>
      </c>
      <c r="W1802" s="640"/>
      <c r="X1802" s="641">
        <f t="shared" si="84"/>
        <v>3.4125000000000001</v>
      </c>
      <c r="Y1802" s="642" t="str">
        <f t="shared" si="85"/>
        <v/>
      </c>
      <c r="Z1802" s="642" t="str">
        <f t="shared" si="83"/>
        <v/>
      </c>
    </row>
    <row r="1803" spans="1:26" s="127" customFormat="1" ht="25">
      <c r="A1803" s="636">
        <v>62155</v>
      </c>
      <c r="B1803" s="637" t="s">
        <v>33</v>
      </c>
      <c r="C1803" s="636" t="s">
        <v>2725</v>
      </c>
      <c r="D1803" s="637" t="s">
        <v>2780</v>
      </c>
      <c r="E1803" s="637" t="s">
        <v>2368</v>
      </c>
      <c r="F1803" s="636">
        <v>61610</v>
      </c>
      <c r="G1803" s="637" t="s">
        <v>57</v>
      </c>
      <c r="H1803" s="637" t="s">
        <v>1162</v>
      </c>
      <c r="I1803" s="637" t="s">
        <v>58</v>
      </c>
      <c r="J1803" s="636">
        <v>22</v>
      </c>
      <c r="K1803" s="636">
        <v>2</v>
      </c>
      <c r="L1803" s="637" t="s">
        <v>52</v>
      </c>
      <c r="M1803" s="637" t="s">
        <v>441</v>
      </c>
      <c r="N1803" s="637" t="s">
        <v>442</v>
      </c>
      <c r="O1803" s="637" t="s">
        <v>442</v>
      </c>
      <c r="P1803" s="637" t="s">
        <v>1156</v>
      </c>
      <c r="Q1803" s="638">
        <v>0</v>
      </c>
      <c r="R1803" s="638">
        <v>0</v>
      </c>
      <c r="S1803" s="638">
        <v>7244</v>
      </c>
      <c r="T1803" s="638">
        <v>7244</v>
      </c>
      <c r="U1803" s="638">
        <v>2123</v>
      </c>
      <c r="V1803" s="636">
        <v>2022</v>
      </c>
      <c r="W1803" s="640"/>
      <c r="X1803" s="641">
        <f t="shared" si="84"/>
        <v>3.4121526142251533</v>
      </c>
      <c r="Y1803" s="642" t="str">
        <f t="shared" si="85"/>
        <v/>
      </c>
      <c r="Z1803" s="642" t="str">
        <f t="shared" si="83"/>
        <v/>
      </c>
    </row>
    <row r="1804" spans="1:26" s="127" customFormat="1" ht="25">
      <c r="A1804" s="636">
        <v>62156</v>
      </c>
      <c r="B1804" s="637" t="s">
        <v>33</v>
      </c>
      <c r="C1804" s="636" t="s">
        <v>2725</v>
      </c>
      <c r="D1804" s="637" t="s">
        <v>2781</v>
      </c>
      <c r="E1804" s="637" t="s">
        <v>2782</v>
      </c>
      <c r="F1804" s="636">
        <v>61194</v>
      </c>
      <c r="G1804" s="637" t="s">
        <v>57</v>
      </c>
      <c r="H1804" s="637" t="s">
        <v>1162</v>
      </c>
      <c r="I1804" s="637" t="s">
        <v>58</v>
      </c>
      <c r="J1804" s="636">
        <v>22</v>
      </c>
      <c r="K1804" s="636">
        <v>2</v>
      </c>
      <c r="L1804" s="637" t="s">
        <v>52</v>
      </c>
      <c r="M1804" s="637" t="s">
        <v>441</v>
      </c>
      <c r="N1804" s="637" t="s">
        <v>442</v>
      </c>
      <c r="O1804" s="637" t="s">
        <v>442</v>
      </c>
      <c r="P1804" s="637" t="s">
        <v>1156</v>
      </c>
      <c r="Q1804" s="638">
        <v>0</v>
      </c>
      <c r="R1804" s="638">
        <v>0</v>
      </c>
      <c r="S1804" s="638">
        <v>10909</v>
      </c>
      <c r="T1804" s="638">
        <v>10909</v>
      </c>
      <c r="U1804" s="638">
        <v>3197</v>
      </c>
      <c r="V1804" s="636">
        <v>2022</v>
      </c>
      <c r="W1804" s="640"/>
      <c r="X1804" s="641">
        <f t="shared" si="84"/>
        <v>3.4122614951517045</v>
      </c>
      <c r="Y1804" s="642" t="str">
        <f t="shared" si="85"/>
        <v/>
      </c>
      <c r="Z1804" s="642" t="str">
        <f t="shared" si="83"/>
        <v/>
      </c>
    </row>
    <row r="1805" spans="1:26" s="127" customFormat="1" ht="25">
      <c r="A1805" s="636">
        <v>62157</v>
      </c>
      <c r="B1805" s="637" t="s">
        <v>33</v>
      </c>
      <c r="C1805" s="636" t="s">
        <v>2725</v>
      </c>
      <c r="D1805" s="637" t="s">
        <v>2783</v>
      </c>
      <c r="E1805" s="637" t="s">
        <v>2784</v>
      </c>
      <c r="F1805" s="636">
        <v>62706</v>
      </c>
      <c r="G1805" s="637" t="s">
        <v>57</v>
      </c>
      <c r="H1805" s="637" t="s">
        <v>1162</v>
      </c>
      <c r="I1805" s="637" t="s">
        <v>58</v>
      </c>
      <c r="J1805" s="636">
        <v>22</v>
      </c>
      <c r="K1805" s="636">
        <v>2</v>
      </c>
      <c r="L1805" s="637" t="s">
        <v>52</v>
      </c>
      <c r="M1805" s="637" t="s">
        <v>441</v>
      </c>
      <c r="N1805" s="637" t="s">
        <v>442</v>
      </c>
      <c r="O1805" s="637" t="s">
        <v>442</v>
      </c>
      <c r="P1805" s="637" t="s">
        <v>1156</v>
      </c>
      <c r="Q1805" s="638">
        <v>0</v>
      </c>
      <c r="R1805" s="638">
        <v>0</v>
      </c>
      <c r="S1805" s="638">
        <v>11291</v>
      </c>
      <c r="T1805" s="638">
        <v>11291</v>
      </c>
      <c r="U1805" s="638">
        <v>3309</v>
      </c>
      <c r="V1805" s="636">
        <v>2022</v>
      </c>
      <c r="W1805" s="640"/>
      <c r="X1805" s="641">
        <f t="shared" si="84"/>
        <v>3.4122091266243579</v>
      </c>
      <c r="Y1805" s="642" t="str">
        <f t="shared" si="85"/>
        <v/>
      </c>
      <c r="Z1805" s="642" t="str">
        <f t="shared" si="83"/>
        <v/>
      </c>
    </row>
    <row r="1806" spans="1:26" s="127" customFormat="1" ht="25">
      <c r="A1806" s="636">
        <v>62158</v>
      </c>
      <c r="B1806" s="637" t="s">
        <v>33</v>
      </c>
      <c r="C1806" s="636" t="s">
        <v>2725</v>
      </c>
      <c r="D1806" s="637" t="s">
        <v>3057</v>
      </c>
      <c r="E1806" s="637" t="s">
        <v>2782</v>
      </c>
      <c r="F1806" s="636">
        <v>61194</v>
      </c>
      <c r="G1806" s="637" t="s">
        <v>57</v>
      </c>
      <c r="H1806" s="637" t="s">
        <v>1162</v>
      </c>
      <c r="I1806" s="637" t="s">
        <v>58</v>
      </c>
      <c r="J1806" s="636">
        <v>22</v>
      </c>
      <c r="K1806" s="636">
        <v>2</v>
      </c>
      <c r="L1806" s="637" t="s">
        <v>52</v>
      </c>
      <c r="M1806" s="637" t="s">
        <v>441</v>
      </c>
      <c r="N1806" s="637" t="s">
        <v>442</v>
      </c>
      <c r="O1806" s="637" t="s">
        <v>442</v>
      </c>
      <c r="P1806" s="637" t="s">
        <v>1156</v>
      </c>
      <c r="Q1806" s="638">
        <v>0</v>
      </c>
      <c r="R1806" s="638">
        <v>0</v>
      </c>
      <c r="S1806" s="638">
        <v>11972</v>
      </c>
      <c r="T1806" s="638">
        <v>11972</v>
      </c>
      <c r="U1806" s="638">
        <v>3509</v>
      </c>
      <c r="V1806" s="636">
        <v>2022</v>
      </c>
      <c r="W1806" s="640"/>
      <c r="X1806" s="641">
        <f t="shared" si="84"/>
        <v>3.4117982331148475</v>
      </c>
      <c r="Y1806" s="642" t="str">
        <f t="shared" si="85"/>
        <v/>
      </c>
      <c r="Z1806" s="642" t="str">
        <f t="shared" si="83"/>
        <v/>
      </c>
    </row>
    <row r="1807" spans="1:26" s="127" customFormat="1" ht="25">
      <c r="A1807" s="636">
        <v>62159</v>
      </c>
      <c r="B1807" s="637" t="s">
        <v>33</v>
      </c>
      <c r="C1807" s="636" t="s">
        <v>2725</v>
      </c>
      <c r="D1807" s="637" t="s">
        <v>2785</v>
      </c>
      <c r="E1807" s="637" t="s">
        <v>2368</v>
      </c>
      <c r="F1807" s="636">
        <v>61610</v>
      </c>
      <c r="G1807" s="637" t="s">
        <v>57</v>
      </c>
      <c r="H1807" s="637" t="s">
        <v>1162</v>
      </c>
      <c r="I1807" s="637" t="s">
        <v>58</v>
      </c>
      <c r="J1807" s="636">
        <v>22</v>
      </c>
      <c r="K1807" s="636">
        <v>2</v>
      </c>
      <c r="L1807" s="637" t="s">
        <v>52</v>
      </c>
      <c r="M1807" s="637" t="s">
        <v>441</v>
      </c>
      <c r="N1807" s="637" t="s">
        <v>442</v>
      </c>
      <c r="O1807" s="637" t="s">
        <v>442</v>
      </c>
      <c r="P1807" s="637" t="s">
        <v>1156</v>
      </c>
      <c r="Q1807" s="638">
        <v>0</v>
      </c>
      <c r="R1807" s="638">
        <v>0</v>
      </c>
      <c r="S1807" s="638">
        <v>9301</v>
      </c>
      <c r="T1807" s="638">
        <v>9301</v>
      </c>
      <c r="U1807" s="638">
        <v>2726</v>
      </c>
      <c r="V1807" s="636">
        <v>2022</v>
      </c>
      <c r="W1807" s="640"/>
      <c r="X1807" s="641">
        <f t="shared" si="84"/>
        <v>3.4119589141599413</v>
      </c>
      <c r="Y1807" s="642" t="str">
        <f t="shared" si="85"/>
        <v/>
      </c>
      <c r="Z1807" s="642" t="str">
        <f t="shared" si="83"/>
        <v/>
      </c>
    </row>
    <row r="1808" spans="1:26" s="127" customFormat="1" ht="25">
      <c r="A1808" s="636">
        <v>62160</v>
      </c>
      <c r="B1808" s="637" t="s">
        <v>33</v>
      </c>
      <c r="C1808" s="636" t="s">
        <v>2725</v>
      </c>
      <c r="D1808" s="637" t="s">
        <v>2786</v>
      </c>
      <c r="E1808" s="637" t="s">
        <v>2368</v>
      </c>
      <c r="F1808" s="636">
        <v>61610</v>
      </c>
      <c r="G1808" s="637" t="s">
        <v>57</v>
      </c>
      <c r="H1808" s="637" t="s">
        <v>1162</v>
      </c>
      <c r="I1808" s="637" t="s">
        <v>58</v>
      </c>
      <c r="J1808" s="636">
        <v>22</v>
      </c>
      <c r="K1808" s="636">
        <v>2</v>
      </c>
      <c r="L1808" s="637" t="s">
        <v>52</v>
      </c>
      <c r="M1808" s="637" t="s">
        <v>441</v>
      </c>
      <c r="N1808" s="637" t="s">
        <v>442</v>
      </c>
      <c r="O1808" s="637" t="s">
        <v>442</v>
      </c>
      <c r="P1808" s="637" t="s">
        <v>1156</v>
      </c>
      <c r="Q1808" s="638">
        <v>0</v>
      </c>
      <c r="R1808" s="638">
        <v>0</v>
      </c>
      <c r="S1808" s="638">
        <v>10891</v>
      </c>
      <c r="T1808" s="638">
        <v>10891</v>
      </c>
      <c r="U1808" s="638">
        <v>3192</v>
      </c>
      <c r="V1808" s="636">
        <v>2022</v>
      </c>
      <c r="W1808" s="640"/>
      <c r="X1808" s="641">
        <f t="shared" si="84"/>
        <v>3.4119674185463658</v>
      </c>
      <c r="Y1808" s="642" t="str">
        <f t="shared" si="85"/>
        <v/>
      </c>
      <c r="Z1808" s="642" t="str">
        <f t="shared" ref="Z1808:Z1871" si="86">IF(AND($M1808=$Y$2,$N1808=$Y$4,NOT($Q1808=$R1808),NOT($U1808=0)),IF($K1808=5,$S1808/($U1808+(8/5)*$U1808),IF($K1808=7,$S1808/($U1808+(29/25)*$U1808),"")),"")</f>
        <v/>
      </c>
    </row>
    <row r="1809" spans="1:26" s="127" customFormat="1" ht="37.5" hidden="1">
      <c r="A1809" s="636">
        <v>62174</v>
      </c>
      <c r="B1809" s="637" t="s">
        <v>33</v>
      </c>
      <c r="C1809" s="636" t="s">
        <v>2725</v>
      </c>
      <c r="D1809" s="637" t="s">
        <v>2388</v>
      </c>
      <c r="E1809" s="637" t="s">
        <v>2388</v>
      </c>
      <c r="F1809" s="636">
        <v>61690</v>
      </c>
      <c r="G1809" s="637" t="s">
        <v>57</v>
      </c>
      <c r="H1809" s="637" t="s">
        <v>1162</v>
      </c>
      <c r="I1809" s="637" t="s">
        <v>58</v>
      </c>
      <c r="J1809" s="636">
        <v>622</v>
      </c>
      <c r="K1809" s="636">
        <v>4</v>
      </c>
      <c r="L1809" s="637" t="s">
        <v>406</v>
      </c>
      <c r="M1809" s="637" t="s">
        <v>51</v>
      </c>
      <c r="N1809" s="637" t="s">
        <v>46</v>
      </c>
      <c r="O1809" s="637" t="s">
        <v>46</v>
      </c>
      <c r="P1809" s="637" t="s">
        <v>47</v>
      </c>
      <c r="Q1809" s="638">
        <v>90</v>
      </c>
      <c r="R1809" s="638">
        <v>90</v>
      </c>
      <c r="S1809" s="638">
        <v>497</v>
      </c>
      <c r="T1809" s="638">
        <v>497</v>
      </c>
      <c r="U1809" s="638">
        <v>31</v>
      </c>
      <c r="V1809" s="636">
        <v>2022</v>
      </c>
      <c r="W1809" s="640"/>
      <c r="X1809" s="641" t="str">
        <f t="shared" si="84"/>
        <v/>
      </c>
      <c r="Y1809" s="642" t="str">
        <f t="shared" si="85"/>
        <v/>
      </c>
      <c r="Z1809" s="642" t="str">
        <f t="shared" si="86"/>
        <v/>
      </c>
    </row>
    <row r="1810" spans="1:26" s="127" customFormat="1" ht="25">
      <c r="A1810" s="636">
        <v>62196</v>
      </c>
      <c r="B1810" s="637" t="s">
        <v>33</v>
      </c>
      <c r="C1810" s="636" t="s">
        <v>2725</v>
      </c>
      <c r="D1810" s="637" t="s">
        <v>2787</v>
      </c>
      <c r="E1810" s="637" t="s">
        <v>2389</v>
      </c>
      <c r="F1810" s="636">
        <v>61700</v>
      </c>
      <c r="G1810" s="637" t="s">
        <v>81</v>
      </c>
      <c r="H1810" s="637" t="s">
        <v>1163</v>
      </c>
      <c r="I1810" s="637" t="s">
        <v>58</v>
      </c>
      <c r="J1810" s="636">
        <v>22</v>
      </c>
      <c r="K1810" s="636">
        <v>2</v>
      </c>
      <c r="L1810" s="637" t="s">
        <v>52</v>
      </c>
      <c r="M1810" s="637" t="s">
        <v>441</v>
      </c>
      <c r="N1810" s="637" t="s">
        <v>442</v>
      </c>
      <c r="O1810" s="637" t="s">
        <v>442</v>
      </c>
      <c r="P1810" s="637" t="s">
        <v>1156</v>
      </c>
      <c r="Q1810" s="638">
        <v>0</v>
      </c>
      <c r="R1810" s="638">
        <v>0</v>
      </c>
      <c r="S1810" s="638">
        <v>10504</v>
      </c>
      <c r="T1810" s="638">
        <v>10504</v>
      </c>
      <c r="U1810" s="638">
        <v>3078</v>
      </c>
      <c r="V1810" s="636">
        <v>2022</v>
      </c>
      <c r="W1810" s="640"/>
      <c r="X1810" s="641">
        <f t="shared" si="84"/>
        <v>3.4126055880441846</v>
      </c>
      <c r="Y1810" s="642" t="str">
        <f t="shared" si="85"/>
        <v/>
      </c>
      <c r="Z1810" s="642" t="str">
        <f t="shared" si="86"/>
        <v/>
      </c>
    </row>
    <row r="1811" spans="1:26" s="127" customFormat="1" ht="25">
      <c r="A1811" s="636">
        <v>62197</v>
      </c>
      <c r="B1811" s="637" t="s">
        <v>33</v>
      </c>
      <c r="C1811" s="636" t="s">
        <v>2725</v>
      </c>
      <c r="D1811" s="637" t="s">
        <v>2390</v>
      </c>
      <c r="E1811" s="637" t="s">
        <v>2391</v>
      </c>
      <c r="F1811" s="636">
        <v>61696</v>
      </c>
      <c r="G1811" s="637" t="s">
        <v>81</v>
      </c>
      <c r="H1811" s="637" t="s">
        <v>1163</v>
      </c>
      <c r="I1811" s="637" t="s">
        <v>58</v>
      </c>
      <c r="J1811" s="636">
        <v>22</v>
      </c>
      <c r="K1811" s="636">
        <v>2</v>
      </c>
      <c r="L1811" s="637" t="s">
        <v>52</v>
      </c>
      <c r="M1811" s="637" t="s">
        <v>441</v>
      </c>
      <c r="N1811" s="637" t="s">
        <v>442</v>
      </c>
      <c r="O1811" s="637" t="s">
        <v>442</v>
      </c>
      <c r="P1811" s="637" t="s">
        <v>1156</v>
      </c>
      <c r="Q1811" s="638">
        <v>0</v>
      </c>
      <c r="R1811" s="638">
        <v>0</v>
      </c>
      <c r="S1811" s="638">
        <v>11752</v>
      </c>
      <c r="T1811" s="638">
        <v>11752</v>
      </c>
      <c r="U1811" s="638">
        <v>3444</v>
      </c>
      <c r="V1811" s="636">
        <v>2022</v>
      </c>
      <c r="W1811" s="640"/>
      <c r="X1811" s="641">
        <f t="shared" si="84"/>
        <v>3.4123112659698025</v>
      </c>
      <c r="Y1811" s="642" t="str">
        <f t="shared" si="85"/>
        <v/>
      </c>
      <c r="Z1811" s="642" t="str">
        <f t="shared" si="86"/>
        <v/>
      </c>
    </row>
    <row r="1812" spans="1:26" s="127" customFormat="1" ht="25">
      <c r="A1812" s="636">
        <v>62198</v>
      </c>
      <c r="B1812" s="637" t="s">
        <v>33</v>
      </c>
      <c r="C1812" s="636" t="s">
        <v>2725</v>
      </c>
      <c r="D1812" s="637" t="s">
        <v>2788</v>
      </c>
      <c r="E1812" s="637" t="s">
        <v>2392</v>
      </c>
      <c r="F1812" s="636">
        <v>61693</v>
      </c>
      <c r="G1812" s="637" t="s">
        <v>81</v>
      </c>
      <c r="H1812" s="637" t="s">
        <v>1163</v>
      </c>
      <c r="I1812" s="637" t="s">
        <v>58</v>
      </c>
      <c r="J1812" s="636">
        <v>22</v>
      </c>
      <c r="K1812" s="636">
        <v>2</v>
      </c>
      <c r="L1812" s="637" t="s">
        <v>52</v>
      </c>
      <c r="M1812" s="637" t="s">
        <v>441</v>
      </c>
      <c r="N1812" s="637" t="s">
        <v>442</v>
      </c>
      <c r="O1812" s="637" t="s">
        <v>442</v>
      </c>
      <c r="P1812" s="637" t="s">
        <v>1156</v>
      </c>
      <c r="Q1812" s="638">
        <v>0</v>
      </c>
      <c r="R1812" s="638">
        <v>0</v>
      </c>
      <c r="S1812" s="638">
        <v>11432</v>
      </c>
      <c r="T1812" s="638">
        <v>11432</v>
      </c>
      <c r="U1812" s="638">
        <v>3350</v>
      </c>
      <c r="V1812" s="636">
        <v>2022</v>
      </c>
      <c r="W1812" s="640"/>
      <c r="X1812" s="641">
        <f t="shared" si="84"/>
        <v>3.4125373134328356</v>
      </c>
      <c r="Y1812" s="642" t="str">
        <f t="shared" si="85"/>
        <v/>
      </c>
      <c r="Z1812" s="642" t="str">
        <f t="shared" si="86"/>
        <v/>
      </c>
    </row>
    <row r="1813" spans="1:26" s="127" customFormat="1" ht="25">
      <c r="A1813" s="636">
        <v>62199</v>
      </c>
      <c r="B1813" s="637" t="s">
        <v>33</v>
      </c>
      <c r="C1813" s="636" t="s">
        <v>2725</v>
      </c>
      <c r="D1813" s="637" t="s">
        <v>2789</v>
      </c>
      <c r="E1813" s="637" t="s">
        <v>2393</v>
      </c>
      <c r="F1813" s="636">
        <v>61692</v>
      </c>
      <c r="G1813" s="637" t="s">
        <v>81</v>
      </c>
      <c r="H1813" s="637" t="s">
        <v>1163</v>
      </c>
      <c r="I1813" s="637" t="s">
        <v>58</v>
      </c>
      <c r="J1813" s="636">
        <v>22</v>
      </c>
      <c r="K1813" s="636">
        <v>2</v>
      </c>
      <c r="L1813" s="637" t="s">
        <v>52</v>
      </c>
      <c r="M1813" s="637" t="s">
        <v>441</v>
      </c>
      <c r="N1813" s="637" t="s">
        <v>442</v>
      </c>
      <c r="O1813" s="637" t="s">
        <v>442</v>
      </c>
      <c r="P1813" s="637" t="s">
        <v>1156</v>
      </c>
      <c r="Q1813" s="638">
        <v>0</v>
      </c>
      <c r="R1813" s="638">
        <v>0</v>
      </c>
      <c r="S1813" s="638">
        <v>10667</v>
      </c>
      <c r="T1813" s="638">
        <v>10667</v>
      </c>
      <c r="U1813" s="638">
        <v>3126</v>
      </c>
      <c r="V1813" s="636">
        <v>2022</v>
      </c>
      <c r="W1813" s="640"/>
      <c r="X1813" s="641">
        <f t="shared" si="84"/>
        <v>3.4123480486244402</v>
      </c>
      <c r="Y1813" s="642" t="str">
        <f t="shared" si="85"/>
        <v/>
      </c>
      <c r="Z1813" s="642" t="str">
        <f t="shared" si="86"/>
        <v/>
      </c>
    </row>
    <row r="1814" spans="1:26" s="127" customFormat="1" ht="25">
      <c r="A1814" s="636">
        <v>62201</v>
      </c>
      <c r="B1814" s="637" t="s">
        <v>33</v>
      </c>
      <c r="C1814" s="636" t="s">
        <v>2725</v>
      </c>
      <c r="D1814" s="637" t="s">
        <v>2790</v>
      </c>
      <c r="E1814" s="637" t="s">
        <v>2394</v>
      </c>
      <c r="F1814" s="636">
        <v>61698</v>
      </c>
      <c r="G1814" s="637" t="s">
        <v>81</v>
      </c>
      <c r="H1814" s="637" t="s">
        <v>1163</v>
      </c>
      <c r="I1814" s="637" t="s">
        <v>58</v>
      </c>
      <c r="J1814" s="636">
        <v>22</v>
      </c>
      <c r="K1814" s="636">
        <v>2</v>
      </c>
      <c r="L1814" s="637" t="s">
        <v>52</v>
      </c>
      <c r="M1814" s="637" t="s">
        <v>441</v>
      </c>
      <c r="N1814" s="637" t="s">
        <v>442</v>
      </c>
      <c r="O1814" s="637" t="s">
        <v>442</v>
      </c>
      <c r="P1814" s="637" t="s">
        <v>1156</v>
      </c>
      <c r="Q1814" s="638">
        <v>0</v>
      </c>
      <c r="R1814" s="638">
        <v>0</v>
      </c>
      <c r="S1814" s="638">
        <v>10226</v>
      </c>
      <c r="T1814" s="638">
        <v>10226</v>
      </c>
      <c r="U1814" s="638">
        <v>2997</v>
      </c>
      <c r="V1814" s="636">
        <v>2022</v>
      </c>
      <c r="W1814" s="640"/>
      <c r="X1814" s="641">
        <f t="shared" si="84"/>
        <v>3.4120787454120789</v>
      </c>
      <c r="Y1814" s="642" t="str">
        <f t="shared" si="85"/>
        <v/>
      </c>
      <c r="Z1814" s="642" t="str">
        <f t="shared" si="86"/>
        <v/>
      </c>
    </row>
    <row r="1815" spans="1:26" s="127" customFormat="1" ht="25">
      <c r="A1815" s="636">
        <v>62202</v>
      </c>
      <c r="B1815" s="637" t="s">
        <v>33</v>
      </c>
      <c r="C1815" s="636" t="s">
        <v>2725</v>
      </c>
      <c r="D1815" s="637" t="s">
        <v>2791</v>
      </c>
      <c r="E1815" s="637" t="s">
        <v>2166</v>
      </c>
      <c r="F1815" s="636">
        <v>61012</v>
      </c>
      <c r="G1815" s="637" t="s">
        <v>81</v>
      </c>
      <c r="H1815" s="637" t="s">
        <v>1163</v>
      </c>
      <c r="I1815" s="637" t="s">
        <v>58</v>
      </c>
      <c r="J1815" s="636">
        <v>22</v>
      </c>
      <c r="K1815" s="636">
        <v>2</v>
      </c>
      <c r="L1815" s="637" t="s">
        <v>52</v>
      </c>
      <c r="M1815" s="637" t="s">
        <v>441</v>
      </c>
      <c r="N1815" s="637" t="s">
        <v>442</v>
      </c>
      <c r="O1815" s="637" t="s">
        <v>442</v>
      </c>
      <c r="P1815" s="637" t="s">
        <v>1156</v>
      </c>
      <c r="Q1815" s="638">
        <v>0</v>
      </c>
      <c r="R1815" s="638">
        <v>0</v>
      </c>
      <c r="S1815" s="638">
        <v>21815</v>
      </c>
      <c r="T1815" s="638">
        <v>21815</v>
      </c>
      <c r="U1815" s="638">
        <v>6394</v>
      </c>
      <c r="V1815" s="636">
        <v>2022</v>
      </c>
      <c r="W1815" s="640"/>
      <c r="X1815" s="641">
        <f t="shared" si="84"/>
        <v>3.4117923052862058</v>
      </c>
      <c r="Y1815" s="642" t="str">
        <f t="shared" si="85"/>
        <v/>
      </c>
      <c r="Z1815" s="642" t="str">
        <f t="shared" si="86"/>
        <v/>
      </c>
    </row>
    <row r="1816" spans="1:26" s="127" customFormat="1" ht="25">
      <c r="A1816" s="636">
        <v>62203</v>
      </c>
      <c r="B1816" s="637" t="s">
        <v>33</v>
      </c>
      <c r="C1816" s="636" t="s">
        <v>2725</v>
      </c>
      <c r="D1816" s="637" t="s">
        <v>2395</v>
      </c>
      <c r="E1816" s="637" t="s">
        <v>2395</v>
      </c>
      <c r="F1816" s="636">
        <v>61725</v>
      </c>
      <c r="G1816" s="637" t="s">
        <v>81</v>
      </c>
      <c r="H1816" s="637" t="s">
        <v>1163</v>
      </c>
      <c r="I1816" s="637" t="s">
        <v>58</v>
      </c>
      <c r="J1816" s="636">
        <v>22</v>
      </c>
      <c r="K1816" s="636">
        <v>2</v>
      </c>
      <c r="L1816" s="637" t="s">
        <v>52</v>
      </c>
      <c r="M1816" s="637" t="s">
        <v>441</v>
      </c>
      <c r="N1816" s="637" t="s">
        <v>442</v>
      </c>
      <c r="O1816" s="637" t="s">
        <v>442</v>
      </c>
      <c r="P1816" s="637" t="s">
        <v>1156</v>
      </c>
      <c r="Q1816" s="638">
        <v>0</v>
      </c>
      <c r="R1816" s="638">
        <v>0</v>
      </c>
      <c r="S1816" s="638">
        <v>11618</v>
      </c>
      <c r="T1816" s="638">
        <v>11618</v>
      </c>
      <c r="U1816" s="638">
        <v>3405</v>
      </c>
      <c r="V1816" s="636">
        <v>2022</v>
      </c>
      <c r="W1816" s="640"/>
      <c r="X1816" s="641">
        <f t="shared" si="84"/>
        <v>3.4120411160058737</v>
      </c>
      <c r="Y1816" s="642" t="str">
        <f t="shared" si="85"/>
        <v/>
      </c>
      <c r="Z1816" s="642" t="str">
        <f t="shared" si="86"/>
        <v/>
      </c>
    </row>
    <row r="1817" spans="1:26" s="127" customFormat="1" ht="25">
      <c r="A1817" s="636">
        <v>62219</v>
      </c>
      <c r="B1817" s="637" t="s">
        <v>33</v>
      </c>
      <c r="C1817" s="636" t="s">
        <v>2725</v>
      </c>
      <c r="D1817" s="637" t="s">
        <v>2792</v>
      </c>
      <c r="E1817" s="637" t="s">
        <v>366</v>
      </c>
      <c r="F1817" s="636">
        <v>11806</v>
      </c>
      <c r="G1817" s="637" t="s">
        <v>81</v>
      </c>
      <c r="H1817" s="637" t="s">
        <v>1163</v>
      </c>
      <c r="I1817" s="637" t="s">
        <v>58</v>
      </c>
      <c r="J1817" s="636">
        <v>22</v>
      </c>
      <c r="K1817" s="636">
        <v>1</v>
      </c>
      <c r="L1817" s="637" t="s">
        <v>34</v>
      </c>
      <c r="M1817" s="637" t="s">
        <v>1852</v>
      </c>
      <c r="N1817" s="637" t="s">
        <v>1035</v>
      </c>
      <c r="O1817" s="637" t="s">
        <v>82</v>
      </c>
      <c r="P1817" s="637" t="s">
        <v>2726</v>
      </c>
      <c r="Q1817" s="638">
        <v>299</v>
      </c>
      <c r="R1817" s="638">
        <v>299</v>
      </c>
      <c r="S1817" s="638">
        <v>0</v>
      </c>
      <c r="T1817" s="638">
        <v>0</v>
      </c>
      <c r="U1817" s="638">
        <v>-133</v>
      </c>
      <c r="V1817" s="636">
        <v>2022</v>
      </c>
      <c r="W1817" s="640"/>
      <c r="X1817" s="641" t="str">
        <f t="shared" si="84"/>
        <v/>
      </c>
      <c r="Y1817" s="642" t="str">
        <f t="shared" si="85"/>
        <v/>
      </c>
      <c r="Z1817" s="642" t="str">
        <f t="shared" si="86"/>
        <v/>
      </c>
    </row>
    <row r="1818" spans="1:26" s="127" customFormat="1" ht="25">
      <c r="A1818" s="636">
        <v>62226</v>
      </c>
      <c r="B1818" s="637" t="s">
        <v>33</v>
      </c>
      <c r="C1818" s="636" t="s">
        <v>2725</v>
      </c>
      <c r="D1818" s="637" t="s">
        <v>2793</v>
      </c>
      <c r="E1818" s="637" t="s">
        <v>2396</v>
      </c>
      <c r="F1818" s="636">
        <v>61744</v>
      </c>
      <c r="G1818" s="637" t="s">
        <v>81</v>
      </c>
      <c r="H1818" s="637" t="s">
        <v>1163</v>
      </c>
      <c r="I1818" s="637" t="s">
        <v>58</v>
      </c>
      <c r="J1818" s="636">
        <v>22</v>
      </c>
      <c r="K1818" s="636">
        <v>2</v>
      </c>
      <c r="L1818" s="637" t="s">
        <v>52</v>
      </c>
      <c r="M1818" s="637" t="s">
        <v>441</v>
      </c>
      <c r="N1818" s="637" t="s">
        <v>442</v>
      </c>
      <c r="O1818" s="637" t="s">
        <v>442</v>
      </c>
      <c r="P1818" s="637" t="s">
        <v>1156</v>
      </c>
      <c r="Q1818" s="638">
        <v>0</v>
      </c>
      <c r="R1818" s="638">
        <v>0</v>
      </c>
      <c r="S1818" s="638">
        <v>9336</v>
      </c>
      <c r="T1818" s="638">
        <v>9336</v>
      </c>
      <c r="U1818" s="638">
        <v>2736</v>
      </c>
      <c r="V1818" s="636">
        <v>2022</v>
      </c>
      <c r="W1818" s="640"/>
      <c r="X1818" s="641">
        <f t="shared" si="84"/>
        <v>3.4122807017543861</v>
      </c>
      <c r="Y1818" s="642" t="str">
        <f t="shared" si="85"/>
        <v/>
      </c>
      <c r="Z1818" s="642" t="str">
        <f t="shared" si="86"/>
        <v/>
      </c>
    </row>
    <row r="1819" spans="1:26" s="127" customFormat="1" ht="37.5" hidden="1">
      <c r="A1819" s="636">
        <v>62250</v>
      </c>
      <c r="B1819" s="637" t="s">
        <v>33</v>
      </c>
      <c r="C1819" s="636" t="s">
        <v>2725</v>
      </c>
      <c r="D1819" s="637" t="s">
        <v>2397</v>
      </c>
      <c r="E1819" s="637" t="s">
        <v>2397</v>
      </c>
      <c r="F1819" s="636">
        <v>61774</v>
      </c>
      <c r="G1819" s="637" t="s">
        <v>57</v>
      </c>
      <c r="H1819" s="637" t="s">
        <v>1162</v>
      </c>
      <c r="I1819" s="637" t="s">
        <v>58</v>
      </c>
      <c r="J1819" s="636">
        <v>622</v>
      </c>
      <c r="K1819" s="636">
        <v>4</v>
      </c>
      <c r="L1819" s="637" t="s">
        <v>406</v>
      </c>
      <c r="M1819" s="637" t="s">
        <v>51</v>
      </c>
      <c r="N1819" s="637" t="s">
        <v>46</v>
      </c>
      <c r="O1819" s="637" t="s">
        <v>46</v>
      </c>
      <c r="P1819" s="637" t="s">
        <v>47</v>
      </c>
      <c r="Q1819" s="638">
        <v>139</v>
      </c>
      <c r="R1819" s="638">
        <v>139</v>
      </c>
      <c r="S1819" s="638">
        <v>767</v>
      </c>
      <c r="T1819" s="638">
        <v>767</v>
      </c>
      <c r="U1819" s="638">
        <v>116</v>
      </c>
      <c r="V1819" s="636">
        <v>2022</v>
      </c>
      <c r="W1819" s="640"/>
      <c r="X1819" s="641" t="str">
        <f t="shared" si="84"/>
        <v/>
      </c>
      <c r="Y1819" s="642" t="str">
        <f t="shared" si="85"/>
        <v/>
      </c>
      <c r="Z1819" s="642" t="str">
        <f t="shared" si="86"/>
        <v/>
      </c>
    </row>
    <row r="1820" spans="1:26" s="127" customFormat="1" ht="25">
      <c r="A1820" s="636">
        <v>62257</v>
      </c>
      <c r="B1820" s="637" t="s">
        <v>33</v>
      </c>
      <c r="C1820" s="636" t="s">
        <v>2725</v>
      </c>
      <c r="D1820" s="637" t="s">
        <v>2398</v>
      </c>
      <c r="E1820" s="637" t="s">
        <v>1082</v>
      </c>
      <c r="F1820" s="636">
        <v>2144</v>
      </c>
      <c r="G1820" s="637" t="s">
        <v>81</v>
      </c>
      <c r="H1820" s="637" t="s">
        <v>1163</v>
      </c>
      <c r="I1820" s="637" t="s">
        <v>58</v>
      </c>
      <c r="J1820" s="636">
        <v>22</v>
      </c>
      <c r="K1820" s="636">
        <v>1</v>
      </c>
      <c r="L1820" s="637" t="s">
        <v>34</v>
      </c>
      <c r="M1820" s="637" t="s">
        <v>1852</v>
      </c>
      <c r="N1820" s="637" t="s">
        <v>1035</v>
      </c>
      <c r="O1820" s="637" t="s">
        <v>82</v>
      </c>
      <c r="P1820" s="637" t="s">
        <v>2726</v>
      </c>
      <c r="Q1820" s="638">
        <v>344</v>
      </c>
      <c r="R1820" s="638">
        <v>344</v>
      </c>
      <c r="S1820" s="638">
        <v>0</v>
      </c>
      <c r="T1820" s="638">
        <v>0</v>
      </c>
      <c r="U1820" s="638">
        <v>-102</v>
      </c>
      <c r="V1820" s="636">
        <v>2022</v>
      </c>
      <c r="W1820" s="640"/>
      <c r="X1820" s="641" t="str">
        <f t="shared" si="84"/>
        <v/>
      </c>
      <c r="Y1820" s="642" t="str">
        <f t="shared" si="85"/>
        <v/>
      </c>
      <c r="Z1820" s="642" t="str">
        <f t="shared" si="86"/>
        <v/>
      </c>
    </row>
    <row r="1821" spans="1:26" s="127" customFormat="1" ht="25">
      <c r="A1821" s="636">
        <v>62264</v>
      </c>
      <c r="B1821" s="637" t="s">
        <v>33</v>
      </c>
      <c r="C1821" s="636" t="s">
        <v>2725</v>
      </c>
      <c r="D1821" s="637" t="s">
        <v>2399</v>
      </c>
      <c r="E1821" s="637" t="s">
        <v>2372</v>
      </c>
      <c r="F1821" s="636">
        <v>54913</v>
      </c>
      <c r="G1821" s="637" t="s">
        <v>81</v>
      </c>
      <c r="H1821" s="637" t="s">
        <v>1163</v>
      </c>
      <c r="I1821" s="637" t="s">
        <v>58</v>
      </c>
      <c r="J1821" s="636">
        <v>22</v>
      </c>
      <c r="K1821" s="636">
        <v>1</v>
      </c>
      <c r="L1821" s="637" t="s">
        <v>34</v>
      </c>
      <c r="M1821" s="637" t="s">
        <v>441</v>
      </c>
      <c r="N1821" s="637" t="s">
        <v>442</v>
      </c>
      <c r="O1821" s="637" t="s">
        <v>442</v>
      </c>
      <c r="P1821" s="637" t="s">
        <v>1156</v>
      </c>
      <c r="Q1821" s="638">
        <v>0</v>
      </c>
      <c r="R1821" s="638">
        <v>0</v>
      </c>
      <c r="S1821" s="638">
        <v>5729</v>
      </c>
      <c r="T1821" s="638">
        <v>5729</v>
      </c>
      <c r="U1821" s="638">
        <v>1679</v>
      </c>
      <c r="V1821" s="636">
        <v>2022</v>
      </c>
      <c r="W1821" s="640"/>
      <c r="X1821" s="641">
        <f t="shared" si="84"/>
        <v>3.4121500893388923</v>
      </c>
      <c r="Y1821" s="642" t="str">
        <f t="shared" si="85"/>
        <v/>
      </c>
      <c r="Z1821" s="642" t="str">
        <f t="shared" si="86"/>
        <v/>
      </c>
    </row>
    <row r="1822" spans="1:26" s="127" customFormat="1" ht="25">
      <c r="A1822" s="636">
        <v>62265</v>
      </c>
      <c r="B1822" s="637" t="s">
        <v>33</v>
      </c>
      <c r="C1822" s="636" t="s">
        <v>2725</v>
      </c>
      <c r="D1822" s="637" t="s">
        <v>2400</v>
      </c>
      <c r="E1822" s="637" t="s">
        <v>2372</v>
      </c>
      <c r="F1822" s="636">
        <v>54913</v>
      </c>
      <c r="G1822" s="637" t="s">
        <v>81</v>
      </c>
      <c r="H1822" s="637" t="s">
        <v>1163</v>
      </c>
      <c r="I1822" s="637" t="s">
        <v>58</v>
      </c>
      <c r="J1822" s="636">
        <v>22</v>
      </c>
      <c r="K1822" s="636">
        <v>1</v>
      </c>
      <c r="L1822" s="637" t="s">
        <v>34</v>
      </c>
      <c r="M1822" s="637" t="s">
        <v>441</v>
      </c>
      <c r="N1822" s="637" t="s">
        <v>442</v>
      </c>
      <c r="O1822" s="637" t="s">
        <v>442</v>
      </c>
      <c r="P1822" s="637" t="s">
        <v>1156</v>
      </c>
      <c r="Q1822" s="638">
        <v>0</v>
      </c>
      <c r="R1822" s="638">
        <v>0</v>
      </c>
      <c r="S1822" s="638">
        <v>8519</v>
      </c>
      <c r="T1822" s="638">
        <v>8519</v>
      </c>
      <c r="U1822" s="638">
        <v>2497</v>
      </c>
      <c r="V1822" s="636">
        <v>2022</v>
      </c>
      <c r="W1822" s="640"/>
      <c r="X1822" s="641">
        <f t="shared" si="84"/>
        <v>3.4116940328394074</v>
      </c>
      <c r="Y1822" s="642" t="str">
        <f t="shared" si="85"/>
        <v/>
      </c>
      <c r="Z1822" s="642" t="str">
        <f t="shared" si="86"/>
        <v/>
      </c>
    </row>
    <row r="1823" spans="1:26" s="127" customFormat="1" ht="25">
      <c r="A1823" s="636">
        <v>62266</v>
      </c>
      <c r="B1823" s="637" t="s">
        <v>33</v>
      </c>
      <c r="C1823" s="636" t="s">
        <v>2725</v>
      </c>
      <c r="D1823" s="637" t="s">
        <v>2401</v>
      </c>
      <c r="E1823" s="637" t="s">
        <v>2372</v>
      </c>
      <c r="F1823" s="636">
        <v>54913</v>
      </c>
      <c r="G1823" s="637" t="s">
        <v>81</v>
      </c>
      <c r="H1823" s="637" t="s">
        <v>1163</v>
      </c>
      <c r="I1823" s="637" t="s">
        <v>58</v>
      </c>
      <c r="J1823" s="636">
        <v>22</v>
      </c>
      <c r="K1823" s="636">
        <v>1</v>
      </c>
      <c r="L1823" s="637" t="s">
        <v>34</v>
      </c>
      <c r="M1823" s="637" t="s">
        <v>441</v>
      </c>
      <c r="N1823" s="637" t="s">
        <v>442</v>
      </c>
      <c r="O1823" s="637" t="s">
        <v>442</v>
      </c>
      <c r="P1823" s="637" t="s">
        <v>1156</v>
      </c>
      <c r="Q1823" s="638">
        <v>0</v>
      </c>
      <c r="R1823" s="638">
        <v>0</v>
      </c>
      <c r="S1823" s="638">
        <v>5633</v>
      </c>
      <c r="T1823" s="638">
        <v>5633</v>
      </c>
      <c r="U1823" s="638">
        <v>1651</v>
      </c>
      <c r="V1823" s="636">
        <v>2022</v>
      </c>
      <c r="W1823" s="640"/>
      <c r="X1823" s="641">
        <f t="shared" si="84"/>
        <v>3.4118715929739554</v>
      </c>
      <c r="Y1823" s="642" t="str">
        <f t="shared" si="85"/>
        <v/>
      </c>
      <c r="Z1823" s="642" t="str">
        <f t="shared" si="86"/>
        <v/>
      </c>
    </row>
    <row r="1824" spans="1:26" s="127" customFormat="1" ht="37.5" hidden="1">
      <c r="A1824" s="636">
        <v>62270</v>
      </c>
      <c r="B1824" s="637" t="s">
        <v>33</v>
      </c>
      <c r="C1824" s="636" t="s">
        <v>2725</v>
      </c>
      <c r="D1824" s="637" t="s">
        <v>2402</v>
      </c>
      <c r="E1824" s="637" t="s">
        <v>2402</v>
      </c>
      <c r="F1824" s="636">
        <v>61802</v>
      </c>
      <c r="G1824" s="637" t="s">
        <v>57</v>
      </c>
      <c r="H1824" s="637" t="s">
        <v>1162</v>
      </c>
      <c r="I1824" s="637" t="s">
        <v>58</v>
      </c>
      <c r="J1824" s="636">
        <v>622</v>
      </c>
      <c r="K1824" s="636">
        <v>4</v>
      </c>
      <c r="L1824" s="637" t="s">
        <v>406</v>
      </c>
      <c r="M1824" s="637" t="s">
        <v>51</v>
      </c>
      <c r="N1824" s="637" t="s">
        <v>46</v>
      </c>
      <c r="O1824" s="637" t="s">
        <v>46</v>
      </c>
      <c r="P1824" s="637" t="s">
        <v>47</v>
      </c>
      <c r="Q1824" s="638">
        <v>65</v>
      </c>
      <c r="R1824" s="638">
        <v>65</v>
      </c>
      <c r="S1824" s="638">
        <v>359</v>
      </c>
      <c r="T1824" s="638">
        <v>359</v>
      </c>
      <c r="U1824" s="638">
        <v>37</v>
      </c>
      <c r="V1824" s="636">
        <v>2022</v>
      </c>
      <c r="W1824" s="640"/>
      <c r="X1824" s="641" t="str">
        <f t="shared" si="84"/>
        <v/>
      </c>
      <c r="Y1824" s="642" t="str">
        <f t="shared" si="85"/>
        <v/>
      </c>
      <c r="Z1824" s="642" t="str">
        <f t="shared" si="86"/>
        <v/>
      </c>
    </row>
    <row r="1825" spans="1:26" s="127" customFormat="1" ht="37.5" hidden="1">
      <c r="A1825" s="636">
        <v>62271</v>
      </c>
      <c r="B1825" s="637" t="s">
        <v>33</v>
      </c>
      <c r="C1825" s="636" t="s">
        <v>2725</v>
      </c>
      <c r="D1825" s="637" t="s">
        <v>2403</v>
      </c>
      <c r="E1825" s="637" t="s">
        <v>2403</v>
      </c>
      <c r="F1825" s="636">
        <v>61800</v>
      </c>
      <c r="G1825" s="637" t="s">
        <v>57</v>
      </c>
      <c r="H1825" s="637" t="s">
        <v>1162</v>
      </c>
      <c r="I1825" s="637" t="s">
        <v>58</v>
      </c>
      <c r="J1825" s="636">
        <v>622</v>
      </c>
      <c r="K1825" s="636">
        <v>4</v>
      </c>
      <c r="L1825" s="637" t="s">
        <v>406</v>
      </c>
      <c r="M1825" s="637" t="s">
        <v>51</v>
      </c>
      <c r="N1825" s="637" t="s">
        <v>46</v>
      </c>
      <c r="O1825" s="637" t="s">
        <v>46</v>
      </c>
      <c r="P1825" s="637" t="s">
        <v>47</v>
      </c>
      <c r="Q1825" s="638">
        <v>76</v>
      </c>
      <c r="R1825" s="638">
        <v>76</v>
      </c>
      <c r="S1825" s="638">
        <v>420</v>
      </c>
      <c r="T1825" s="638">
        <v>420</v>
      </c>
      <c r="U1825" s="638">
        <v>52</v>
      </c>
      <c r="V1825" s="636">
        <v>2022</v>
      </c>
      <c r="W1825" s="640"/>
      <c r="X1825" s="641" t="str">
        <f t="shared" si="84"/>
        <v/>
      </c>
      <c r="Y1825" s="642" t="str">
        <f t="shared" si="85"/>
        <v/>
      </c>
      <c r="Z1825" s="642" t="str">
        <f t="shared" si="86"/>
        <v/>
      </c>
    </row>
    <row r="1826" spans="1:26" s="127" customFormat="1" ht="25">
      <c r="A1826" s="636">
        <v>62301</v>
      </c>
      <c r="B1826" s="637" t="s">
        <v>33</v>
      </c>
      <c r="C1826" s="636" t="s">
        <v>2725</v>
      </c>
      <c r="D1826" s="637" t="s">
        <v>2404</v>
      </c>
      <c r="E1826" s="637" t="s">
        <v>2166</v>
      </c>
      <c r="F1826" s="636">
        <v>61012</v>
      </c>
      <c r="G1826" s="637" t="s">
        <v>130</v>
      </c>
      <c r="H1826" s="637" t="s">
        <v>1163</v>
      </c>
      <c r="I1826" s="637" t="s">
        <v>58</v>
      </c>
      <c r="J1826" s="636">
        <v>22</v>
      </c>
      <c r="K1826" s="636">
        <v>2</v>
      </c>
      <c r="L1826" s="637" t="s">
        <v>52</v>
      </c>
      <c r="M1826" s="637" t="s">
        <v>441</v>
      </c>
      <c r="N1826" s="637" t="s">
        <v>442</v>
      </c>
      <c r="O1826" s="637" t="s">
        <v>442</v>
      </c>
      <c r="P1826" s="637" t="s">
        <v>1156</v>
      </c>
      <c r="Q1826" s="638">
        <v>0</v>
      </c>
      <c r="R1826" s="638">
        <v>0</v>
      </c>
      <c r="S1826" s="638">
        <v>21390</v>
      </c>
      <c r="T1826" s="638">
        <v>21390</v>
      </c>
      <c r="U1826" s="638">
        <v>6269</v>
      </c>
      <c r="V1826" s="636">
        <v>2022</v>
      </c>
      <c r="W1826" s="640"/>
      <c r="X1826" s="641">
        <f t="shared" si="84"/>
        <v>3.4120274365927581</v>
      </c>
      <c r="Y1826" s="642" t="str">
        <f t="shared" si="85"/>
        <v/>
      </c>
      <c r="Z1826" s="642" t="str">
        <f t="shared" si="86"/>
        <v/>
      </c>
    </row>
    <row r="1827" spans="1:26" s="127" customFormat="1" ht="25">
      <c r="A1827" s="636">
        <v>62302</v>
      </c>
      <c r="B1827" s="637" t="s">
        <v>33</v>
      </c>
      <c r="C1827" s="636" t="s">
        <v>2725</v>
      </c>
      <c r="D1827" s="637" t="s">
        <v>2405</v>
      </c>
      <c r="E1827" s="637" t="s">
        <v>2166</v>
      </c>
      <c r="F1827" s="636">
        <v>61012</v>
      </c>
      <c r="G1827" s="637" t="s">
        <v>130</v>
      </c>
      <c r="H1827" s="637" t="s">
        <v>1163</v>
      </c>
      <c r="I1827" s="637" t="s">
        <v>58</v>
      </c>
      <c r="J1827" s="636">
        <v>22</v>
      </c>
      <c r="K1827" s="636">
        <v>2</v>
      </c>
      <c r="L1827" s="637" t="s">
        <v>52</v>
      </c>
      <c r="M1827" s="637" t="s">
        <v>441</v>
      </c>
      <c r="N1827" s="637" t="s">
        <v>442</v>
      </c>
      <c r="O1827" s="637" t="s">
        <v>442</v>
      </c>
      <c r="P1827" s="637" t="s">
        <v>1156</v>
      </c>
      <c r="Q1827" s="638">
        <v>0</v>
      </c>
      <c r="R1827" s="638">
        <v>0</v>
      </c>
      <c r="S1827" s="638">
        <v>22791</v>
      </c>
      <c r="T1827" s="638">
        <v>22791</v>
      </c>
      <c r="U1827" s="638">
        <v>6680</v>
      </c>
      <c r="V1827" s="636">
        <v>2022</v>
      </c>
      <c r="W1827" s="640"/>
      <c r="X1827" s="641">
        <f t="shared" si="84"/>
        <v>3.4118263473053894</v>
      </c>
      <c r="Y1827" s="642" t="str">
        <f t="shared" si="85"/>
        <v/>
      </c>
      <c r="Z1827" s="642" t="str">
        <f t="shared" si="86"/>
        <v/>
      </c>
    </row>
    <row r="1828" spans="1:26" s="127" customFormat="1" ht="25">
      <c r="A1828" s="636">
        <v>62303</v>
      </c>
      <c r="B1828" s="637" t="s">
        <v>33</v>
      </c>
      <c r="C1828" s="636" t="s">
        <v>2725</v>
      </c>
      <c r="D1828" s="637" t="s">
        <v>2406</v>
      </c>
      <c r="E1828" s="637" t="s">
        <v>2166</v>
      </c>
      <c r="F1828" s="636">
        <v>61012</v>
      </c>
      <c r="G1828" s="637" t="s">
        <v>57</v>
      </c>
      <c r="H1828" s="637" t="s">
        <v>1162</v>
      </c>
      <c r="I1828" s="637" t="s">
        <v>58</v>
      </c>
      <c r="J1828" s="636">
        <v>22</v>
      </c>
      <c r="K1828" s="636">
        <v>2</v>
      </c>
      <c r="L1828" s="637" t="s">
        <v>52</v>
      </c>
      <c r="M1828" s="637" t="s">
        <v>441</v>
      </c>
      <c r="N1828" s="637" t="s">
        <v>442</v>
      </c>
      <c r="O1828" s="637" t="s">
        <v>442</v>
      </c>
      <c r="P1828" s="637" t="s">
        <v>1156</v>
      </c>
      <c r="Q1828" s="638">
        <v>0</v>
      </c>
      <c r="R1828" s="638">
        <v>0</v>
      </c>
      <c r="S1828" s="638">
        <v>12344</v>
      </c>
      <c r="T1828" s="638">
        <v>12344</v>
      </c>
      <c r="U1828" s="638">
        <v>3618</v>
      </c>
      <c r="V1828" s="636">
        <v>2022</v>
      </c>
      <c r="W1828" s="640"/>
      <c r="X1828" s="641">
        <f t="shared" si="84"/>
        <v>3.4118297401879492</v>
      </c>
      <c r="Y1828" s="642" t="str">
        <f t="shared" si="85"/>
        <v/>
      </c>
      <c r="Z1828" s="642" t="str">
        <f t="shared" si="86"/>
        <v/>
      </c>
    </row>
    <row r="1829" spans="1:26" s="127" customFormat="1" ht="25">
      <c r="A1829" s="636">
        <v>62318</v>
      </c>
      <c r="B1829" s="637" t="s">
        <v>33</v>
      </c>
      <c r="C1829" s="636" t="s">
        <v>2725</v>
      </c>
      <c r="D1829" s="637" t="s">
        <v>3636</v>
      </c>
      <c r="E1829" s="637" t="s">
        <v>3297</v>
      </c>
      <c r="F1829" s="636">
        <v>60496</v>
      </c>
      <c r="G1829" s="637" t="s">
        <v>41</v>
      </c>
      <c r="H1829" s="637" t="s">
        <v>1163</v>
      </c>
      <c r="I1829" s="637" t="s">
        <v>58</v>
      </c>
      <c r="J1829" s="636">
        <v>22</v>
      </c>
      <c r="K1829" s="636">
        <v>2</v>
      </c>
      <c r="L1829" s="637" t="s">
        <v>52</v>
      </c>
      <c r="M1829" s="637" t="s">
        <v>441</v>
      </c>
      <c r="N1829" s="637" t="s">
        <v>442</v>
      </c>
      <c r="O1829" s="637" t="s">
        <v>442</v>
      </c>
      <c r="P1829" s="637" t="s">
        <v>1156</v>
      </c>
      <c r="Q1829" s="638">
        <v>0</v>
      </c>
      <c r="R1829" s="638">
        <v>0</v>
      </c>
      <c r="S1829" s="638">
        <v>17712</v>
      </c>
      <c r="T1829" s="638">
        <v>17712</v>
      </c>
      <c r="U1829" s="638">
        <v>5191</v>
      </c>
      <c r="V1829" s="636">
        <v>2022</v>
      </c>
      <c r="W1829" s="640"/>
      <c r="X1829" s="641">
        <f t="shared" si="84"/>
        <v>3.4120593334617606</v>
      </c>
      <c r="Y1829" s="642" t="str">
        <f t="shared" si="85"/>
        <v/>
      </c>
      <c r="Z1829" s="642" t="str">
        <f t="shared" si="86"/>
        <v/>
      </c>
    </row>
    <row r="1830" spans="1:26" s="127" customFormat="1" ht="25">
      <c r="A1830" s="636">
        <v>62322</v>
      </c>
      <c r="B1830" s="637" t="s">
        <v>33</v>
      </c>
      <c r="C1830" s="636" t="s">
        <v>2725</v>
      </c>
      <c r="D1830" s="637" t="s">
        <v>2407</v>
      </c>
      <c r="E1830" s="637" t="s">
        <v>2407</v>
      </c>
      <c r="F1830" s="636">
        <v>61822</v>
      </c>
      <c r="G1830" s="637" t="s">
        <v>57</v>
      </c>
      <c r="H1830" s="637" t="s">
        <v>1162</v>
      </c>
      <c r="I1830" s="637" t="s">
        <v>58</v>
      </c>
      <c r="J1830" s="636">
        <v>22</v>
      </c>
      <c r="K1830" s="636">
        <v>2</v>
      </c>
      <c r="L1830" s="637" t="s">
        <v>52</v>
      </c>
      <c r="M1830" s="637" t="s">
        <v>35</v>
      </c>
      <c r="N1830" s="637" t="s">
        <v>36</v>
      </c>
      <c r="O1830" s="637" t="s">
        <v>37</v>
      </c>
      <c r="P1830" s="637" t="s">
        <v>1156</v>
      </c>
      <c r="Q1830" s="638">
        <v>0</v>
      </c>
      <c r="R1830" s="638">
        <v>0</v>
      </c>
      <c r="S1830" s="638">
        <v>68659</v>
      </c>
      <c r="T1830" s="638">
        <v>68659</v>
      </c>
      <c r="U1830" s="638">
        <v>20123</v>
      </c>
      <c r="V1830" s="636">
        <v>2022</v>
      </c>
      <c r="W1830" s="640"/>
      <c r="X1830" s="641">
        <f t="shared" si="84"/>
        <v>3.4119664065994137</v>
      </c>
      <c r="Y1830" s="642" t="str">
        <f t="shared" si="85"/>
        <v/>
      </c>
      <c r="Z1830" s="642" t="str">
        <f t="shared" si="86"/>
        <v/>
      </c>
    </row>
    <row r="1831" spans="1:26" s="127" customFormat="1" ht="25">
      <c r="A1831" s="636">
        <v>62324</v>
      </c>
      <c r="B1831" s="637" t="s">
        <v>33</v>
      </c>
      <c r="C1831" s="636" t="s">
        <v>2725</v>
      </c>
      <c r="D1831" s="637" t="s">
        <v>2408</v>
      </c>
      <c r="E1831" s="637" t="s">
        <v>2166</v>
      </c>
      <c r="F1831" s="636">
        <v>61012</v>
      </c>
      <c r="G1831" s="637" t="s">
        <v>81</v>
      </c>
      <c r="H1831" s="637" t="s">
        <v>1163</v>
      </c>
      <c r="I1831" s="637" t="s">
        <v>58</v>
      </c>
      <c r="J1831" s="636">
        <v>22</v>
      </c>
      <c r="K1831" s="636">
        <v>2</v>
      </c>
      <c r="L1831" s="637" t="s">
        <v>52</v>
      </c>
      <c r="M1831" s="637" t="s">
        <v>441</v>
      </c>
      <c r="N1831" s="637" t="s">
        <v>442</v>
      </c>
      <c r="O1831" s="637" t="s">
        <v>442</v>
      </c>
      <c r="P1831" s="637" t="s">
        <v>1156</v>
      </c>
      <c r="Q1831" s="638">
        <v>0</v>
      </c>
      <c r="R1831" s="638">
        <v>0</v>
      </c>
      <c r="S1831" s="638">
        <v>10338</v>
      </c>
      <c r="T1831" s="638">
        <v>10338</v>
      </c>
      <c r="U1831" s="638">
        <v>3030</v>
      </c>
      <c r="V1831" s="636">
        <v>2022</v>
      </c>
      <c r="W1831" s="640"/>
      <c r="X1831" s="641">
        <f t="shared" si="84"/>
        <v>3.4118811881188118</v>
      </c>
      <c r="Y1831" s="642" t="str">
        <f t="shared" si="85"/>
        <v/>
      </c>
      <c r="Z1831" s="642" t="str">
        <f t="shared" si="86"/>
        <v/>
      </c>
    </row>
    <row r="1832" spans="1:26" s="127" customFormat="1" ht="25">
      <c r="A1832" s="636">
        <v>62357</v>
      </c>
      <c r="B1832" s="637" t="s">
        <v>33</v>
      </c>
      <c r="C1832" s="636" t="s">
        <v>2725</v>
      </c>
      <c r="D1832" s="637" t="s">
        <v>3298</v>
      </c>
      <c r="E1832" s="637" t="s">
        <v>3299</v>
      </c>
      <c r="F1832" s="636">
        <v>61888</v>
      </c>
      <c r="G1832" s="637" t="s">
        <v>57</v>
      </c>
      <c r="H1832" s="637" t="s">
        <v>1162</v>
      </c>
      <c r="I1832" s="637" t="s">
        <v>58</v>
      </c>
      <c r="J1832" s="636">
        <v>22</v>
      </c>
      <c r="K1832" s="636">
        <v>2</v>
      </c>
      <c r="L1832" s="637" t="s">
        <v>52</v>
      </c>
      <c r="M1832" s="637" t="s">
        <v>441</v>
      </c>
      <c r="N1832" s="637" t="s">
        <v>442</v>
      </c>
      <c r="O1832" s="637" t="s">
        <v>442</v>
      </c>
      <c r="P1832" s="637" t="s">
        <v>1156</v>
      </c>
      <c r="Q1832" s="638">
        <v>0</v>
      </c>
      <c r="R1832" s="638">
        <v>0</v>
      </c>
      <c r="S1832" s="638">
        <v>26818</v>
      </c>
      <c r="T1832" s="638">
        <v>26818</v>
      </c>
      <c r="U1832" s="638">
        <v>7860</v>
      </c>
      <c r="V1832" s="636">
        <v>2022</v>
      </c>
      <c r="W1832" s="640"/>
      <c r="X1832" s="641">
        <f t="shared" si="84"/>
        <v>3.4119592875318068</v>
      </c>
      <c r="Y1832" s="642" t="str">
        <f t="shared" si="85"/>
        <v/>
      </c>
      <c r="Z1832" s="642" t="str">
        <f t="shared" si="86"/>
        <v/>
      </c>
    </row>
    <row r="1833" spans="1:26" s="127" customFormat="1" ht="25">
      <c r="A1833" s="636">
        <v>62363</v>
      </c>
      <c r="B1833" s="637" t="s">
        <v>33</v>
      </c>
      <c r="C1833" s="636" t="s">
        <v>2725</v>
      </c>
      <c r="D1833" s="637" t="s">
        <v>2409</v>
      </c>
      <c r="E1833" s="637" t="s">
        <v>2166</v>
      </c>
      <c r="F1833" s="636">
        <v>61012</v>
      </c>
      <c r="G1833" s="637" t="s">
        <v>81</v>
      </c>
      <c r="H1833" s="637" t="s">
        <v>1163</v>
      </c>
      <c r="I1833" s="637" t="s">
        <v>58</v>
      </c>
      <c r="J1833" s="636">
        <v>22</v>
      </c>
      <c r="K1833" s="636">
        <v>2</v>
      </c>
      <c r="L1833" s="637" t="s">
        <v>52</v>
      </c>
      <c r="M1833" s="637" t="s">
        <v>441</v>
      </c>
      <c r="N1833" s="637" t="s">
        <v>442</v>
      </c>
      <c r="O1833" s="637" t="s">
        <v>442</v>
      </c>
      <c r="P1833" s="637" t="s">
        <v>1156</v>
      </c>
      <c r="Q1833" s="638">
        <v>0</v>
      </c>
      <c r="R1833" s="638">
        <v>0</v>
      </c>
      <c r="S1833" s="638">
        <v>5732</v>
      </c>
      <c r="T1833" s="638">
        <v>5732</v>
      </c>
      <c r="U1833" s="638">
        <v>1680</v>
      </c>
      <c r="V1833" s="636">
        <v>2022</v>
      </c>
      <c r="W1833" s="640"/>
      <c r="X1833" s="641">
        <f t="shared" si="84"/>
        <v>3.4119047619047618</v>
      </c>
      <c r="Y1833" s="642" t="str">
        <f t="shared" si="85"/>
        <v/>
      </c>
      <c r="Z1833" s="642" t="str">
        <f t="shared" si="86"/>
        <v/>
      </c>
    </row>
    <row r="1834" spans="1:26" s="127" customFormat="1" ht="37.5" hidden="1">
      <c r="A1834" s="636">
        <v>62366</v>
      </c>
      <c r="B1834" s="637" t="s">
        <v>33</v>
      </c>
      <c r="C1834" s="636" t="s">
        <v>2725</v>
      </c>
      <c r="D1834" s="637" t="s">
        <v>2410</v>
      </c>
      <c r="E1834" s="637" t="s">
        <v>2410</v>
      </c>
      <c r="F1834" s="636">
        <v>61892</v>
      </c>
      <c r="G1834" s="637" t="s">
        <v>57</v>
      </c>
      <c r="H1834" s="637" t="s">
        <v>1162</v>
      </c>
      <c r="I1834" s="637" t="s">
        <v>58</v>
      </c>
      <c r="J1834" s="636">
        <v>622</v>
      </c>
      <c r="K1834" s="636">
        <v>4</v>
      </c>
      <c r="L1834" s="637" t="s">
        <v>406</v>
      </c>
      <c r="M1834" s="637" t="s">
        <v>51</v>
      </c>
      <c r="N1834" s="637" t="s">
        <v>46</v>
      </c>
      <c r="O1834" s="637" t="s">
        <v>46</v>
      </c>
      <c r="P1834" s="637" t="s">
        <v>47</v>
      </c>
      <c r="Q1834" s="638">
        <v>46</v>
      </c>
      <c r="R1834" s="638">
        <v>46</v>
      </c>
      <c r="S1834" s="638">
        <v>254</v>
      </c>
      <c r="T1834" s="638">
        <v>254</v>
      </c>
      <c r="U1834" s="638">
        <v>19</v>
      </c>
      <c r="V1834" s="636">
        <v>2022</v>
      </c>
      <c r="W1834" s="640"/>
      <c r="X1834" s="641" t="str">
        <f t="shared" si="84"/>
        <v/>
      </c>
      <c r="Y1834" s="642" t="str">
        <f t="shared" si="85"/>
        <v/>
      </c>
      <c r="Z1834" s="642" t="str">
        <f t="shared" si="86"/>
        <v/>
      </c>
    </row>
    <row r="1835" spans="1:26" s="127" customFormat="1" ht="25">
      <c r="A1835" s="636">
        <v>62368</v>
      </c>
      <c r="B1835" s="637" t="s">
        <v>33</v>
      </c>
      <c r="C1835" s="636" t="s">
        <v>2725</v>
      </c>
      <c r="D1835" s="637" t="s">
        <v>2411</v>
      </c>
      <c r="E1835" s="637" t="s">
        <v>2412</v>
      </c>
      <c r="F1835" s="636">
        <v>61894</v>
      </c>
      <c r="G1835" s="637" t="s">
        <v>81</v>
      </c>
      <c r="H1835" s="637" t="s">
        <v>1163</v>
      </c>
      <c r="I1835" s="637" t="s">
        <v>58</v>
      </c>
      <c r="J1835" s="636">
        <v>22</v>
      </c>
      <c r="K1835" s="636">
        <v>2</v>
      </c>
      <c r="L1835" s="637" t="s">
        <v>52</v>
      </c>
      <c r="M1835" s="637" t="s">
        <v>441</v>
      </c>
      <c r="N1835" s="637" t="s">
        <v>442</v>
      </c>
      <c r="O1835" s="637" t="s">
        <v>442</v>
      </c>
      <c r="P1835" s="637" t="s">
        <v>1156</v>
      </c>
      <c r="Q1835" s="638">
        <v>0</v>
      </c>
      <c r="R1835" s="638">
        <v>0</v>
      </c>
      <c r="S1835" s="638">
        <v>27220</v>
      </c>
      <c r="T1835" s="638">
        <v>27220</v>
      </c>
      <c r="U1835" s="638">
        <v>7978</v>
      </c>
      <c r="V1835" s="636">
        <v>2022</v>
      </c>
      <c r="W1835" s="640"/>
      <c r="X1835" s="641">
        <f t="shared" si="84"/>
        <v>3.4118826773627475</v>
      </c>
      <c r="Y1835" s="642" t="str">
        <f t="shared" si="85"/>
        <v/>
      </c>
      <c r="Z1835" s="642" t="str">
        <f t="shared" si="86"/>
        <v/>
      </c>
    </row>
    <row r="1836" spans="1:26" s="127" customFormat="1" ht="25">
      <c r="A1836" s="636">
        <v>62369</v>
      </c>
      <c r="B1836" s="637" t="s">
        <v>33</v>
      </c>
      <c r="C1836" s="636" t="s">
        <v>2725</v>
      </c>
      <c r="D1836" s="637" t="s">
        <v>2413</v>
      </c>
      <c r="E1836" s="637" t="s">
        <v>2414</v>
      </c>
      <c r="F1836" s="636">
        <v>61895</v>
      </c>
      <c r="G1836" s="637" t="s">
        <v>81</v>
      </c>
      <c r="H1836" s="637" t="s">
        <v>1163</v>
      </c>
      <c r="I1836" s="637" t="s">
        <v>58</v>
      </c>
      <c r="J1836" s="636">
        <v>22</v>
      </c>
      <c r="K1836" s="636">
        <v>2</v>
      </c>
      <c r="L1836" s="637" t="s">
        <v>52</v>
      </c>
      <c r="M1836" s="637" t="s">
        <v>441</v>
      </c>
      <c r="N1836" s="637" t="s">
        <v>442</v>
      </c>
      <c r="O1836" s="637" t="s">
        <v>442</v>
      </c>
      <c r="P1836" s="637" t="s">
        <v>1156</v>
      </c>
      <c r="Q1836" s="638">
        <v>0</v>
      </c>
      <c r="R1836" s="638">
        <v>0</v>
      </c>
      <c r="S1836" s="638">
        <v>21994</v>
      </c>
      <c r="T1836" s="638">
        <v>21994</v>
      </c>
      <c r="U1836" s="638">
        <v>6446</v>
      </c>
      <c r="V1836" s="636">
        <v>2022</v>
      </c>
      <c r="W1836" s="640"/>
      <c r="X1836" s="641">
        <f t="shared" si="84"/>
        <v>3.4120384734719207</v>
      </c>
      <c r="Y1836" s="642" t="str">
        <f t="shared" si="85"/>
        <v/>
      </c>
      <c r="Z1836" s="642" t="str">
        <f t="shared" si="86"/>
        <v/>
      </c>
    </row>
    <row r="1837" spans="1:26" s="127" customFormat="1" ht="25">
      <c r="A1837" s="636">
        <v>62370</v>
      </c>
      <c r="B1837" s="637" t="s">
        <v>33</v>
      </c>
      <c r="C1837" s="636" t="s">
        <v>2725</v>
      </c>
      <c r="D1837" s="637" t="s">
        <v>2415</v>
      </c>
      <c r="E1837" s="637" t="s">
        <v>2416</v>
      </c>
      <c r="F1837" s="636">
        <v>61896</v>
      </c>
      <c r="G1837" s="637" t="s">
        <v>81</v>
      </c>
      <c r="H1837" s="637" t="s">
        <v>1163</v>
      </c>
      <c r="I1837" s="637" t="s">
        <v>58</v>
      </c>
      <c r="J1837" s="636">
        <v>22</v>
      </c>
      <c r="K1837" s="636">
        <v>2</v>
      </c>
      <c r="L1837" s="637" t="s">
        <v>52</v>
      </c>
      <c r="M1837" s="637" t="s">
        <v>441</v>
      </c>
      <c r="N1837" s="637" t="s">
        <v>442</v>
      </c>
      <c r="O1837" s="637" t="s">
        <v>442</v>
      </c>
      <c r="P1837" s="637" t="s">
        <v>1156</v>
      </c>
      <c r="Q1837" s="638">
        <v>0</v>
      </c>
      <c r="R1837" s="638">
        <v>0</v>
      </c>
      <c r="S1837" s="638">
        <v>6489</v>
      </c>
      <c r="T1837" s="638">
        <v>6489</v>
      </c>
      <c r="U1837" s="638">
        <v>1902</v>
      </c>
      <c r="V1837" s="636">
        <v>2022</v>
      </c>
      <c r="W1837" s="640"/>
      <c r="X1837" s="641">
        <f t="shared" si="84"/>
        <v>3.4116719242902209</v>
      </c>
      <c r="Y1837" s="642" t="str">
        <f t="shared" si="85"/>
        <v/>
      </c>
      <c r="Z1837" s="642" t="str">
        <f t="shared" si="86"/>
        <v/>
      </c>
    </row>
    <row r="1838" spans="1:26" s="127" customFormat="1" ht="25">
      <c r="A1838" s="636">
        <v>62371</v>
      </c>
      <c r="B1838" s="637" t="s">
        <v>33</v>
      </c>
      <c r="C1838" s="636" t="s">
        <v>2725</v>
      </c>
      <c r="D1838" s="637" t="s">
        <v>2417</v>
      </c>
      <c r="E1838" s="637" t="s">
        <v>2418</v>
      </c>
      <c r="F1838" s="636">
        <v>61897</v>
      </c>
      <c r="G1838" s="637" t="s">
        <v>81</v>
      </c>
      <c r="H1838" s="637" t="s">
        <v>1163</v>
      </c>
      <c r="I1838" s="637" t="s">
        <v>58</v>
      </c>
      <c r="J1838" s="636">
        <v>22</v>
      </c>
      <c r="K1838" s="636">
        <v>2</v>
      </c>
      <c r="L1838" s="637" t="s">
        <v>52</v>
      </c>
      <c r="M1838" s="637" t="s">
        <v>441</v>
      </c>
      <c r="N1838" s="637" t="s">
        <v>442</v>
      </c>
      <c r="O1838" s="637" t="s">
        <v>442</v>
      </c>
      <c r="P1838" s="637" t="s">
        <v>1156</v>
      </c>
      <c r="Q1838" s="638">
        <v>0</v>
      </c>
      <c r="R1838" s="638">
        <v>0</v>
      </c>
      <c r="S1838" s="638">
        <v>7376</v>
      </c>
      <c r="T1838" s="638">
        <v>7376</v>
      </c>
      <c r="U1838" s="638">
        <v>2162</v>
      </c>
      <c r="V1838" s="636">
        <v>2022</v>
      </c>
      <c r="W1838" s="640"/>
      <c r="X1838" s="641">
        <f t="shared" si="84"/>
        <v>3.4116558741905645</v>
      </c>
      <c r="Y1838" s="642" t="str">
        <f t="shared" si="85"/>
        <v/>
      </c>
      <c r="Z1838" s="642" t="str">
        <f t="shared" si="86"/>
        <v/>
      </c>
    </row>
    <row r="1839" spans="1:26" s="127" customFormat="1" ht="25">
      <c r="A1839" s="636">
        <v>62372</v>
      </c>
      <c r="B1839" s="637" t="s">
        <v>33</v>
      </c>
      <c r="C1839" s="636" t="s">
        <v>2725</v>
      </c>
      <c r="D1839" s="637" t="s">
        <v>2419</v>
      </c>
      <c r="E1839" s="637" t="s">
        <v>2420</v>
      </c>
      <c r="F1839" s="636">
        <v>61898</v>
      </c>
      <c r="G1839" s="637" t="s">
        <v>81</v>
      </c>
      <c r="H1839" s="637" t="s">
        <v>1163</v>
      </c>
      <c r="I1839" s="637" t="s">
        <v>58</v>
      </c>
      <c r="J1839" s="636">
        <v>22</v>
      </c>
      <c r="K1839" s="636">
        <v>2</v>
      </c>
      <c r="L1839" s="637" t="s">
        <v>52</v>
      </c>
      <c r="M1839" s="637" t="s">
        <v>441</v>
      </c>
      <c r="N1839" s="637" t="s">
        <v>442</v>
      </c>
      <c r="O1839" s="637" t="s">
        <v>442</v>
      </c>
      <c r="P1839" s="637" t="s">
        <v>1156</v>
      </c>
      <c r="Q1839" s="638">
        <v>0</v>
      </c>
      <c r="R1839" s="638">
        <v>0</v>
      </c>
      <c r="S1839" s="638">
        <v>7897</v>
      </c>
      <c r="T1839" s="638">
        <v>7897</v>
      </c>
      <c r="U1839" s="638">
        <v>2314</v>
      </c>
      <c r="V1839" s="636">
        <v>2022</v>
      </c>
      <c r="W1839" s="640"/>
      <c r="X1839" s="641">
        <f t="shared" si="84"/>
        <v>3.4127052722558342</v>
      </c>
      <c r="Y1839" s="642" t="str">
        <f t="shared" si="85"/>
        <v/>
      </c>
      <c r="Z1839" s="642" t="str">
        <f t="shared" si="86"/>
        <v/>
      </c>
    </row>
    <row r="1840" spans="1:26" s="127" customFormat="1" ht="25">
      <c r="A1840" s="636">
        <v>62381</v>
      </c>
      <c r="B1840" s="637" t="s">
        <v>33</v>
      </c>
      <c r="C1840" s="636" t="s">
        <v>2725</v>
      </c>
      <c r="D1840" s="637" t="s">
        <v>2794</v>
      </c>
      <c r="E1840" s="637" t="s">
        <v>131</v>
      </c>
      <c r="F1840" s="636">
        <v>7601</v>
      </c>
      <c r="G1840" s="637" t="s">
        <v>89</v>
      </c>
      <c r="H1840" s="637" t="s">
        <v>1163</v>
      </c>
      <c r="I1840" s="637" t="s">
        <v>58</v>
      </c>
      <c r="J1840" s="636">
        <v>22</v>
      </c>
      <c r="K1840" s="636">
        <v>1</v>
      </c>
      <c r="L1840" s="637" t="s">
        <v>34</v>
      </c>
      <c r="M1840" s="637" t="s">
        <v>1852</v>
      </c>
      <c r="N1840" s="637" t="s">
        <v>1035</v>
      </c>
      <c r="O1840" s="637" t="s">
        <v>82</v>
      </c>
      <c r="P1840" s="637" t="s">
        <v>2726</v>
      </c>
      <c r="Q1840" s="638">
        <v>103</v>
      </c>
      <c r="R1840" s="638">
        <v>103</v>
      </c>
      <c r="S1840" s="638">
        <v>0</v>
      </c>
      <c r="T1840" s="638">
        <v>0</v>
      </c>
      <c r="U1840" s="638">
        <v>1016</v>
      </c>
      <c r="V1840" s="636">
        <v>2022</v>
      </c>
      <c r="W1840" s="640"/>
      <c r="X1840" s="641" t="str">
        <f t="shared" si="84"/>
        <v/>
      </c>
      <c r="Y1840" s="642" t="str">
        <f t="shared" si="85"/>
        <v/>
      </c>
      <c r="Z1840" s="642" t="str">
        <f t="shared" si="86"/>
        <v/>
      </c>
    </row>
    <row r="1841" spans="1:26" s="127" customFormat="1" ht="25">
      <c r="A1841" s="636">
        <v>62381</v>
      </c>
      <c r="B1841" s="637" t="s">
        <v>33</v>
      </c>
      <c r="C1841" s="636" t="s">
        <v>2725</v>
      </c>
      <c r="D1841" s="637" t="s">
        <v>2794</v>
      </c>
      <c r="E1841" s="637" t="s">
        <v>131</v>
      </c>
      <c r="F1841" s="636">
        <v>7601</v>
      </c>
      <c r="G1841" s="637" t="s">
        <v>89</v>
      </c>
      <c r="H1841" s="637" t="s">
        <v>1163</v>
      </c>
      <c r="I1841" s="637" t="s">
        <v>58</v>
      </c>
      <c r="J1841" s="636">
        <v>22</v>
      </c>
      <c r="K1841" s="636">
        <v>1</v>
      </c>
      <c r="L1841" s="637" t="s">
        <v>34</v>
      </c>
      <c r="M1841" s="637" t="s">
        <v>441</v>
      </c>
      <c r="N1841" s="637" t="s">
        <v>442</v>
      </c>
      <c r="O1841" s="637" t="s">
        <v>442</v>
      </c>
      <c r="P1841" s="637" t="s">
        <v>1156</v>
      </c>
      <c r="Q1841" s="638">
        <v>0</v>
      </c>
      <c r="R1841" s="638">
        <v>0</v>
      </c>
      <c r="S1841" s="638">
        <v>26994</v>
      </c>
      <c r="T1841" s="638">
        <v>26994</v>
      </c>
      <c r="U1841" s="638">
        <v>7911</v>
      </c>
      <c r="V1841" s="636">
        <v>2022</v>
      </c>
      <c r="W1841" s="640"/>
      <c r="X1841" s="641">
        <f t="shared" si="84"/>
        <v>3.4122108456579445</v>
      </c>
      <c r="Y1841" s="642" t="str">
        <f t="shared" si="85"/>
        <v/>
      </c>
      <c r="Z1841" s="642" t="str">
        <f t="shared" si="86"/>
        <v/>
      </c>
    </row>
    <row r="1842" spans="1:26" s="127" customFormat="1" ht="25">
      <c r="A1842" s="636">
        <v>62382</v>
      </c>
      <c r="B1842" s="637" t="s">
        <v>33</v>
      </c>
      <c r="C1842" s="636" t="s">
        <v>2725</v>
      </c>
      <c r="D1842" s="637" t="s">
        <v>2795</v>
      </c>
      <c r="E1842" s="637" t="s">
        <v>131</v>
      </c>
      <c r="F1842" s="636">
        <v>7601</v>
      </c>
      <c r="G1842" s="637" t="s">
        <v>89</v>
      </c>
      <c r="H1842" s="637" t="s">
        <v>1163</v>
      </c>
      <c r="I1842" s="637" t="s">
        <v>58</v>
      </c>
      <c r="J1842" s="636">
        <v>22</v>
      </c>
      <c r="K1842" s="636">
        <v>1</v>
      </c>
      <c r="L1842" s="637" t="s">
        <v>34</v>
      </c>
      <c r="M1842" s="637" t="s">
        <v>1852</v>
      </c>
      <c r="N1842" s="637" t="s">
        <v>1035</v>
      </c>
      <c r="O1842" s="637" t="s">
        <v>82</v>
      </c>
      <c r="P1842" s="637" t="s">
        <v>2726</v>
      </c>
      <c r="Q1842" s="638">
        <v>66</v>
      </c>
      <c r="R1842" s="638">
        <v>66</v>
      </c>
      <c r="S1842" s="638">
        <v>0</v>
      </c>
      <c r="T1842" s="638">
        <v>0</v>
      </c>
      <c r="U1842" s="638">
        <v>1003</v>
      </c>
      <c r="V1842" s="636">
        <v>2022</v>
      </c>
      <c r="W1842" s="640"/>
      <c r="X1842" s="641" t="str">
        <f t="shared" si="84"/>
        <v/>
      </c>
      <c r="Y1842" s="642" t="str">
        <f t="shared" si="85"/>
        <v/>
      </c>
      <c r="Z1842" s="642" t="str">
        <f t="shared" si="86"/>
        <v/>
      </c>
    </row>
    <row r="1843" spans="1:26" s="127" customFormat="1" ht="25">
      <c r="A1843" s="636">
        <v>62382</v>
      </c>
      <c r="B1843" s="637" t="s">
        <v>33</v>
      </c>
      <c r="C1843" s="636" t="s">
        <v>2725</v>
      </c>
      <c r="D1843" s="637" t="s">
        <v>2795</v>
      </c>
      <c r="E1843" s="637" t="s">
        <v>131</v>
      </c>
      <c r="F1843" s="636">
        <v>7601</v>
      </c>
      <c r="G1843" s="637" t="s">
        <v>89</v>
      </c>
      <c r="H1843" s="637" t="s">
        <v>1163</v>
      </c>
      <c r="I1843" s="637" t="s">
        <v>58</v>
      </c>
      <c r="J1843" s="636">
        <v>22</v>
      </c>
      <c r="K1843" s="636">
        <v>1</v>
      </c>
      <c r="L1843" s="637" t="s">
        <v>34</v>
      </c>
      <c r="M1843" s="637" t="s">
        <v>441</v>
      </c>
      <c r="N1843" s="637" t="s">
        <v>442</v>
      </c>
      <c r="O1843" s="637" t="s">
        <v>442</v>
      </c>
      <c r="P1843" s="637" t="s">
        <v>1156</v>
      </c>
      <c r="Q1843" s="638">
        <v>0</v>
      </c>
      <c r="R1843" s="638">
        <v>0</v>
      </c>
      <c r="S1843" s="638">
        <v>30400</v>
      </c>
      <c r="T1843" s="638">
        <v>30400</v>
      </c>
      <c r="U1843" s="638">
        <v>8910</v>
      </c>
      <c r="V1843" s="636">
        <v>2022</v>
      </c>
      <c r="W1843" s="640"/>
      <c r="X1843" s="641">
        <f t="shared" si="84"/>
        <v>3.4118967452300786</v>
      </c>
      <c r="Y1843" s="642" t="str">
        <f t="shared" si="85"/>
        <v/>
      </c>
      <c r="Z1843" s="642" t="str">
        <f t="shared" si="86"/>
        <v/>
      </c>
    </row>
    <row r="1844" spans="1:26" s="127" customFormat="1" ht="25">
      <c r="A1844" s="636">
        <v>62383</v>
      </c>
      <c r="B1844" s="637" t="s">
        <v>33</v>
      </c>
      <c r="C1844" s="636" t="s">
        <v>2725</v>
      </c>
      <c r="D1844" s="637" t="s">
        <v>2796</v>
      </c>
      <c r="E1844" s="637" t="s">
        <v>131</v>
      </c>
      <c r="F1844" s="636">
        <v>7601</v>
      </c>
      <c r="G1844" s="637" t="s">
        <v>89</v>
      </c>
      <c r="H1844" s="637" t="s">
        <v>1163</v>
      </c>
      <c r="I1844" s="637" t="s">
        <v>58</v>
      </c>
      <c r="J1844" s="636">
        <v>22</v>
      </c>
      <c r="K1844" s="636">
        <v>1</v>
      </c>
      <c r="L1844" s="637" t="s">
        <v>34</v>
      </c>
      <c r="M1844" s="637" t="s">
        <v>1852</v>
      </c>
      <c r="N1844" s="637" t="s">
        <v>1035</v>
      </c>
      <c r="O1844" s="637" t="s">
        <v>82</v>
      </c>
      <c r="P1844" s="637" t="s">
        <v>2726</v>
      </c>
      <c r="Q1844" s="638">
        <v>229</v>
      </c>
      <c r="R1844" s="638">
        <v>229</v>
      </c>
      <c r="S1844" s="638">
        <v>0</v>
      </c>
      <c r="T1844" s="638">
        <v>0</v>
      </c>
      <c r="U1844" s="638">
        <v>746</v>
      </c>
      <c r="V1844" s="636">
        <v>2022</v>
      </c>
      <c r="W1844" s="640"/>
      <c r="X1844" s="641" t="str">
        <f t="shared" si="84"/>
        <v/>
      </c>
      <c r="Y1844" s="642" t="str">
        <f t="shared" si="85"/>
        <v/>
      </c>
      <c r="Z1844" s="642" t="str">
        <f t="shared" si="86"/>
        <v/>
      </c>
    </row>
    <row r="1845" spans="1:26" s="127" customFormat="1" ht="25">
      <c r="A1845" s="636">
        <v>62383</v>
      </c>
      <c r="B1845" s="637" t="s">
        <v>33</v>
      </c>
      <c r="C1845" s="636" t="s">
        <v>2725</v>
      </c>
      <c r="D1845" s="637" t="s">
        <v>2796</v>
      </c>
      <c r="E1845" s="637" t="s">
        <v>131</v>
      </c>
      <c r="F1845" s="636">
        <v>7601</v>
      </c>
      <c r="G1845" s="637" t="s">
        <v>89</v>
      </c>
      <c r="H1845" s="637" t="s">
        <v>1163</v>
      </c>
      <c r="I1845" s="637" t="s">
        <v>58</v>
      </c>
      <c r="J1845" s="636">
        <v>22</v>
      </c>
      <c r="K1845" s="636">
        <v>1</v>
      </c>
      <c r="L1845" s="637" t="s">
        <v>34</v>
      </c>
      <c r="M1845" s="637" t="s">
        <v>441</v>
      </c>
      <c r="N1845" s="637" t="s">
        <v>442</v>
      </c>
      <c r="O1845" s="637" t="s">
        <v>442</v>
      </c>
      <c r="P1845" s="637" t="s">
        <v>1156</v>
      </c>
      <c r="Q1845" s="638">
        <v>0</v>
      </c>
      <c r="R1845" s="638">
        <v>0</v>
      </c>
      <c r="S1845" s="638">
        <v>25088</v>
      </c>
      <c r="T1845" s="638">
        <v>25088</v>
      </c>
      <c r="U1845" s="638">
        <v>7353</v>
      </c>
      <c r="V1845" s="636">
        <v>2022</v>
      </c>
      <c r="W1845" s="640"/>
      <c r="X1845" s="641">
        <f t="shared" si="84"/>
        <v>3.4119407044743641</v>
      </c>
      <c r="Y1845" s="642" t="str">
        <f t="shared" si="85"/>
        <v/>
      </c>
      <c r="Z1845" s="642" t="str">
        <f t="shared" si="86"/>
        <v/>
      </c>
    </row>
    <row r="1846" spans="1:26" s="127" customFormat="1" ht="25">
      <c r="A1846" s="636">
        <v>62389</v>
      </c>
      <c r="B1846" s="637" t="s">
        <v>33</v>
      </c>
      <c r="C1846" s="636" t="s">
        <v>2725</v>
      </c>
      <c r="D1846" s="637" t="s">
        <v>2797</v>
      </c>
      <c r="E1846" s="637" t="s">
        <v>2798</v>
      </c>
      <c r="F1846" s="636">
        <v>61916</v>
      </c>
      <c r="G1846" s="637" t="s">
        <v>57</v>
      </c>
      <c r="H1846" s="637" t="s">
        <v>1162</v>
      </c>
      <c r="I1846" s="637" t="s">
        <v>58</v>
      </c>
      <c r="J1846" s="636">
        <v>22</v>
      </c>
      <c r="K1846" s="636">
        <v>2</v>
      </c>
      <c r="L1846" s="637" t="s">
        <v>52</v>
      </c>
      <c r="M1846" s="637" t="s">
        <v>441</v>
      </c>
      <c r="N1846" s="637" t="s">
        <v>442</v>
      </c>
      <c r="O1846" s="637" t="s">
        <v>442</v>
      </c>
      <c r="P1846" s="637" t="s">
        <v>1156</v>
      </c>
      <c r="Q1846" s="638">
        <v>0</v>
      </c>
      <c r="R1846" s="638">
        <v>0</v>
      </c>
      <c r="S1846" s="638">
        <v>90721</v>
      </c>
      <c r="T1846" s="638">
        <v>90721</v>
      </c>
      <c r="U1846" s="638">
        <v>26589</v>
      </c>
      <c r="V1846" s="636">
        <v>2022</v>
      </c>
      <c r="W1846" s="640"/>
      <c r="X1846" s="641">
        <f t="shared" si="84"/>
        <v>3.4119748768287637</v>
      </c>
      <c r="Y1846" s="642" t="str">
        <f t="shared" si="85"/>
        <v/>
      </c>
      <c r="Z1846" s="642" t="str">
        <f t="shared" si="86"/>
        <v/>
      </c>
    </row>
    <row r="1847" spans="1:26" s="127" customFormat="1" ht="37.5" hidden="1">
      <c r="A1847" s="636">
        <v>62398</v>
      </c>
      <c r="B1847" s="637" t="s">
        <v>33</v>
      </c>
      <c r="C1847" s="636" t="s">
        <v>2725</v>
      </c>
      <c r="D1847" s="637" t="s">
        <v>2421</v>
      </c>
      <c r="E1847" s="637" t="s">
        <v>2421</v>
      </c>
      <c r="F1847" s="636">
        <v>61936</v>
      </c>
      <c r="G1847" s="637" t="s">
        <v>57</v>
      </c>
      <c r="H1847" s="637" t="s">
        <v>1162</v>
      </c>
      <c r="I1847" s="637" t="s">
        <v>58</v>
      </c>
      <c r="J1847" s="636">
        <v>622</v>
      </c>
      <c r="K1847" s="636">
        <v>4</v>
      </c>
      <c r="L1847" s="637" t="s">
        <v>406</v>
      </c>
      <c r="M1847" s="637" t="s">
        <v>51</v>
      </c>
      <c r="N1847" s="637" t="s">
        <v>46</v>
      </c>
      <c r="O1847" s="637" t="s">
        <v>46</v>
      </c>
      <c r="P1847" s="637" t="s">
        <v>47</v>
      </c>
      <c r="Q1847" s="638">
        <v>85</v>
      </c>
      <c r="R1847" s="638">
        <v>85</v>
      </c>
      <c r="S1847" s="638">
        <v>470</v>
      </c>
      <c r="T1847" s="638">
        <v>470</v>
      </c>
      <c r="U1847" s="638">
        <v>23</v>
      </c>
      <c r="V1847" s="636">
        <v>2022</v>
      </c>
      <c r="W1847" s="640"/>
      <c r="X1847" s="641" t="str">
        <f t="shared" si="84"/>
        <v/>
      </c>
      <c r="Y1847" s="642" t="str">
        <f t="shared" si="85"/>
        <v/>
      </c>
      <c r="Z1847" s="642" t="str">
        <f t="shared" si="86"/>
        <v/>
      </c>
    </row>
    <row r="1848" spans="1:26" s="127" customFormat="1" ht="25">
      <c r="A1848" s="636">
        <v>62412</v>
      </c>
      <c r="B1848" s="637" t="s">
        <v>33</v>
      </c>
      <c r="C1848" s="636" t="s">
        <v>2725</v>
      </c>
      <c r="D1848" s="637" t="s">
        <v>2799</v>
      </c>
      <c r="E1848" s="637" t="s">
        <v>2800</v>
      </c>
      <c r="F1848" s="636">
        <v>61925</v>
      </c>
      <c r="G1848" s="637" t="s">
        <v>57</v>
      </c>
      <c r="H1848" s="637" t="s">
        <v>1162</v>
      </c>
      <c r="I1848" s="637" t="s">
        <v>58</v>
      </c>
      <c r="J1848" s="636">
        <v>22</v>
      </c>
      <c r="K1848" s="636">
        <v>2</v>
      </c>
      <c r="L1848" s="637" t="s">
        <v>52</v>
      </c>
      <c r="M1848" s="637" t="s">
        <v>441</v>
      </c>
      <c r="N1848" s="637" t="s">
        <v>442</v>
      </c>
      <c r="O1848" s="637" t="s">
        <v>442</v>
      </c>
      <c r="P1848" s="637" t="s">
        <v>1156</v>
      </c>
      <c r="Q1848" s="638">
        <v>0</v>
      </c>
      <c r="R1848" s="638">
        <v>0</v>
      </c>
      <c r="S1848" s="638">
        <v>21189</v>
      </c>
      <c r="T1848" s="638">
        <v>21189</v>
      </c>
      <c r="U1848" s="638">
        <v>6210</v>
      </c>
      <c r="V1848" s="636">
        <v>2022</v>
      </c>
      <c r="W1848" s="640"/>
      <c r="X1848" s="641">
        <f t="shared" si="84"/>
        <v>3.4120772946859903</v>
      </c>
      <c r="Y1848" s="642" t="str">
        <f t="shared" si="85"/>
        <v/>
      </c>
      <c r="Z1848" s="642" t="str">
        <f t="shared" si="86"/>
        <v/>
      </c>
    </row>
    <row r="1849" spans="1:26" s="127" customFormat="1" ht="25">
      <c r="A1849" s="636">
        <v>62413</v>
      </c>
      <c r="B1849" s="637" t="s">
        <v>33</v>
      </c>
      <c r="C1849" s="636" t="s">
        <v>2725</v>
      </c>
      <c r="D1849" s="637" t="s">
        <v>2801</v>
      </c>
      <c r="E1849" s="637" t="s">
        <v>2802</v>
      </c>
      <c r="F1849" s="636">
        <v>61926</v>
      </c>
      <c r="G1849" s="637" t="s">
        <v>57</v>
      </c>
      <c r="H1849" s="637" t="s">
        <v>1162</v>
      </c>
      <c r="I1849" s="637" t="s">
        <v>58</v>
      </c>
      <c r="J1849" s="636">
        <v>22</v>
      </c>
      <c r="K1849" s="636">
        <v>2</v>
      </c>
      <c r="L1849" s="637" t="s">
        <v>52</v>
      </c>
      <c r="M1849" s="637" t="s">
        <v>441</v>
      </c>
      <c r="N1849" s="637" t="s">
        <v>442</v>
      </c>
      <c r="O1849" s="637" t="s">
        <v>442</v>
      </c>
      <c r="P1849" s="637" t="s">
        <v>1156</v>
      </c>
      <c r="Q1849" s="638">
        <v>0</v>
      </c>
      <c r="R1849" s="638">
        <v>0</v>
      </c>
      <c r="S1849" s="638">
        <v>95943</v>
      </c>
      <c r="T1849" s="638">
        <v>95943</v>
      </c>
      <c r="U1849" s="638">
        <v>28120</v>
      </c>
      <c r="V1849" s="636">
        <v>2022</v>
      </c>
      <c r="W1849" s="640"/>
      <c r="X1849" s="641">
        <f t="shared" si="84"/>
        <v>3.4119132290184924</v>
      </c>
      <c r="Y1849" s="642" t="str">
        <f t="shared" si="85"/>
        <v/>
      </c>
      <c r="Z1849" s="642" t="str">
        <f t="shared" si="86"/>
        <v/>
      </c>
    </row>
    <row r="1850" spans="1:26" s="127" customFormat="1" ht="37.5" hidden="1">
      <c r="A1850" s="636">
        <v>62421</v>
      </c>
      <c r="B1850" s="637" t="s">
        <v>33</v>
      </c>
      <c r="C1850" s="636" t="s">
        <v>2725</v>
      </c>
      <c r="D1850" s="637" t="s">
        <v>2422</v>
      </c>
      <c r="E1850" s="637" t="s">
        <v>2422</v>
      </c>
      <c r="F1850" s="636">
        <v>61947</v>
      </c>
      <c r="G1850" s="637" t="s">
        <v>57</v>
      </c>
      <c r="H1850" s="637" t="s">
        <v>1162</v>
      </c>
      <c r="I1850" s="637" t="s">
        <v>58</v>
      </c>
      <c r="J1850" s="636">
        <v>622</v>
      </c>
      <c r="K1850" s="636">
        <v>4</v>
      </c>
      <c r="L1850" s="637" t="s">
        <v>406</v>
      </c>
      <c r="M1850" s="637" t="s">
        <v>51</v>
      </c>
      <c r="N1850" s="637" t="s">
        <v>46</v>
      </c>
      <c r="O1850" s="637" t="s">
        <v>46</v>
      </c>
      <c r="P1850" s="637" t="s">
        <v>47</v>
      </c>
      <c r="Q1850" s="638">
        <v>202</v>
      </c>
      <c r="R1850" s="638">
        <v>202</v>
      </c>
      <c r="S1850" s="638">
        <v>1113</v>
      </c>
      <c r="T1850" s="638">
        <v>1113</v>
      </c>
      <c r="U1850" s="638">
        <v>31</v>
      </c>
      <c r="V1850" s="636">
        <v>2022</v>
      </c>
      <c r="W1850" s="640"/>
      <c r="X1850" s="641" t="str">
        <f t="shared" si="84"/>
        <v/>
      </c>
      <c r="Y1850" s="642" t="str">
        <f t="shared" si="85"/>
        <v/>
      </c>
      <c r="Z1850" s="642" t="str">
        <f t="shared" si="86"/>
        <v/>
      </c>
    </row>
    <row r="1851" spans="1:26" s="127" customFormat="1" ht="37.5" hidden="1">
      <c r="A1851" s="636">
        <v>62423</v>
      </c>
      <c r="B1851" s="637" t="s">
        <v>33</v>
      </c>
      <c r="C1851" s="636" t="s">
        <v>2725</v>
      </c>
      <c r="D1851" s="637" t="s">
        <v>2423</v>
      </c>
      <c r="E1851" s="637" t="s">
        <v>2423</v>
      </c>
      <c r="F1851" s="636">
        <v>61948</v>
      </c>
      <c r="G1851" s="637" t="s">
        <v>57</v>
      </c>
      <c r="H1851" s="637" t="s">
        <v>1162</v>
      </c>
      <c r="I1851" s="637" t="s">
        <v>58</v>
      </c>
      <c r="J1851" s="636">
        <v>622</v>
      </c>
      <c r="K1851" s="636">
        <v>4</v>
      </c>
      <c r="L1851" s="637" t="s">
        <v>406</v>
      </c>
      <c r="M1851" s="637" t="s">
        <v>51</v>
      </c>
      <c r="N1851" s="637" t="s">
        <v>46</v>
      </c>
      <c r="O1851" s="637" t="s">
        <v>46</v>
      </c>
      <c r="P1851" s="637" t="s">
        <v>47</v>
      </c>
      <c r="Q1851" s="638">
        <v>298</v>
      </c>
      <c r="R1851" s="638">
        <v>298</v>
      </c>
      <c r="S1851" s="638">
        <v>1642</v>
      </c>
      <c r="T1851" s="638">
        <v>1642</v>
      </c>
      <c r="U1851" s="638">
        <v>115.79600000000001</v>
      </c>
      <c r="V1851" s="636">
        <v>2022</v>
      </c>
      <c r="W1851" s="640"/>
      <c r="X1851" s="641" t="str">
        <f t="shared" si="84"/>
        <v/>
      </c>
      <c r="Y1851" s="642" t="str">
        <f t="shared" si="85"/>
        <v/>
      </c>
      <c r="Z1851" s="642" t="str">
        <f t="shared" si="86"/>
        <v/>
      </c>
    </row>
    <row r="1852" spans="1:26" s="127" customFormat="1" ht="37.5" hidden="1">
      <c r="A1852" s="636">
        <v>62423</v>
      </c>
      <c r="B1852" s="637" t="s">
        <v>33</v>
      </c>
      <c r="C1852" s="636" t="s">
        <v>2725</v>
      </c>
      <c r="D1852" s="637" t="s">
        <v>2423</v>
      </c>
      <c r="E1852" s="637" t="s">
        <v>2423</v>
      </c>
      <c r="F1852" s="636">
        <v>61948</v>
      </c>
      <c r="G1852" s="637" t="s">
        <v>57</v>
      </c>
      <c r="H1852" s="637" t="s">
        <v>1162</v>
      </c>
      <c r="I1852" s="637" t="s">
        <v>58</v>
      </c>
      <c r="J1852" s="636">
        <v>622</v>
      </c>
      <c r="K1852" s="636">
        <v>4</v>
      </c>
      <c r="L1852" s="637" t="s">
        <v>406</v>
      </c>
      <c r="M1852" s="637" t="s">
        <v>51</v>
      </c>
      <c r="N1852" s="637" t="s">
        <v>39</v>
      </c>
      <c r="O1852" s="637" t="s">
        <v>39</v>
      </c>
      <c r="P1852" s="637" t="s">
        <v>1020</v>
      </c>
      <c r="Q1852" s="638">
        <v>99</v>
      </c>
      <c r="R1852" s="638">
        <v>99</v>
      </c>
      <c r="S1852" s="638">
        <v>99</v>
      </c>
      <c r="T1852" s="638">
        <v>99</v>
      </c>
      <c r="U1852" s="638">
        <v>7.2039999999999997</v>
      </c>
      <c r="V1852" s="636">
        <v>2022</v>
      </c>
      <c r="W1852" s="640"/>
      <c r="X1852" s="641" t="str">
        <f t="shared" si="84"/>
        <v/>
      </c>
      <c r="Y1852" s="642" t="str">
        <f t="shared" si="85"/>
        <v/>
      </c>
      <c r="Z1852" s="642" t="str">
        <f t="shared" si="86"/>
        <v/>
      </c>
    </row>
    <row r="1853" spans="1:26" s="127" customFormat="1" ht="25">
      <c r="A1853" s="636">
        <v>62443</v>
      </c>
      <c r="B1853" s="637" t="s">
        <v>33</v>
      </c>
      <c r="C1853" s="636" t="s">
        <v>2725</v>
      </c>
      <c r="D1853" s="637" t="s">
        <v>2803</v>
      </c>
      <c r="E1853" s="637" t="s">
        <v>3623</v>
      </c>
      <c r="F1853" s="636">
        <v>61944</v>
      </c>
      <c r="G1853" s="637" t="s">
        <v>89</v>
      </c>
      <c r="H1853" s="637" t="s">
        <v>1163</v>
      </c>
      <c r="I1853" s="637" t="s">
        <v>58</v>
      </c>
      <c r="J1853" s="636">
        <v>22</v>
      </c>
      <c r="K1853" s="636">
        <v>2</v>
      </c>
      <c r="L1853" s="637" t="s">
        <v>52</v>
      </c>
      <c r="M1853" s="637" t="s">
        <v>441</v>
      </c>
      <c r="N1853" s="637" t="s">
        <v>442</v>
      </c>
      <c r="O1853" s="637" t="s">
        <v>442</v>
      </c>
      <c r="P1853" s="637" t="s">
        <v>1156</v>
      </c>
      <c r="Q1853" s="638">
        <v>0</v>
      </c>
      <c r="R1853" s="638">
        <v>0</v>
      </c>
      <c r="S1853" s="638">
        <v>9946</v>
      </c>
      <c r="T1853" s="638">
        <v>9946</v>
      </c>
      <c r="U1853" s="638">
        <v>2915</v>
      </c>
      <c r="V1853" s="636">
        <v>2022</v>
      </c>
      <c r="W1853" s="640"/>
      <c r="X1853" s="641">
        <f t="shared" si="84"/>
        <v>3.4120068610634648</v>
      </c>
      <c r="Y1853" s="642" t="str">
        <f t="shared" si="85"/>
        <v/>
      </c>
      <c r="Z1853" s="642" t="str">
        <f t="shared" si="86"/>
        <v/>
      </c>
    </row>
    <row r="1854" spans="1:26" s="127" customFormat="1" ht="37.5" hidden="1">
      <c r="A1854" s="636">
        <v>62446</v>
      </c>
      <c r="B1854" s="637" t="s">
        <v>33</v>
      </c>
      <c r="C1854" s="636" t="s">
        <v>2725</v>
      </c>
      <c r="D1854" s="637" t="s">
        <v>2804</v>
      </c>
      <c r="E1854" s="637" t="s">
        <v>2804</v>
      </c>
      <c r="F1854" s="636">
        <v>61955</v>
      </c>
      <c r="G1854" s="637" t="s">
        <v>57</v>
      </c>
      <c r="H1854" s="637" t="s">
        <v>1162</v>
      </c>
      <c r="I1854" s="637" t="s">
        <v>58</v>
      </c>
      <c r="J1854" s="636">
        <v>622</v>
      </c>
      <c r="K1854" s="636">
        <v>4</v>
      </c>
      <c r="L1854" s="637" t="s">
        <v>406</v>
      </c>
      <c r="M1854" s="637" t="s">
        <v>51</v>
      </c>
      <c r="N1854" s="637" t="s">
        <v>46</v>
      </c>
      <c r="O1854" s="637" t="s">
        <v>46</v>
      </c>
      <c r="P1854" s="637" t="s">
        <v>47</v>
      </c>
      <c r="Q1854" s="638">
        <v>24</v>
      </c>
      <c r="R1854" s="638">
        <v>24</v>
      </c>
      <c r="S1854" s="638">
        <v>132</v>
      </c>
      <c r="T1854" s="638">
        <v>132</v>
      </c>
      <c r="U1854" s="638">
        <v>14</v>
      </c>
      <c r="V1854" s="636">
        <v>2022</v>
      </c>
      <c r="W1854" s="640"/>
      <c r="X1854" s="641" t="str">
        <f t="shared" si="84"/>
        <v/>
      </c>
      <c r="Y1854" s="642" t="str">
        <f t="shared" si="85"/>
        <v/>
      </c>
      <c r="Z1854" s="642" t="str">
        <f t="shared" si="86"/>
        <v/>
      </c>
    </row>
    <row r="1855" spans="1:26" s="127" customFormat="1" ht="37.5" hidden="1">
      <c r="A1855" s="636">
        <v>62447</v>
      </c>
      <c r="B1855" s="637" t="s">
        <v>33</v>
      </c>
      <c r="C1855" s="636" t="s">
        <v>2725</v>
      </c>
      <c r="D1855" s="637" t="s">
        <v>3058</v>
      </c>
      <c r="E1855" s="637" t="s">
        <v>3058</v>
      </c>
      <c r="F1855" s="636">
        <v>61956</v>
      </c>
      <c r="G1855" s="637" t="s">
        <v>57</v>
      </c>
      <c r="H1855" s="637" t="s">
        <v>1162</v>
      </c>
      <c r="I1855" s="637" t="s">
        <v>58</v>
      </c>
      <c r="J1855" s="636">
        <v>622</v>
      </c>
      <c r="K1855" s="636">
        <v>4</v>
      </c>
      <c r="L1855" s="637" t="s">
        <v>406</v>
      </c>
      <c r="M1855" s="637" t="s">
        <v>51</v>
      </c>
      <c r="N1855" s="637" t="s">
        <v>46</v>
      </c>
      <c r="O1855" s="637" t="s">
        <v>46</v>
      </c>
      <c r="P1855" s="637" t="s">
        <v>47</v>
      </c>
      <c r="Q1855" s="638">
        <v>54</v>
      </c>
      <c r="R1855" s="638">
        <v>54</v>
      </c>
      <c r="S1855" s="638">
        <v>319</v>
      </c>
      <c r="T1855" s="638">
        <v>319</v>
      </c>
      <c r="U1855" s="638">
        <v>43</v>
      </c>
      <c r="V1855" s="636">
        <v>2022</v>
      </c>
      <c r="W1855" s="640"/>
      <c r="X1855" s="641" t="str">
        <f t="shared" si="84"/>
        <v/>
      </c>
      <c r="Y1855" s="642" t="str">
        <f t="shared" si="85"/>
        <v/>
      </c>
      <c r="Z1855" s="642" t="str">
        <f t="shared" si="86"/>
        <v/>
      </c>
    </row>
    <row r="1856" spans="1:26" s="127" customFormat="1" ht="37.5" hidden="1">
      <c r="A1856" s="636">
        <v>62450</v>
      </c>
      <c r="B1856" s="637" t="s">
        <v>33</v>
      </c>
      <c r="C1856" s="636" t="s">
        <v>2725</v>
      </c>
      <c r="D1856" s="637" t="s">
        <v>2805</v>
      </c>
      <c r="E1856" s="637" t="s">
        <v>2805</v>
      </c>
      <c r="F1856" s="636">
        <v>61965</v>
      </c>
      <c r="G1856" s="637" t="s">
        <v>57</v>
      </c>
      <c r="H1856" s="637" t="s">
        <v>1162</v>
      </c>
      <c r="I1856" s="637" t="s">
        <v>58</v>
      </c>
      <c r="J1856" s="636">
        <v>622</v>
      </c>
      <c r="K1856" s="636">
        <v>4</v>
      </c>
      <c r="L1856" s="637" t="s">
        <v>406</v>
      </c>
      <c r="M1856" s="637" t="s">
        <v>51</v>
      </c>
      <c r="N1856" s="637" t="s">
        <v>46</v>
      </c>
      <c r="O1856" s="637" t="s">
        <v>46</v>
      </c>
      <c r="P1856" s="637" t="s">
        <v>47</v>
      </c>
      <c r="Q1856" s="638">
        <v>20</v>
      </c>
      <c r="R1856" s="638">
        <v>20</v>
      </c>
      <c r="S1856" s="638">
        <v>111</v>
      </c>
      <c r="T1856" s="638">
        <v>111</v>
      </c>
      <c r="U1856" s="638">
        <v>22</v>
      </c>
      <c r="V1856" s="636">
        <v>2022</v>
      </c>
      <c r="W1856" s="640"/>
      <c r="X1856" s="641" t="str">
        <f t="shared" si="84"/>
        <v/>
      </c>
      <c r="Y1856" s="642" t="str">
        <f t="shared" si="85"/>
        <v/>
      </c>
      <c r="Z1856" s="642" t="str">
        <f t="shared" si="86"/>
        <v/>
      </c>
    </row>
    <row r="1857" spans="1:26" s="127" customFormat="1" ht="37.5" hidden="1">
      <c r="A1857" s="636">
        <v>62452</v>
      </c>
      <c r="B1857" s="637" t="s">
        <v>33</v>
      </c>
      <c r="C1857" s="636" t="s">
        <v>2725</v>
      </c>
      <c r="D1857" s="637" t="s">
        <v>2806</v>
      </c>
      <c r="E1857" s="637" t="s">
        <v>2807</v>
      </c>
      <c r="F1857" s="636">
        <v>61970</v>
      </c>
      <c r="G1857" s="637" t="s">
        <v>57</v>
      </c>
      <c r="H1857" s="637" t="s">
        <v>1162</v>
      </c>
      <c r="I1857" s="637" t="s">
        <v>58</v>
      </c>
      <c r="J1857" s="636">
        <v>622</v>
      </c>
      <c r="K1857" s="636">
        <v>4</v>
      </c>
      <c r="L1857" s="637" t="s">
        <v>406</v>
      </c>
      <c r="M1857" s="637" t="s">
        <v>51</v>
      </c>
      <c r="N1857" s="637" t="s">
        <v>46</v>
      </c>
      <c r="O1857" s="637" t="s">
        <v>46</v>
      </c>
      <c r="P1857" s="637" t="s">
        <v>47</v>
      </c>
      <c r="Q1857" s="638">
        <v>13</v>
      </c>
      <c r="R1857" s="638">
        <v>13</v>
      </c>
      <c r="S1857" s="638">
        <v>73</v>
      </c>
      <c r="T1857" s="638">
        <v>73</v>
      </c>
      <c r="U1857" s="638">
        <v>11</v>
      </c>
      <c r="V1857" s="636">
        <v>2022</v>
      </c>
      <c r="W1857" s="640"/>
      <c r="X1857" s="641" t="str">
        <f t="shared" si="84"/>
        <v/>
      </c>
      <c r="Y1857" s="642" t="str">
        <f t="shared" si="85"/>
        <v/>
      </c>
      <c r="Z1857" s="642" t="str">
        <f t="shared" si="86"/>
        <v/>
      </c>
    </row>
    <row r="1858" spans="1:26" s="127" customFormat="1" ht="37.5" hidden="1">
      <c r="A1858" s="636">
        <v>62453</v>
      </c>
      <c r="B1858" s="637" t="s">
        <v>33</v>
      </c>
      <c r="C1858" s="636" t="s">
        <v>2725</v>
      </c>
      <c r="D1858" s="637" t="s">
        <v>2808</v>
      </c>
      <c r="E1858" s="637" t="s">
        <v>2809</v>
      </c>
      <c r="F1858" s="636">
        <v>61971</v>
      </c>
      <c r="G1858" s="637" t="s">
        <v>57</v>
      </c>
      <c r="H1858" s="637" t="s">
        <v>1162</v>
      </c>
      <c r="I1858" s="637" t="s">
        <v>58</v>
      </c>
      <c r="J1858" s="636">
        <v>622</v>
      </c>
      <c r="K1858" s="636">
        <v>4</v>
      </c>
      <c r="L1858" s="637" t="s">
        <v>406</v>
      </c>
      <c r="M1858" s="637" t="s">
        <v>51</v>
      </c>
      <c r="N1858" s="637" t="s">
        <v>46</v>
      </c>
      <c r="O1858" s="637" t="s">
        <v>46</v>
      </c>
      <c r="P1858" s="637" t="s">
        <v>47</v>
      </c>
      <c r="Q1858" s="638">
        <v>76</v>
      </c>
      <c r="R1858" s="638">
        <v>76</v>
      </c>
      <c r="S1858" s="638">
        <v>420</v>
      </c>
      <c r="T1858" s="638">
        <v>420</v>
      </c>
      <c r="U1858" s="638">
        <v>42</v>
      </c>
      <c r="V1858" s="636">
        <v>2022</v>
      </c>
      <c r="W1858" s="640"/>
      <c r="X1858" s="641" t="str">
        <f t="shared" si="84"/>
        <v/>
      </c>
      <c r="Y1858" s="642" t="str">
        <f t="shared" si="85"/>
        <v/>
      </c>
      <c r="Z1858" s="642" t="str">
        <f t="shared" si="86"/>
        <v/>
      </c>
    </row>
    <row r="1859" spans="1:26" s="127" customFormat="1" ht="25">
      <c r="A1859" s="636">
        <v>62455</v>
      </c>
      <c r="B1859" s="637" t="s">
        <v>33</v>
      </c>
      <c r="C1859" s="636" t="s">
        <v>2725</v>
      </c>
      <c r="D1859" s="637" t="s">
        <v>2425</v>
      </c>
      <c r="E1859" s="637" t="s">
        <v>1761</v>
      </c>
      <c r="F1859" s="636">
        <v>57128</v>
      </c>
      <c r="G1859" s="637" t="s">
        <v>41</v>
      </c>
      <c r="H1859" s="637" t="s">
        <v>1163</v>
      </c>
      <c r="I1859" s="637" t="s">
        <v>1135</v>
      </c>
      <c r="J1859" s="636">
        <v>22</v>
      </c>
      <c r="K1859" s="636">
        <v>2</v>
      </c>
      <c r="L1859" s="637" t="s">
        <v>52</v>
      </c>
      <c r="M1859" s="637" t="s">
        <v>1232</v>
      </c>
      <c r="N1859" s="637" t="s">
        <v>39</v>
      </c>
      <c r="O1859" s="637" t="s">
        <v>39</v>
      </c>
      <c r="P1859" s="637" t="s">
        <v>1020</v>
      </c>
      <c r="Q1859" s="638">
        <v>78760</v>
      </c>
      <c r="R1859" s="638">
        <v>78760</v>
      </c>
      <c r="S1859" s="638">
        <v>80334</v>
      </c>
      <c r="T1859" s="638">
        <v>80334</v>
      </c>
      <c r="U1859" s="638">
        <v>10507</v>
      </c>
      <c r="V1859" s="636">
        <v>2022</v>
      </c>
      <c r="W1859" s="640"/>
      <c r="X1859" s="641">
        <f t="shared" si="84"/>
        <v>7.6457599695441134</v>
      </c>
      <c r="Y1859" s="642" t="str">
        <f t="shared" si="85"/>
        <v/>
      </c>
      <c r="Z1859" s="642" t="str">
        <f t="shared" si="86"/>
        <v/>
      </c>
    </row>
    <row r="1860" spans="1:26" s="127" customFormat="1" ht="25">
      <c r="A1860" s="636">
        <v>62456</v>
      </c>
      <c r="B1860" s="637" t="s">
        <v>33</v>
      </c>
      <c r="C1860" s="636" t="s">
        <v>2725</v>
      </c>
      <c r="D1860" s="637" t="s">
        <v>2426</v>
      </c>
      <c r="E1860" s="637" t="s">
        <v>1761</v>
      </c>
      <c r="F1860" s="636">
        <v>57128</v>
      </c>
      <c r="G1860" s="637" t="s">
        <v>57</v>
      </c>
      <c r="H1860" s="637" t="s">
        <v>1162</v>
      </c>
      <c r="I1860" s="637" t="s">
        <v>58</v>
      </c>
      <c r="J1860" s="636">
        <v>22</v>
      </c>
      <c r="K1860" s="636">
        <v>2</v>
      </c>
      <c r="L1860" s="637" t="s">
        <v>52</v>
      </c>
      <c r="M1860" s="637" t="s">
        <v>1232</v>
      </c>
      <c r="N1860" s="637" t="s">
        <v>39</v>
      </c>
      <c r="O1860" s="637" t="s">
        <v>39</v>
      </c>
      <c r="P1860" s="637" t="s">
        <v>1020</v>
      </c>
      <c r="Q1860" s="638">
        <v>64586</v>
      </c>
      <c r="R1860" s="638">
        <v>64586</v>
      </c>
      <c r="S1860" s="638">
        <v>65876</v>
      </c>
      <c r="T1860" s="638">
        <v>65876</v>
      </c>
      <c r="U1860" s="638">
        <v>8880</v>
      </c>
      <c r="V1860" s="636">
        <v>2022</v>
      </c>
      <c r="W1860" s="640"/>
      <c r="X1860" s="641">
        <f t="shared" si="84"/>
        <v>7.4184684684684683</v>
      </c>
      <c r="Y1860" s="642" t="str">
        <f t="shared" si="85"/>
        <v/>
      </c>
      <c r="Z1860" s="642" t="str">
        <f t="shared" si="86"/>
        <v/>
      </c>
    </row>
    <row r="1861" spans="1:26" s="127" customFormat="1" ht="25">
      <c r="A1861" s="636">
        <v>62471</v>
      </c>
      <c r="B1861" s="637" t="s">
        <v>33</v>
      </c>
      <c r="C1861" s="636" t="s">
        <v>2725</v>
      </c>
      <c r="D1861" s="637" t="s">
        <v>3059</v>
      </c>
      <c r="E1861" s="637" t="s">
        <v>2782</v>
      </c>
      <c r="F1861" s="636">
        <v>61194</v>
      </c>
      <c r="G1861" s="637" t="s">
        <v>57</v>
      </c>
      <c r="H1861" s="637" t="s">
        <v>1162</v>
      </c>
      <c r="I1861" s="637" t="s">
        <v>58</v>
      </c>
      <c r="J1861" s="636">
        <v>22</v>
      </c>
      <c r="K1861" s="636">
        <v>2</v>
      </c>
      <c r="L1861" s="637" t="s">
        <v>52</v>
      </c>
      <c r="M1861" s="637" t="s">
        <v>441</v>
      </c>
      <c r="N1861" s="637" t="s">
        <v>442</v>
      </c>
      <c r="O1861" s="637" t="s">
        <v>442</v>
      </c>
      <c r="P1861" s="637" t="s">
        <v>1156</v>
      </c>
      <c r="Q1861" s="638">
        <v>0</v>
      </c>
      <c r="R1861" s="638">
        <v>0</v>
      </c>
      <c r="S1861" s="638">
        <v>13375</v>
      </c>
      <c r="T1861" s="638">
        <v>13375</v>
      </c>
      <c r="U1861" s="638">
        <v>3920</v>
      </c>
      <c r="V1861" s="636">
        <v>2022</v>
      </c>
      <c r="W1861" s="640"/>
      <c r="X1861" s="641">
        <f t="shared" si="84"/>
        <v>3.4119897959183674</v>
      </c>
      <c r="Y1861" s="642" t="str">
        <f t="shared" si="85"/>
        <v/>
      </c>
      <c r="Z1861" s="642" t="str">
        <f t="shared" si="86"/>
        <v/>
      </c>
    </row>
    <row r="1862" spans="1:26" s="127" customFormat="1" ht="25">
      <c r="A1862" s="636">
        <v>62472</v>
      </c>
      <c r="B1862" s="637" t="s">
        <v>33</v>
      </c>
      <c r="C1862" s="636" t="s">
        <v>2725</v>
      </c>
      <c r="D1862" s="637" t="s">
        <v>3060</v>
      </c>
      <c r="E1862" s="637" t="s">
        <v>2782</v>
      </c>
      <c r="F1862" s="636">
        <v>61194</v>
      </c>
      <c r="G1862" s="637" t="s">
        <v>57</v>
      </c>
      <c r="H1862" s="637" t="s">
        <v>1162</v>
      </c>
      <c r="I1862" s="637" t="s">
        <v>58</v>
      </c>
      <c r="J1862" s="636">
        <v>22</v>
      </c>
      <c r="K1862" s="636">
        <v>2</v>
      </c>
      <c r="L1862" s="637" t="s">
        <v>52</v>
      </c>
      <c r="M1862" s="637" t="s">
        <v>441</v>
      </c>
      <c r="N1862" s="637" t="s">
        <v>442</v>
      </c>
      <c r="O1862" s="637" t="s">
        <v>442</v>
      </c>
      <c r="P1862" s="637" t="s">
        <v>1156</v>
      </c>
      <c r="Q1862" s="638">
        <v>0</v>
      </c>
      <c r="R1862" s="638">
        <v>0</v>
      </c>
      <c r="S1862" s="638">
        <v>10664</v>
      </c>
      <c r="T1862" s="638">
        <v>10664</v>
      </c>
      <c r="U1862" s="638">
        <v>3125</v>
      </c>
      <c r="V1862" s="636">
        <v>2022</v>
      </c>
      <c r="W1862" s="640"/>
      <c r="X1862" s="641">
        <f t="shared" si="84"/>
        <v>3.41248</v>
      </c>
      <c r="Y1862" s="642" t="str">
        <f t="shared" si="85"/>
        <v/>
      </c>
      <c r="Z1862" s="642" t="str">
        <f t="shared" si="86"/>
        <v/>
      </c>
    </row>
    <row r="1863" spans="1:26" s="127" customFormat="1" ht="25">
      <c r="A1863" s="636">
        <v>62473</v>
      </c>
      <c r="B1863" s="637" t="s">
        <v>33</v>
      </c>
      <c r="C1863" s="636" t="s">
        <v>2725</v>
      </c>
      <c r="D1863" s="637" t="s">
        <v>3061</v>
      </c>
      <c r="E1863" s="637" t="s">
        <v>2782</v>
      </c>
      <c r="F1863" s="636">
        <v>61194</v>
      </c>
      <c r="G1863" s="637" t="s">
        <v>57</v>
      </c>
      <c r="H1863" s="637" t="s">
        <v>1162</v>
      </c>
      <c r="I1863" s="637" t="s">
        <v>58</v>
      </c>
      <c r="J1863" s="636">
        <v>22</v>
      </c>
      <c r="K1863" s="636">
        <v>2</v>
      </c>
      <c r="L1863" s="637" t="s">
        <v>52</v>
      </c>
      <c r="M1863" s="637" t="s">
        <v>441</v>
      </c>
      <c r="N1863" s="637" t="s">
        <v>442</v>
      </c>
      <c r="O1863" s="637" t="s">
        <v>442</v>
      </c>
      <c r="P1863" s="637" t="s">
        <v>1156</v>
      </c>
      <c r="Q1863" s="638">
        <v>0</v>
      </c>
      <c r="R1863" s="638">
        <v>0</v>
      </c>
      <c r="S1863" s="638">
        <v>7732</v>
      </c>
      <c r="T1863" s="638">
        <v>7732</v>
      </c>
      <c r="U1863" s="638">
        <v>2266</v>
      </c>
      <c r="V1863" s="636">
        <v>2022</v>
      </c>
      <c r="W1863" s="640"/>
      <c r="X1863" s="641">
        <f t="shared" si="84"/>
        <v>3.4121800529567521</v>
      </c>
      <c r="Y1863" s="642" t="str">
        <f t="shared" si="85"/>
        <v/>
      </c>
      <c r="Z1863" s="642" t="str">
        <f t="shared" si="86"/>
        <v/>
      </c>
    </row>
    <row r="1864" spans="1:26" s="127" customFormat="1" ht="25">
      <c r="A1864" s="636">
        <v>62474</v>
      </c>
      <c r="B1864" s="637" t="s">
        <v>33</v>
      </c>
      <c r="C1864" s="636" t="s">
        <v>2725</v>
      </c>
      <c r="D1864" s="637" t="s">
        <v>2810</v>
      </c>
      <c r="E1864" s="637" t="s">
        <v>2368</v>
      </c>
      <c r="F1864" s="636">
        <v>61610</v>
      </c>
      <c r="G1864" s="637" t="s">
        <v>57</v>
      </c>
      <c r="H1864" s="637" t="s">
        <v>1162</v>
      </c>
      <c r="I1864" s="637" t="s">
        <v>58</v>
      </c>
      <c r="J1864" s="636">
        <v>22</v>
      </c>
      <c r="K1864" s="636">
        <v>2</v>
      </c>
      <c r="L1864" s="637" t="s">
        <v>52</v>
      </c>
      <c r="M1864" s="637" t="s">
        <v>441</v>
      </c>
      <c r="N1864" s="637" t="s">
        <v>442</v>
      </c>
      <c r="O1864" s="637" t="s">
        <v>442</v>
      </c>
      <c r="P1864" s="637" t="s">
        <v>1156</v>
      </c>
      <c r="Q1864" s="638">
        <v>0</v>
      </c>
      <c r="R1864" s="638">
        <v>0</v>
      </c>
      <c r="S1864" s="638">
        <v>18438</v>
      </c>
      <c r="T1864" s="638">
        <v>18438</v>
      </c>
      <c r="U1864" s="638">
        <v>5404</v>
      </c>
      <c r="V1864" s="636">
        <v>2022</v>
      </c>
      <c r="W1864" s="640"/>
      <c r="X1864" s="641">
        <f t="shared" ref="X1864:X1927" si="87">IF(OR(K1864&gt;3,T1864=0,NOT(U1864&gt;0)),"",T1864/U1864)</f>
        <v>3.411917098445596</v>
      </c>
      <c r="Y1864" s="642" t="str">
        <f t="shared" ref="Y1864:Y1927" si="88">IF(AND($M1864=$Y$2,$N1864=$Y$3,NOT($Q1864=$R1864),NOT($U1864=0)),IF($K1864=5,$S1864/($U1864+(8/5)*$U1864),IF($K1864=7,$S1864/($U1864+(29/25)*$U1864),"")),"")</f>
        <v/>
      </c>
      <c r="Z1864" s="642" t="str">
        <f t="shared" si="86"/>
        <v/>
      </c>
    </row>
    <row r="1865" spans="1:26" s="127" customFormat="1" ht="25">
      <c r="A1865" s="636">
        <v>62476</v>
      </c>
      <c r="B1865" s="637" t="s">
        <v>33</v>
      </c>
      <c r="C1865" s="636" t="s">
        <v>2725</v>
      </c>
      <c r="D1865" s="637" t="s">
        <v>3300</v>
      </c>
      <c r="E1865" s="637" t="s">
        <v>2782</v>
      </c>
      <c r="F1865" s="636">
        <v>61194</v>
      </c>
      <c r="G1865" s="637" t="s">
        <v>57</v>
      </c>
      <c r="H1865" s="637" t="s">
        <v>1162</v>
      </c>
      <c r="I1865" s="637" t="s">
        <v>58</v>
      </c>
      <c r="J1865" s="636">
        <v>22</v>
      </c>
      <c r="K1865" s="636">
        <v>2</v>
      </c>
      <c r="L1865" s="637" t="s">
        <v>52</v>
      </c>
      <c r="M1865" s="637" t="s">
        <v>441</v>
      </c>
      <c r="N1865" s="637" t="s">
        <v>442</v>
      </c>
      <c r="O1865" s="637" t="s">
        <v>442</v>
      </c>
      <c r="P1865" s="637" t="s">
        <v>1156</v>
      </c>
      <c r="Q1865" s="638">
        <v>0</v>
      </c>
      <c r="R1865" s="638">
        <v>0</v>
      </c>
      <c r="S1865" s="638">
        <v>10563</v>
      </c>
      <c r="T1865" s="638">
        <v>10563</v>
      </c>
      <c r="U1865" s="638">
        <v>3096</v>
      </c>
      <c r="V1865" s="636">
        <v>2022</v>
      </c>
      <c r="W1865" s="640"/>
      <c r="X1865" s="641">
        <f t="shared" si="87"/>
        <v>3.4118217054263567</v>
      </c>
      <c r="Y1865" s="642" t="str">
        <f t="shared" si="88"/>
        <v/>
      </c>
      <c r="Z1865" s="642" t="str">
        <f t="shared" si="86"/>
        <v/>
      </c>
    </row>
    <row r="1866" spans="1:26" s="127" customFormat="1" ht="25">
      <c r="A1866" s="636">
        <v>62477</v>
      </c>
      <c r="B1866" s="637" t="s">
        <v>33</v>
      </c>
      <c r="C1866" s="636" t="s">
        <v>2725</v>
      </c>
      <c r="D1866" s="637" t="s">
        <v>2811</v>
      </c>
      <c r="E1866" s="637" t="s">
        <v>2368</v>
      </c>
      <c r="F1866" s="636">
        <v>61610</v>
      </c>
      <c r="G1866" s="637" t="s">
        <v>57</v>
      </c>
      <c r="H1866" s="637" t="s">
        <v>1162</v>
      </c>
      <c r="I1866" s="637" t="s">
        <v>58</v>
      </c>
      <c r="J1866" s="636">
        <v>22</v>
      </c>
      <c r="K1866" s="636">
        <v>2</v>
      </c>
      <c r="L1866" s="637" t="s">
        <v>52</v>
      </c>
      <c r="M1866" s="637" t="s">
        <v>441</v>
      </c>
      <c r="N1866" s="637" t="s">
        <v>442</v>
      </c>
      <c r="O1866" s="637" t="s">
        <v>442</v>
      </c>
      <c r="P1866" s="637" t="s">
        <v>1156</v>
      </c>
      <c r="Q1866" s="638">
        <v>0</v>
      </c>
      <c r="R1866" s="638">
        <v>0</v>
      </c>
      <c r="S1866" s="638">
        <v>4250</v>
      </c>
      <c r="T1866" s="638">
        <v>4250</v>
      </c>
      <c r="U1866" s="638">
        <v>1245</v>
      </c>
      <c r="V1866" s="636">
        <v>2022</v>
      </c>
      <c r="W1866" s="640"/>
      <c r="X1866" s="641">
        <f t="shared" si="87"/>
        <v>3.4136546184738954</v>
      </c>
      <c r="Y1866" s="642" t="str">
        <f t="shared" si="88"/>
        <v/>
      </c>
      <c r="Z1866" s="642" t="str">
        <f t="shared" si="86"/>
        <v/>
      </c>
    </row>
    <row r="1867" spans="1:26" s="127" customFormat="1" ht="25">
      <c r="A1867" s="636">
        <v>62479</v>
      </c>
      <c r="B1867" s="637" t="s">
        <v>33</v>
      </c>
      <c r="C1867" s="636" t="s">
        <v>2725</v>
      </c>
      <c r="D1867" s="637" t="s">
        <v>2812</v>
      </c>
      <c r="E1867" s="637" t="s">
        <v>2368</v>
      </c>
      <c r="F1867" s="636">
        <v>61610</v>
      </c>
      <c r="G1867" s="637" t="s">
        <v>57</v>
      </c>
      <c r="H1867" s="637" t="s">
        <v>1162</v>
      </c>
      <c r="I1867" s="637" t="s">
        <v>58</v>
      </c>
      <c r="J1867" s="636">
        <v>22</v>
      </c>
      <c r="K1867" s="636">
        <v>2</v>
      </c>
      <c r="L1867" s="637" t="s">
        <v>52</v>
      </c>
      <c r="M1867" s="637" t="s">
        <v>441</v>
      </c>
      <c r="N1867" s="637" t="s">
        <v>442</v>
      </c>
      <c r="O1867" s="637" t="s">
        <v>442</v>
      </c>
      <c r="P1867" s="637" t="s">
        <v>1156</v>
      </c>
      <c r="Q1867" s="638">
        <v>0</v>
      </c>
      <c r="R1867" s="638">
        <v>0</v>
      </c>
      <c r="S1867" s="638">
        <v>11172</v>
      </c>
      <c r="T1867" s="638">
        <v>11172</v>
      </c>
      <c r="U1867" s="638">
        <v>3274</v>
      </c>
      <c r="V1867" s="636">
        <v>2022</v>
      </c>
      <c r="W1867" s="640"/>
      <c r="X1867" s="641">
        <f t="shared" si="87"/>
        <v>3.4123396456933417</v>
      </c>
      <c r="Y1867" s="642" t="str">
        <f t="shared" si="88"/>
        <v/>
      </c>
      <c r="Z1867" s="642" t="str">
        <f t="shared" si="86"/>
        <v/>
      </c>
    </row>
    <row r="1868" spans="1:26" s="127" customFormat="1" ht="25">
      <c r="A1868" s="636">
        <v>62480</v>
      </c>
      <c r="B1868" s="637" t="s">
        <v>33</v>
      </c>
      <c r="C1868" s="636" t="s">
        <v>2725</v>
      </c>
      <c r="D1868" s="637" t="s">
        <v>3062</v>
      </c>
      <c r="E1868" s="637" t="s">
        <v>2782</v>
      </c>
      <c r="F1868" s="636">
        <v>61194</v>
      </c>
      <c r="G1868" s="637" t="s">
        <v>57</v>
      </c>
      <c r="H1868" s="637" t="s">
        <v>1162</v>
      </c>
      <c r="I1868" s="637" t="s">
        <v>58</v>
      </c>
      <c r="J1868" s="636">
        <v>22</v>
      </c>
      <c r="K1868" s="636">
        <v>2</v>
      </c>
      <c r="L1868" s="637" t="s">
        <v>52</v>
      </c>
      <c r="M1868" s="637" t="s">
        <v>441</v>
      </c>
      <c r="N1868" s="637" t="s">
        <v>442</v>
      </c>
      <c r="O1868" s="637" t="s">
        <v>442</v>
      </c>
      <c r="P1868" s="637" t="s">
        <v>1156</v>
      </c>
      <c r="Q1868" s="638">
        <v>0</v>
      </c>
      <c r="R1868" s="638">
        <v>0</v>
      </c>
      <c r="S1868" s="638">
        <v>11233</v>
      </c>
      <c r="T1868" s="638">
        <v>11233</v>
      </c>
      <c r="U1868" s="638">
        <v>3292</v>
      </c>
      <c r="V1868" s="636">
        <v>2022</v>
      </c>
      <c r="W1868" s="640"/>
      <c r="X1868" s="641">
        <f t="shared" si="87"/>
        <v>3.4122114216281894</v>
      </c>
      <c r="Y1868" s="642" t="str">
        <f t="shared" si="88"/>
        <v/>
      </c>
      <c r="Z1868" s="642" t="str">
        <f t="shared" si="86"/>
        <v/>
      </c>
    </row>
    <row r="1869" spans="1:26" s="127" customFormat="1" ht="25">
      <c r="A1869" s="636">
        <v>62486</v>
      </c>
      <c r="B1869" s="637" t="s">
        <v>33</v>
      </c>
      <c r="C1869" s="636" t="s">
        <v>2725</v>
      </c>
      <c r="D1869" s="637" t="s">
        <v>2813</v>
      </c>
      <c r="E1869" s="637" t="s">
        <v>2814</v>
      </c>
      <c r="F1869" s="636">
        <v>62003</v>
      </c>
      <c r="G1869" s="637" t="s">
        <v>57</v>
      </c>
      <c r="H1869" s="637" t="s">
        <v>1162</v>
      </c>
      <c r="I1869" s="637" t="s">
        <v>58</v>
      </c>
      <c r="J1869" s="636">
        <v>22</v>
      </c>
      <c r="K1869" s="636">
        <v>2</v>
      </c>
      <c r="L1869" s="637" t="s">
        <v>52</v>
      </c>
      <c r="M1869" s="637" t="s">
        <v>441</v>
      </c>
      <c r="N1869" s="637" t="s">
        <v>442</v>
      </c>
      <c r="O1869" s="637" t="s">
        <v>442</v>
      </c>
      <c r="P1869" s="637" t="s">
        <v>1156</v>
      </c>
      <c r="Q1869" s="638">
        <v>0</v>
      </c>
      <c r="R1869" s="638">
        <v>0</v>
      </c>
      <c r="S1869" s="638">
        <v>12587</v>
      </c>
      <c r="T1869" s="638">
        <v>12587</v>
      </c>
      <c r="U1869" s="638">
        <v>3689</v>
      </c>
      <c r="V1869" s="636">
        <v>2022</v>
      </c>
      <c r="W1869" s="640"/>
      <c r="X1869" s="641">
        <f t="shared" si="87"/>
        <v>3.4120357820547573</v>
      </c>
      <c r="Y1869" s="642" t="str">
        <f t="shared" si="88"/>
        <v/>
      </c>
      <c r="Z1869" s="642" t="str">
        <f t="shared" si="86"/>
        <v/>
      </c>
    </row>
    <row r="1870" spans="1:26" s="127" customFormat="1" ht="25">
      <c r="A1870" s="636">
        <v>62496</v>
      </c>
      <c r="B1870" s="637" t="s">
        <v>33</v>
      </c>
      <c r="C1870" s="636" t="s">
        <v>2725</v>
      </c>
      <c r="D1870" s="637" t="s">
        <v>3301</v>
      </c>
      <c r="E1870" s="637" t="s">
        <v>2782</v>
      </c>
      <c r="F1870" s="636">
        <v>61194</v>
      </c>
      <c r="G1870" s="637" t="s">
        <v>57</v>
      </c>
      <c r="H1870" s="637" t="s">
        <v>1162</v>
      </c>
      <c r="I1870" s="637" t="s">
        <v>58</v>
      </c>
      <c r="J1870" s="636">
        <v>22</v>
      </c>
      <c r="K1870" s="636">
        <v>2</v>
      </c>
      <c r="L1870" s="637" t="s">
        <v>52</v>
      </c>
      <c r="M1870" s="637" t="s">
        <v>441</v>
      </c>
      <c r="N1870" s="637" t="s">
        <v>442</v>
      </c>
      <c r="O1870" s="637" t="s">
        <v>442</v>
      </c>
      <c r="P1870" s="637" t="s">
        <v>1156</v>
      </c>
      <c r="Q1870" s="638">
        <v>0</v>
      </c>
      <c r="R1870" s="638">
        <v>0</v>
      </c>
      <c r="S1870" s="638">
        <v>19187</v>
      </c>
      <c r="T1870" s="638">
        <v>19187</v>
      </c>
      <c r="U1870" s="638">
        <v>5623</v>
      </c>
      <c r="V1870" s="636">
        <v>2022</v>
      </c>
      <c r="W1870" s="640"/>
      <c r="X1870" s="641">
        <f t="shared" si="87"/>
        <v>3.4122354614974215</v>
      </c>
      <c r="Y1870" s="642" t="str">
        <f t="shared" si="88"/>
        <v/>
      </c>
      <c r="Z1870" s="642" t="str">
        <f t="shared" si="86"/>
        <v/>
      </c>
    </row>
    <row r="1871" spans="1:26" s="127" customFormat="1" ht="25">
      <c r="A1871" s="636">
        <v>62498</v>
      </c>
      <c r="B1871" s="637" t="s">
        <v>33</v>
      </c>
      <c r="C1871" s="636" t="s">
        <v>2725</v>
      </c>
      <c r="D1871" s="637" t="s">
        <v>3302</v>
      </c>
      <c r="E1871" s="637" t="s">
        <v>2782</v>
      </c>
      <c r="F1871" s="636">
        <v>61194</v>
      </c>
      <c r="G1871" s="637" t="s">
        <v>57</v>
      </c>
      <c r="H1871" s="637" t="s">
        <v>1162</v>
      </c>
      <c r="I1871" s="637" t="s">
        <v>58</v>
      </c>
      <c r="J1871" s="636">
        <v>22</v>
      </c>
      <c r="K1871" s="636">
        <v>2</v>
      </c>
      <c r="L1871" s="637" t="s">
        <v>52</v>
      </c>
      <c r="M1871" s="637" t="s">
        <v>441</v>
      </c>
      <c r="N1871" s="637" t="s">
        <v>442</v>
      </c>
      <c r="O1871" s="637" t="s">
        <v>442</v>
      </c>
      <c r="P1871" s="637" t="s">
        <v>1156</v>
      </c>
      <c r="Q1871" s="638">
        <v>0</v>
      </c>
      <c r="R1871" s="638">
        <v>0</v>
      </c>
      <c r="S1871" s="638">
        <v>9912</v>
      </c>
      <c r="T1871" s="638">
        <v>9912</v>
      </c>
      <c r="U1871" s="638">
        <v>2905</v>
      </c>
      <c r="V1871" s="636">
        <v>2022</v>
      </c>
      <c r="W1871" s="640"/>
      <c r="X1871" s="641">
        <f t="shared" si="87"/>
        <v>3.4120481927710844</v>
      </c>
      <c r="Y1871" s="642" t="str">
        <f t="shared" si="88"/>
        <v/>
      </c>
      <c r="Z1871" s="642" t="str">
        <f t="shared" si="86"/>
        <v/>
      </c>
    </row>
    <row r="1872" spans="1:26" s="127" customFormat="1" ht="25">
      <c r="A1872" s="636">
        <v>62500</v>
      </c>
      <c r="B1872" s="637" t="s">
        <v>33</v>
      </c>
      <c r="C1872" s="636" t="s">
        <v>2725</v>
      </c>
      <c r="D1872" s="637" t="s">
        <v>3637</v>
      </c>
      <c r="E1872" s="637" t="s">
        <v>2782</v>
      </c>
      <c r="F1872" s="636">
        <v>61194</v>
      </c>
      <c r="G1872" s="637" t="s">
        <v>57</v>
      </c>
      <c r="H1872" s="637" t="s">
        <v>1162</v>
      </c>
      <c r="I1872" s="637" t="s">
        <v>58</v>
      </c>
      <c r="J1872" s="636">
        <v>22</v>
      </c>
      <c r="K1872" s="636">
        <v>2</v>
      </c>
      <c r="L1872" s="637" t="s">
        <v>52</v>
      </c>
      <c r="M1872" s="637" t="s">
        <v>441</v>
      </c>
      <c r="N1872" s="637" t="s">
        <v>442</v>
      </c>
      <c r="O1872" s="637" t="s">
        <v>442</v>
      </c>
      <c r="P1872" s="637" t="s">
        <v>1156</v>
      </c>
      <c r="Q1872" s="638">
        <v>0</v>
      </c>
      <c r="R1872" s="638">
        <v>0</v>
      </c>
      <c r="S1872" s="638">
        <v>9895</v>
      </c>
      <c r="T1872" s="638">
        <v>9895</v>
      </c>
      <c r="U1872" s="638">
        <v>2900</v>
      </c>
      <c r="V1872" s="636">
        <v>2022</v>
      </c>
      <c r="W1872" s="640"/>
      <c r="X1872" s="641">
        <f t="shared" si="87"/>
        <v>3.4120689655172414</v>
      </c>
      <c r="Y1872" s="642" t="str">
        <f t="shared" si="88"/>
        <v/>
      </c>
      <c r="Z1872" s="642" t="str">
        <f t="shared" ref="Z1872:Z1935" si="89">IF(AND($M1872=$Y$2,$N1872=$Y$4,NOT($Q1872=$R1872),NOT($U1872=0)),IF($K1872=5,$S1872/($U1872+(8/5)*$U1872),IF($K1872=7,$S1872/($U1872+(29/25)*$U1872),"")),"")</f>
        <v/>
      </c>
    </row>
    <row r="1873" spans="1:26" s="127" customFormat="1" ht="25">
      <c r="A1873" s="636">
        <v>62502</v>
      </c>
      <c r="B1873" s="637" t="s">
        <v>33</v>
      </c>
      <c r="C1873" s="636" t="s">
        <v>2725</v>
      </c>
      <c r="D1873" s="637" t="s">
        <v>3638</v>
      </c>
      <c r="E1873" s="637" t="s">
        <v>2782</v>
      </c>
      <c r="F1873" s="636">
        <v>61194</v>
      </c>
      <c r="G1873" s="637" t="s">
        <v>57</v>
      </c>
      <c r="H1873" s="637" t="s">
        <v>1162</v>
      </c>
      <c r="I1873" s="637" t="s">
        <v>58</v>
      </c>
      <c r="J1873" s="636">
        <v>22</v>
      </c>
      <c r="K1873" s="636">
        <v>2</v>
      </c>
      <c r="L1873" s="637" t="s">
        <v>52</v>
      </c>
      <c r="M1873" s="637" t="s">
        <v>441</v>
      </c>
      <c r="N1873" s="637" t="s">
        <v>442</v>
      </c>
      <c r="O1873" s="637" t="s">
        <v>442</v>
      </c>
      <c r="P1873" s="637" t="s">
        <v>1156</v>
      </c>
      <c r="Q1873" s="638">
        <v>0</v>
      </c>
      <c r="R1873" s="638">
        <v>0</v>
      </c>
      <c r="S1873" s="638">
        <v>23778</v>
      </c>
      <c r="T1873" s="638">
        <v>23778</v>
      </c>
      <c r="U1873" s="638">
        <v>6969</v>
      </c>
      <c r="V1873" s="636">
        <v>2022</v>
      </c>
      <c r="W1873" s="640"/>
      <c r="X1873" s="641">
        <f t="shared" si="87"/>
        <v>3.4119672836848904</v>
      </c>
      <c r="Y1873" s="642" t="str">
        <f t="shared" si="88"/>
        <v/>
      </c>
      <c r="Z1873" s="642" t="str">
        <f t="shared" si="89"/>
        <v/>
      </c>
    </row>
    <row r="1874" spans="1:26" s="127" customFormat="1" ht="25">
      <c r="A1874" s="636">
        <v>62503</v>
      </c>
      <c r="B1874" s="637" t="s">
        <v>33</v>
      </c>
      <c r="C1874" s="636" t="s">
        <v>2725</v>
      </c>
      <c r="D1874" s="637" t="s">
        <v>2427</v>
      </c>
      <c r="E1874" s="637" t="s">
        <v>1995</v>
      </c>
      <c r="F1874" s="636">
        <v>60584</v>
      </c>
      <c r="G1874" s="637" t="s">
        <v>81</v>
      </c>
      <c r="H1874" s="637" t="s">
        <v>1163</v>
      </c>
      <c r="I1874" s="637" t="s">
        <v>58</v>
      </c>
      <c r="J1874" s="636">
        <v>22</v>
      </c>
      <c r="K1874" s="636">
        <v>2</v>
      </c>
      <c r="L1874" s="637" t="s">
        <v>52</v>
      </c>
      <c r="M1874" s="637" t="s">
        <v>441</v>
      </c>
      <c r="N1874" s="637" t="s">
        <v>442</v>
      </c>
      <c r="O1874" s="637" t="s">
        <v>442</v>
      </c>
      <c r="P1874" s="637" t="s">
        <v>1156</v>
      </c>
      <c r="Q1874" s="638">
        <v>0</v>
      </c>
      <c r="R1874" s="638">
        <v>0</v>
      </c>
      <c r="S1874" s="638">
        <v>11347</v>
      </c>
      <c r="T1874" s="638">
        <v>11347</v>
      </c>
      <c r="U1874" s="638">
        <v>3326</v>
      </c>
      <c r="V1874" s="636">
        <v>2022</v>
      </c>
      <c r="W1874" s="640"/>
      <c r="X1874" s="641">
        <f t="shared" si="87"/>
        <v>3.4116055321707757</v>
      </c>
      <c r="Y1874" s="642" t="str">
        <f t="shared" si="88"/>
        <v/>
      </c>
      <c r="Z1874" s="642" t="str">
        <f t="shared" si="89"/>
        <v/>
      </c>
    </row>
    <row r="1875" spans="1:26" s="127" customFormat="1" ht="25">
      <c r="A1875" s="636">
        <v>62504</v>
      </c>
      <c r="B1875" s="637" t="s">
        <v>33</v>
      </c>
      <c r="C1875" s="636" t="s">
        <v>2725</v>
      </c>
      <c r="D1875" s="637" t="s">
        <v>3063</v>
      </c>
      <c r="E1875" s="637" t="s">
        <v>3064</v>
      </c>
      <c r="F1875" s="636">
        <v>63244</v>
      </c>
      <c r="G1875" s="637" t="s">
        <v>57</v>
      </c>
      <c r="H1875" s="637" t="s">
        <v>1162</v>
      </c>
      <c r="I1875" s="637" t="s">
        <v>58</v>
      </c>
      <c r="J1875" s="636">
        <v>22</v>
      </c>
      <c r="K1875" s="636">
        <v>2</v>
      </c>
      <c r="L1875" s="637" t="s">
        <v>52</v>
      </c>
      <c r="M1875" s="637" t="s">
        <v>441</v>
      </c>
      <c r="N1875" s="637" t="s">
        <v>442</v>
      </c>
      <c r="O1875" s="637" t="s">
        <v>442</v>
      </c>
      <c r="P1875" s="637" t="s">
        <v>1156</v>
      </c>
      <c r="Q1875" s="638">
        <v>0</v>
      </c>
      <c r="R1875" s="638">
        <v>0</v>
      </c>
      <c r="S1875" s="638">
        <v>8561</v>
      </c>
      <c r="T1875" s="638">
        <v>8561</v>
      </c>
      <c r="U1875" s="638">
        <v>2509</v>
      </c>
      <c r="V1875" s="636">
        <v>2022</v>
      </c>
      <c r="W1875" s="640"/>
      <c r="X1875" s="641">
        <f t="shared" si="87"/>
        <v>3.412116381028298</v>
      </c>
      <c r="Y1875" s="642" t="str">
        <f t="shared" si="88"/>
        <v/>
      </c>
      <c r="Z1875" s="642" t="str">
        <f t="shared" si="89"/>
        <v/>
      </c>
    </row>
    <row r="1876" spans="1:26" s="127" customFormat="1" ht="25">
      <c r="A1876" s="636">
        <v>62507</v>
      </c>
      <c r="B1876" s="637" t="s">
        <v>33</v>
      </c>
      <c r="C1876" s="636" t="s">
        <v>2725</v>
      </c>
      <c r="D1876" s="637" t="s">
        <v>3065</v>
      </c>
      <c r="E1876" s="637" t="s">
        <v>3064</v>
      </c>
      <c r="F1876" s="636">
        <v>63244</v>
      </c>
      <c r="G1876" s="637" t="s">
        <v>57</v>
      </c>
      <c r="H1876" s="637" t="s">
        <v>1162</v>
      </c>
      <c r="I1876" s="637" t="s">
        <v>58</v>
      </c>
      <c r="J1876" s="636">
        <v>22</v>
      </c>
      <c r="K1876" s="636">
        <v>2</v>
      </c>
      <c r="L1876" s="637" t="s">
        <v>52</v>
      </c>
      <c r="M1876" s="637" t="s">
        <v>441</v>
      </c>
      <c r="N1876" s="637" t="s">
        <v>442</v>
      </c>
      <c r="O1876" s="637" t="s">
        <v>442</v>
      </c>
      <c r="P1876" s="637" t="s">
        <v>1156</v>
      </c>
      <c r="Q1876" s="638">
        <v>0</v>
      </c>
      <c r="R1876" s="638">
        <v>0</v>
      </c>
      <c r="S1876" s="638">
        <v>21836</v>
      </c>
      <c r="T1876" s="638">
        <v>21836</v>
      </c>
      <c r="U1876" s="638">
        <v>6400</v>
      </c>
      <c r="V1876" s="636">
        <v>2022</v>
      </c>
      <c r="W1876" s="640"/>
      <c r="X1876" s="641">
        <f t="shared" si="87"/>
        <v>3.4118750000000002</v>
      </c>
      <c r="Y1876" s="642" t="str">
        <f t="shared" si="88"/>
        <v/>
      </c>
      <c r="Z1876" s="642" t="str">
        <f t="shared" si="89"/>
        <v/>
      </c>
    </row>
    <row r="1877" spans="1:26" s="127" customFormat="1" ht="25">
      <c r="A1877" s="636">
        <v>62508</v>
      </c>
      <c r="B1877" s="637" t="s">
        <v>33</v>
      </c>
      <c r="C1877" s="636" t="s">
        <v>2725</v>
      </c>
      <c r="D1877" s="637" t="s">
        <v>3066</v>
      </c>
      <c r="E1877" s="637" t="s">
        <v>3064</v>
      </c>
      <c r="F1877" s="636">
        <v>63244</v>
      </c>
      <c r="G1877" s="637" t="s">
        <v>57</v>
      </c>
      <c r="H1877" s="637" t="s">
        <v>1162</v>
      </c>
      <c r="I1877" s="637" t="s">
        <v>58</v>
      </c>
      <c r="J1877" s="636">
        <v>22</v>
      </c>
      <c r="K1877" s="636">
        <v>2</v>
      </c>
      <c r="L1877" s="637" t="s">
        <v>52</v>
      </c>
      <c r="M1877" s="637" t="s">
        <v>441</v>
      </c>
      <c r="N1877" s="637" t="s">
        <v>442</v>
      </c>
      <c r="O1877" s="637" t="s">
        <v>442</v>
      </c>
      <c r="P1877" s="637" t="s">
        <v>1156</v>
      </c>
      <c r="Q1877" s="638">
        <v>0</v>
      </c>
      <c r="R1877" s="638">
        <v>0</v>
      </c>
      <c r="S1877" s="638">
        <v>16105</v>
      </c>
      <c r="T1877" s="638">
        <v>16105</v>
      </c>
      <c r="U1877" s="638">
        <v>4720</v>
      </c>
      <c r="V1877" s="636">
        <v>2022</v>
      </c>
      <c r="W1877" s="640"/>
      <c r="X1877" s="641">
        <f t="shared" si="87"/>
        <v>3.4120762711864407</v>
      </c>
      <c r="Y1877" s="642" t="str">
        <f t="shared" si="88"/>
        <v/>
      </c>
      <c r="Z1877" s="642" t="str">
        <f t="shared" si="89"/>
        <v/>
      </c>
    </row>
    <row r="1878" spans="1:26" s="127" customFormat="1" ht="25">
      <c r="A1878" s="636">
        <v>62517</v>
      </c>
      <c r="B1878" s="637" t="s">
        <v>33</v>
      </c>
      <c r="C1878" s="636" t="s">
        <v>2725</v>
      </c>
      <c r="D1878" s="637" t="s">
        <v>3639</v>
      </c>
      <c r="E1878" s="637" t="s">
        <v>2782</v>
      </c>
      <c r="F1878" s="636">
        <v>61194</v>
      </c>
      <c r="G1878" s="637" t="s">
        <v>57</v>
      </c>
      <c r="H1878" s="637" t="s">
        <v>1162</v>
      </c>
      <c r="I1878" s="637" t="s">
        <v>58</v>
      </c>
      <c r="J1878" s="636">
        <v>22</v>
      </c>
      <c r="K1878" s="636">
        <v>2</v>
      </c>
      <c r="L1878" s="637" t="s">
        <v>52</v>
      </c>
      <c r="M1878" s="637" t="s">
        <v>441</v>
      </c>
      <c r="N1878" s="637" t="s">
        <v>442</v>
      </c>
      <c r="O1878" s="637" t="s">
        <v>442</v>
      </c>
      <c r="P1878" s="637" t="s">
        <v>1156</v>
      </c>
      <c r="Q1878" s="638">
        <v>0</v>
      </c>
      <c r="R1878" s="638">
        <v>0</v>
      </c>
      <c r="S1878" s="638">
        <v>126</v>
      </c>
      <c r="T1878" s="638">
        <v>126</v>
      </c>
      <c r="U1878" s="638">
        <v>37</v>
      </c>
      <c r="V1878" s="636">
        <v>2022</v>
      </c>
      <c r="W1878" s="640"/>
      <c r="X1878" s="641">
        <f t="shared" si="87"/>
        <v>3.4054054054054053</v>
      </c>
      <c r="Y1878" s="642" t="str">
        <f t="shared" si="88"/>
        <v/>
      </c>
      <c r="Z1878" s="642" t="str">
        <f t="shared" si="89"/>
        <v/>
      </c>
    </row>
    <row r="1879" spans="1:26" s="127" customFormat="1" ht="25">
      <c r="A1879" s="636">
        <v>62518</v>
      </c>
      <c r="B1879" s="637" t="s">
        <v>33</v>
      </c>
      <c r="C1879" s="636" t="s">
        <v>2725</v>
      </c>
      <c r="D1879" s="637" t="s">
        <v>3640</v>
      </c>
      <c r="E1879" s="637" t="s">
        <v>2782</v>
      </c>
      <c r="F1879" s="636">
        <v>61194</v>
      </c>
      <c r="G1879" s="637" t="s">
        <v>57</v>
      </c>
      <c r="H1879" s="637" t="s">
        <v>1162</v>
      </c>
      <c r="I1879" s="637" t="s">
        <v>58</v>
      </c>
      <c r="J1879" s="636">
        <v>22</v>
      </c>
      <c r="K1879" s="636">
        <v>2</v>
      </c>
      <c r="L1879" s="637" t="s">
        <v>52</v>
      </c>
      <c r="M1879" s="637" t="s">
        <v>441</v>
      </c>
      <c r="N1879" s="637" t="s">
        <v>442</v>
      </c>
      <c r="O1879" s="637" t="s">
        <v>442</v>
      </c>
      <c r="P1879" s="637" t="s">
        <v>1156</v>
      </c>
      <c r="Q1879" s="638">
        <v>0</v>
      </c>
      <c r="R1879" s="638">
        <v>0</v>
      </c>
      <c r="S1879" s="638">
        <v>123</v>
      </c>
      <c r="T1879" s="638">
        <v>123</v>
      </c>
      <c r="U1879" s="638">
        <v>36</v>
      </c>
      <c r="V1879" s="636">
        <v>2022</v>
      </c>
      <c r="W1879" s="640"/>
      <c r="X1879" s="641">
        <f t="shared" si="87"/>
        <v>3.4166666666666665</v>
      </c>
      <c r="Y1879" s="642" t="str">
        <f t="shared" si="88"/>
        <v/>
      </c>
      <c r="Z1879" s="642" t="str">
        <f t="shared" si="89"/>
        <v/>
      </c>
    </row>
    <row r="1880" spans="1:26" s="127" customFormat="1" ht="25">
      <c r="A1880" s="636">
        <v>62519</v>
      </c>
      <c r="B1880" s="637" t="s">
        <v>33</v>
      </c>
      <c r="C1880" s="636" t="s">
        <v>2725</v>
      </c>
      <c r="D1880" s="637" t="s">
        <v>3641</v>
      </c>
      <c r="E1880" s="637" t="s">
        <v>2782</v>
      </c>
      <c r="F1880" s="636">
        <v>61194</v>
      </c>
      <c r="G1880" s="637" t="s">
        <v>57</v>
      </c>
      <c r="H1880" s="637" t="s">
        <v>1162</v>
      </c>
      <c r="I1880" s="637" t="s">
        <v>58</v>
      </c>
      <c r="J1880" s="636">
        <v>22</v>
      </c>
      <c r="K1880" s="636">
        <v>2</v>
      </c>
      <c r="L1880" s="637" t="s">
        <v>52</v>
      </c>
      <c r="M1880" s="637" t="s">
        <v>441</v>
      </c>
      <c r="N1880" s="637" t="s">
        <v>442</v>
      </c>
      <c r="O1880" s="637" t="s">
        <v>442</v>
      </c>
      <c r="P1880" s="637" t="s">
        <v>1156</v>
      </c>
      <c r="Q1880" s="638">
        <v>0</v>
      </c>
      <c r="R1880" s="638">
        <v>0</v>
      </c>
      <c r="S1880" s="638">
        <v>82</v>
      </c>
      <c r="T1880" s="638">
        <v>82</v>
      </c>
      <c r="U1880" s="638">
        <v>24</v>
      </c>
      <c r="V1880" s="636">
        <v>2022</v>
      </c>
      <c r="W1880" s="640"/>
      <c r="X1880" s="641">
        <f t="shared" si="87"/>
        <v>3.4166666666666665</v>
      </c>
      <c r="Y1880" s="642" t="str">
        <f t="shared" si="88"/>
        <v/>
      </c>
      <c r="Z1880" s="642" t="str">
        <f t="shared" si="89"/>
        <v/>
      </c>
    </row>
    <row r="1881" spans="1:26" s="127" customFormat="1" ht="25">
      <c r="A1881" s="636">
        <v>62521</v>
      </c>
      <c r="B1881" s="637" t="s">
        <v>33</v>
      </c>
      <c r="C1881" s="636" t="s">
        <v>2725</v>
      </c>
      <c r="D1881" s="637" t="s">
        <v>3067</v>
      </c>
      <c r="E1881" s="637" t="s">
        <v>3064</v>
      </c>
      <c r="F1881" s="636">
        <v>63244</v>
      </c>
      <c r="G1881" s="637" t="s">
        <v>57</v>
      </c>
      <c r="H1881" s="637" t="s">
        <v>1162</v>
      </c>
      <c r="I1881" s="637" t="s">
        <v>58</v>
      </c>
      <c r="J1881" s="636">
        <v>22</v>
      </c>
      <c r="K1881" s="636">
        <v>2</v>
      </c>
      <c r="L1881" s="637" t="s">
        <v>52</v>
      </c>
      <c r="M1881" s="637" t="s">
        <v>441</v>
      </c>
      <c r="N1881" s="637" t="s">
        <v>442</v>
      </c>
      <c r="O1881" s="637" t="s">
        <v>442</v>
      </c>
      <c r="P1881" s="637" t="s">
        <v>1156</v>
      </c>
      <c r="Q1881" s="638">
        <v>0</v>
      </c>
      <c r="R1881" s="638">
        <v>0</v>
      </c>
      <c r="S1881" s="638">
        <v>8528</v>
      </c>
      <c r="T1881" s="638">
        <v>8528</v>
      </c>
      <c r="U1881" s="638">
        <v>2500</v>
      </c>
      <c r="V1881" s="636">
        <v>2022</v>
      </c>
      <c r="W1881" s="640"/>
      <c r="X1881" s="641">
        <f t="shared" si="87"/>
        <v>3.4112</v>
      </c>
      <c r="Y1881" s="642" t="str">
        <f t="shared" si="88"/>
        <v/>
      </c>
      <c r="Z1881" s="642" t="str">
        <f t="shared" si="89"/>
        <v/>
      </c>
    </row>
    <row r="1882" spans="1:26" s="127" customFormat="1" ht="25">
      <c r="A1882" s="636">
        <v>62524</v>
      </c>
      <c r="B1882" s="637" t="s">
        <v>33</v>
      </c>
      <c r="C1882" s="636" t="s">
        <v>2725</v>
      </c>
      <c r="D1882" s="637" t="s">
        <v>3303</v>
      </c>
      <c r="E1882" s="637" t="s">
        <v>3064</v>
      </c>
      <c r="F1882" s="636">
        <v>63244</v>
      </c>
      <c r="G1882" s="637" t="s">
        <v>57</v>
      </c>
      <c r="H1882" s="637" t="s">
        <v>1162</v>
      </c>
      <c r="I1882" s="637" t="s">
        <v>58</v>
      </c>
      <c r="J1882" s="636">
        <v>22</v>
      </c>
      <c r="K1882" s="636">
        <v>2</v>
      </c>
      <c r="L1882" s="637" t="s">
        <v>52</v>
      </c>
      <c r="M1882" s="637" t="s">
        <v>441</v>
      </c>
      <c r="N1882" s="637" t="s">
        <v>442</v>
      </c>
      <c r="O1882" s="637" t="s">
        <v>442</v>
      </c>
      <c r="P1882" s="637" t="s">
        <v>1156</v>
      </c>
      <c r="Q1882" s="638">
        <v>0</v>
      </c>
      <c r="R1882" s="638">
        <v>0</v>
      </c>
      <c r="S1882" s="638">
        <v>21255</v>
      </c>
      <c r="T1882" s="638">
        <v>21255</v>
      </c>
      <c r="U1882" s="638">
        <v>6230</v>
      </c>
      <c r="V1882" s="636">
        <v>2022</v>
      </c>
      <c r="W1882" s="640"/>
      <c r="X1882" s="641">
        <f t="shared" si="87"/>
        <v>3.4117174959871588</v>
      </c>
      <c r="Y1882" s="642" t="str">
        <f t="shared" si="88"/>
        <v/>
      </c>
      <c r="Z1882" s="642" t="str">
        <f t="shared" si="89"/>
        <v/>
      </c>
    </row>
    <row r="1883" spans="1:26" s="127" customFormat="1" ht="25">
      <c r="A1883" s="636">
        <v>62525</v>
      </c>
      <c r="B1883" s="637" t="s">
        <v>33</v>
      </c>
      <c r="C1883" s="636" t="s">
        <v>2725</v>
      </c>
      <c r="D1883" s="637" t="s">
        <v>3068</v>
      </c>
      <c r="E1883" s="637" t="s">
        <v>2782</v>
      </c>
      <c r="F1883" s="636">
        <v>61194</v>
      </c>
      <c r="G1883" s="637" t="s">
        <v>57</v>
      </c>
      <c r="H1883" s="637" t="s">
        <v>1162</v>
      </c>
      <c r="I1883" s="637" t="s">
        <v>58</v>
      </c>
      <c r="J1883" s="636">
        <v>22</v>
      </c>
      <c r="K1883" s="636">
        <v>2</v>
      </c>
      <c r="L1883" s="637" t="s">
        <v>52</v>
      </c>
      <c r="M1883" s="637" t="s">
        <v>441</v>
      </c>
      <c r="N1883" s="637" t="s">
        <v>442</v>
      </c>
      <c r="O1883" s="637" t="s">
        <v>442</v>
      </c>
      <c r="P1883" s="637" t="s">
        <v>1156</v>
      </c>
      <c r="Q1883" s="638">
        <v>0</v>
      </c>
      <c r="R1883" s="638">
        <v>0</v>
      </c>
      <c r="S1883" s="638">
        <v>10497</v>
      </c>
      <c r="T1883" s="638">
        <v>10497</v>
      </c>
      <c r="U1883" s="638">
        <v>3076</v>
      </c>
      <c r="V1883" s="636">
        <v>2022</v>
      </c>
      <c r="W1883" s="640"/>
      <c r="X1883" s="641">
        <f t="shared" si="87"/>
        <v>3.4125487646293888</v>
      </c>
      <c r="Y1883" s="642" t="str">
        <f t="shared" si="88"/>
        <v/>
      </c>
      <c r="Z1883" s="642" t="str">
        <f t="shared" si="89"/>
        <v/>
      </c>
    </row>
    <row r="1884" spans="1:26" s="127" customFormat="1" ht="25">
      <c r="A1884" s="636">
        <v>62526</v>
      </c>
      <c r="B1884" s="637" t="s">
        <v>33</v>
      </c>
      <c r="C1884" s="636" t="s">
        <v>2725</v>
      </c>
      <c r="D1884" s="637" t="s">
        <v>3069</v>
      </c>
      <c r="E1884" s="637" t="s">
        <v>2782</v>
      </c>
      <c r="F1884" s="636">
        <v>61194</v>
      </c>
      <c r="G1884" s="637" t="s">
        <v>57</v>
      </c>
      <c r="H1884" s="637" t="s">
        <v>1162</v>
      </c>
      <c r="I1884" s="637" t="s">
        <v>58</v>
      </c>
      <c r="J1884" s="636">
        <v>22</v>
      </c>
      <c r="K1884" s="636">
        <v>2</v>
      </c>
      <c r="L1884" s="637" t="s">
        <v>52</v>
      </c>
      <c r="M1884" s="637" t="s">
        <v>441</v>
      </c>
      <c r="N1884" s="637" t="s">
        <v>442</v>
      </c>
      <c r="O1884" s="637" t="s">
        <v>442</v>
      </c>
      <c r="P1884" s="637" t="s">
        <v>1156</v>
      </c>
      <c r="Q1884" s="638">
        <v>0</v>
      </c>
      <c r="R1884" s="638">
        <v>0</v>
      </c>
      <c r="S1884" s="638">
        <v>10059</v>
      </c>
      <c r="T1884" s="638">
        <v>10059</v>
      </c>
      <c r="U1884" s="638">
        <v>2948</v>
      </c>
      <c r="V1884" s="636">
        <v>2022</v>
      </c>
      <c r="W1884" s="640"/>
      <c r="X1884" s="641">
        <f t="shared" si="87"/>
        <v>3.4121438263229309</v>
      </c>
      <c r="Y1884" s="642" t="str">
        <f t="shared" si="88"/>
        <v/>
      </c>
      <c r="Z1884" s="642" t="str">
        <f t="shared" si="89"/>
        <v/>
      </c>
    </row>
    <row r="1885" spans="1:26" s="127" customFormat="1" ht="25">
      <c r="A1885" s="636">
        <v>62527</v>
      </c>
      <c r="B1885" s="637" t="s">
        <v>33</v>
      </c>
      <c r="C1885" s="636" t="s">
        <v>2725</v>
      </c>
      <c r="D1885" s="637" t="s">
        <v>2815</v>
      </c>
      <c r="E1885" s="637" t="s">
        <v>2368</v>
      </c>
      <c r="F1885" s="636">
        <v>61610</v>
      </c>
      <c r="G1885" s="637" t="s">
        <v>57</v>
      </c>
      <c r="H1885" s="637" t="s">
        <v>1162</v>
      </c>
      <c r="I1885" s="637" t="s">
        <v>58</v>
      </c>
      <c r="J1885" s="636">
        <v>22</v>
      </c>
      <c r="K1885" s="636">
        <v>2</v>
      </c>
      <c r="L1885" s="637" t="s">
        <v>52</v>
      </c>
      <c r="M1885" s="637" t="s">
        <v>441</v>
      </c>
      <c r="N1885" s="637" t="s">
        <v>442</v>
      </c>
      <c r="O1885" s="637" t="s">
        <v>442</v>
      </c>
      <c r="P1885" s="637" t="s">
        <v>1156</v>
      </c>
      <c r="Q1885" s="638">
        <v>0</v>
      </c>
      <c r="R1885" s="638">
        <v>0</v>
      </c>
      <c r="S1885" s="638">
        <v>7411</v>
      </c>
      <c r="T1885" s="638">
        <v>7411</v>
      </c>
      <c r="U1885" s="638">
        <v>2172</v>
      </c>
      <c r="V1885" s="636">
        <v>2022</v>
      </c>
      <c r="W1885" s="640"/>
      <c r="X1885" s="641">
        <f t="shared" si="87"/>
        <v>3.4120626151012892</v>
      </c>
      <c r="Y1885" s="642" t="str">
        <f t="shared" si="88"/>
        <v/>
      </c>
      <c r="Z1885" s="642" t="str">
        <f t="shared" si="89"/>
        <v/>
      </c>
    </row>
    <row r="1886" spans="1:26" s="127" customFormat="1" ht="25">
      <c r="A1886" s="636">
        <v>62528</v>
      </c>
      <c r="B1886" s="637" t="s">
        <v>33</v>
      </c>
      <c r="C1886" s="636" t="s">
        <v>2725</v>
      </c>
      <c r="D1886" s="637" t="s">
        <v>2816</v>
      </c>
      <c r="E1886" s="637" t="s">
        <v>2368</v>
      </c>
      <c r="F1886" s="636">
        <v>61610</v>
      </c>
      <c r="G1886" s="637" t="s">
        <v>57</v>
      </c>
      <c r="H1886" s="637" t="s">
        <v>1162</v>
      </c>
      <c r="I1886" s="637" t="s">
        <v>58</v>
      </c>
      <c r="J1886" s="636">
        <v>22</v>
      </c>
      <c r="K1886" s="636">
        <v>2</v>
      </c>
      <c r="L1886" s="637" t="s">
        <v>52</v>
      </c>
      <c r="M1886" s="637" t="s">
        <v>441</v>
      </c>
      <c r="N1886" s="637" t="s">
        <v>442</v>
      </c>
      <c r="O1886" s="637" t="s">
        <v>442</v>
      </c>
      <c r="P1886" s="637" t="s">
        <v>1156</v>
      </c>
      <c r="Q1886" s="638">
        <v>0</v>
      </c>
      <c r="R1886" s="638">
        <v>0</v>
      </c>
      <c r="S1886" s="638">
        <v>9100</v>
      </c>
      <c r="T1886" s="638">
        <v>9100</v>
      </c>
      <c r="U1886" s="638">
        <v>2667</v>
      </c>
      <c r="V1886" s="636">
        <v>2022</v>
      </c>
      <c r="W1886" s="640"/>
      <c r="X1886" s="641">
        <f t="shared" si="87"/>
        <v>3.4120734908136483</v>
      </c>
      <c r="Y1886" s="642" t="str">
        <f t="shared" si="88"/>
        <v/>
      </c>
      <c r="Z1886" s="642" t="str">
        <f t="shared" si="89"/>
        <v/>
      </c>
    </row>
    <row r="1887" spans="1:26" s="127" customFormat="1" ht="25">
      <c r="A1887" s="636">
        <v>62530</v>
      </c>
      <c r="B1887" s="637" t="s">
        <v>33</v>
      </c>
      <c r="C1887" s="636" t="s">
        <v>2725</v>
      </c>
      <c r="D1887" s="637" t="s">
        <v>2817</v>
      </c>
      <c r="E1887" s="637" t="s">
        <v>2818</v>
      </c>
      <c r="F1887" s="636">
        <v>62630</v>
      </c>
      <c r="G1887" s="637" t="s">
        <v>57</v>
      </c>
      <c r="H1887" s="637" t="s">
        <v>1162</v>
      </c>
      <c r="I1887" s="637" t="s">
        <v>58</v>
      </c>
      <c r="J1887" s="636">
        <v>22</v>
      </c>
      <c r="K1887" s="636">
        <v>2</v>
      </c>
      <c r="L1887" s="637" t="s">
        <v>52</v>
      </c>
      <c r="M1887" s="637" t="s">
        <v>441</v>
      </c>
      <c r="N1887" s="637" t="s">
        <v>442</v>
      </c>
      <c r="O1887" s="637" t="s">
        <v>442</v>
      </c>
      <c r="P1887" s="637" t="s">
        <v>1156</v>
      </c>
      <c r="Q1887" s="638">
        <v>0</v>
      </c>
      <c r="R1887" s="638">
        <v>0</v>
      </c>
      <c r="S1887" s="638">
        <v>11224</v>
      </c>
      <c r="T1887" s="638">
        <v>11224</v>
      </c>
      <c r="U1887" s="638">
        <v>3290</v>
      </c>
      <c r="V1887" s="636">
        <v>2022</v>
      </c>
      <c r="W1887" s="640"/>
      <c r="X1887" s="641">
        <f t="shared" si="87"/>
        <v>3.4115501519756837</v>
      </c>
      <c r="Y1887" s="642" t="str">
        <f t="shared" si="88"/>
        <v/>
      </c>
      <c r="Z1887" s="642" t="str">
        <f t="shared" si="89"/>
        <v/>
      </c>
    </row>
    <row r="1888" spans="1:26" s="127" customFormat="1" ht="25">
      <c r="A1888" s="636">
        <v>62531</v>
      </c>
      <c r="B1888" s="637" t="s">
        <v>33</v>
      </c>
      <c r="C1888" s="636" t="s">
        <v>2725</v>
      </c>
      <c r="D1888" s="637" t="s">
        <v>2819</v>
      </c>
      <c r="E1888" s="637" t="s">
        <v>2820</v>
      </c>
      <c r="F1888" s="636">
        <v>62631</v>
      </c>
      <c r="G1888" s="637" t="s">
        <v>57</v>
      </c>
      <c r="H1888" s="637" t="s">
        <v>1162</v>
      </c>
      <c r="I1888" s="637" t="s">
        <v>58</v>
      </c>
      <c r="J1888" s="636">
        <v>22</v>
      </c>
      <c r="K1888" s="636">
        <v>2</v>
      </c>
      <c r="L1888" s="637" t="s">
        <v>52</v>
      </c>
      <c r="M1888" s="637" t="s">
        <v>441</v>
      </c>
      <c r="N1888" s="637" t="s">
        <v>442</v>
      </c>
      <c r="O1888" s="637" t="s">
        <v>442</v>
      </c>
      <c r="P1888" s="637" t="s">
        <v>1156</v>
      </c>
      <c r="Q1888" s="638">
        <v>0</v>
      </c>
      <c r="R1888" s="638">
        <v>0</v>
      </c>
      <c r="S1888" s="638">
        <v>11301</v>
      </c>
      <c r="T1888" s="638">
        <v>11301</v>
      </c>
      <c r="U1888" s="638">
        <v>3312</v>
      </c>
      <c r="V1888" s="636">
        <v>2022</v>
      </c>
      <c r="W1888" s="640"/>
      <c r="X1888" s="641">
        <f t="shared" si="87"/>
        <v>3.4121376811594204</v>
      </c>
      <c r="Y1888" s="642" t="str">
        <f t="shared" si="88"/>
        <v/>
      </c>
      <c r="Z1888" s="642" t="str">
        <f t="shared" si="89"/>
        <v/>
      </c>
    </row>
    <row r="1889" spans="1:26" s="127" customFormat="1" ht="25">
      <c r="A1889" s="636">
        <v>62532</v>
      </c>
      <c r="B1889" s="637" t="s">
        <v>33</v>
      </c>
      <c r="C1889" s="636" t="s">
        <v>2725</v>
      </c>
      <c r="D1889" s="637" t="s">
        <v>2821</v>
      </c>
      <c r="E1889" s="637" t="s">
        <v>2822</v>
      </c>
      <c r="F1889" s="636">
        <v>62632</v>
      </c>
      <c r="G1889" s="637" t="s">
        <v>57</v>
      </c>
      <c r="H1889" s="637" t="s">
        <v>1162</v>
      </c>
      <c r="I1889" s="637" t="s">
        <v>58</v>
      </c>
      <c r="J1889" s="636">
        <v>22</v>
      </c>
      <c r="K1889" s="636">
        <v>2</v>
      </c>
      <c r="L1889" s="637" t="s">
        <v>52</v>
      </c>
      <c r="M1889" s="637" t="s">
        <v>441</v>
      </c>
      <c r="N1889" s="637" t="s">
        <v>442</v>
      </c>
      <c r="O1889" s="637" t="s">
        <v>442</v>
      </c>
      <c r="P1889" s="637" t="s">
        <v>1156</v>
      </c>
      <c r="Q1889" s="638">
        <v>0</v>
      </c>
      <c r="R1889" s="638">
        <v>0</v>
      </c>
      <c r="S1889" s="638">
        <v>11172</v>
      </c>
      <c r="T1889" s="638">
        <v>11172</v>
      </c>
      <c r="U1889" s="638">
        <v>3274</v>
      </c>
      <c r="V1889" s="636">
        <v>2022</v>
      </c>
      <c r="W1889" s="640"/>
      <c r="X1889" s="641">
        <f t="shared" si="87"/>
        <v>3.4123396456933417</v>
      </c>
      <c r="Y1889" s="642" t="str">
        <f t="shared" si="88"/>
        <v/>
      </c>
      <c r="Z1889" s="642" t="str">
        <f t="shared" si="89"/>
        <v/>
      </c>
    </row>
    <row r="1890" spans="1:26" s="127" customFormat="1" ht="25">
      <c r="A1890" s="636">
        <v>62533</v>
      </c>
      <c r="B1890" s="637" t="s">
        <v>33</v>
      </c>
      <c r="C1890" s="636" t="s">
        <v>2725</v>
      </c>
      <c r="D1890" s="637" t="s">
        <v>3070</v>
      </c>
      <c r="E1890" s="637" t="s">
        <v>2782</v>
      </c>
      <c r="F1890" s="636">
        <v>61194</v>
      </c>
      <c r="G1890" s="637" t="s">
        <v>57</v>
      </c>
      <c r="H1890" s="637" t="s">
        <v>1162</v>
      </c>
      <c r="I1890" s="637" t="s">
        <v>58</v>
      </c>
      <c r="J1890" s="636">
        <v>22</v>
      </c>
      <c r="K1890" s="636">
        <v>2</v>
      </c>
      <c r="L1890" s="637" t="s">
        <v>52</v>
      </c>
      <c r="M1890" s="637" t="s">
        <v>441</v>
      </c>
      <c r="N1890" s="637" t="s">
        <v>442</v>
      </c>
      <c r="O1890" s="637" t="s">
        <v>442</v>
      </c>
      <c r="P1890" s="637" t="s">
        <v>1156</v>
      </c>
      <c r="Q1890" s="638">
        <v>0</v>
      </c>
      <c r="R1890" s="638">
        <v>0</v>
      </c>
      <c r="S1890" s="638">
        <v>10643</v>
      </c>
      <c r="T1890" s="638">
        <v>10643</v>
      </c>
      <c r="U1890" s="638">
        <v>3119</v>
      </c>
      <c r="V1890" s="636">
        <v>2022</v>
      </c>
      <c r="W1890" s="640"/>
      <c r="X1890" s="641">
        <f t="shared" si="87"/>
        <v>3.4123116383456238</v>
      </c>
      <c r="Y1890" s="642" t="str">
        <f t="shared" si="88"/>
        <v/>
      </c>
      <c r="Z1890" s="642" t="str">
        <f t="shared" si="89"/>
        <v/>
      </c>
    </row>
    <row r="1891" spans="1:26" s="127" customFormat="1" ht="25">
      <c r="A1891" s="636">
        <v>62549</v>
      </c>
      <c r="B1891" s="637" t="s">
        <v>33</v>
      </c>
      <c r="C1891" s="636" t="s">
        <v>2725</v>
      </c>
      <c r="D1891" s="637" t="s">
        <v>2823</v>
      </c>
      <c r="E1891" s="637" t="s">
        <v>2428</v>
      </c>
      <c r="F1891" s="636">
        <v>62052</v>
      </c>
      <c r="G1891" s="637" t="s">
        <v>57</v>
      </c>
      <c r="H1891" s="637" t="s">
        <v>1162</v>
      </c>
      <c r="I1891" s="637" t="s">
        <v>58</v>
      </c>
      <c r="J1891" s="636">
        <v>22</v>
      </c>
      <c r="K1891" s="636">
        <v>2</v>
      </c>
      <c r="L1891" s="637" t="s">
        <v>52</v>
      </c>
      <c r="M1891" s="637" t="s">
        <v>441</v>
      </c>
      <c r="N1891" s="637" t="s">
        <v>442</v>
      </c>
      <c r="O1891" s="637" t="s">
        <v>442</v>
      </c>
      <c r="P1891" s="637" t="s">
        <v>1156</v>
      </c>
      <c r="Q1891" s="638">
        <v>0</v>
      </c>
      <c r="R1891" s="638">
        <v>0</v>
      </c>
      <c r="S1891" s="638">
        <v>8649</v>
      </c>
      <c r="T1891" s="638">
        <v>8649</v>
      </c>
      <c r="U1891" s="638">
        <v>2535</v>
      </c>
      <c r="V1891" s="636">
        <v>2022</v>
      </c>
      <c r="W1891" s="640"/>
      <c r="X1891" s="641">
        <f t="shared" si="87"/>
        <v>3.4118343195266272</v>
      </c>
      <c r="Y1891" s="642" t="str">
        <f t="shared" si="88"/>
        <v/>
      </c>
      <c r="Z1891" s="642" t="str">
        <f t="shared" si="89"/>
        <v/>
      </c>
    </row>
    <row r="1892" spans="1:26" s="127" customFormat="1" ht="25">
      <c r="A1892" s="636">
        <v>62550</v>
      </c>
      <c r="B1892" s="637" t="s">
        <v>33</v>
      </c>
      <c r="C1892" s="636" t="s">
        <v>2725</v>
      </c>
      <c r="D1892" s="637" t="s">
        <v>2429</v>
      </c>
      <c r="E1892" s="637" t="s">
        <v>2430</v>
      </c>
      <c r="F1892" s="636">
        <v>62053</v>
      </c>
      <c r="G1892" s="637" t="s">
        <v>81</v>
      </c>
      <c r="H1892" s="637" t="s">
        <v>1163</v>
      </c>
      <c r="I1892" s="637" t="s">
        <v>58</v>
      </c>
      <c r="J1892" s="636">
        <v>22</v>
      </c>
      <c r="K1892" s="636">
        <v>2</v>
      </c>
      <c r="L1892" s="637" t="s">
        <v>52</v>
      </c>
      <c r="M1892" s="637" t="s">
        <v>441</v>
      </c>
      <c r="N1892" s="637" t="s">
        <v>442</v>
      </c>
      <c r="O1892" s="637" t="s">
        <v>442</v>
      </c>
      <c r="P1892" s="637" t="s">
        <v>1156</v>
      </c>
      <c r="Q1892" s="638">
        <v>0</v>
      </c>
      <c r="R1892" s="638">
        <v>0</v>
      </c>
      <c r="S1892" s="638">
        <v>11503</v>
      </c>
      <c r="T1892" s="638">
        <v>11503</v>
      </c>
      <c r="U1892" s="638">
        <v>3371</v>
      </c>
      <c r="V1892" s="636">
        <v>2022</v>
      </c>
      <c r="W1892" s="640"/>
      <c r="X1892" s="641">
        <f t="shared" si="87"/>
        <v>3.4123405517650549</v>
      </c>
      <c r="Y1892" s="642" t="str">
        <f t="shared" si="88"/>
        <v/>
      </c>
      <c r="Z1892" s="642" t="str">
        <f t="shared" si="89"/>
        <v/>
      </c>
    </row>
    <row r="1893" spans="1:26" s="127" customFormat="1" ht="25">
      <c r="A1893" s="636">
        <v>62551</v>
      </c>
      <c r="B1893" s="637" t="s">
        <v>33</v>
      </c>
      <c r="C1893" s="636" t="s">
        <v>2725</v>
      </c>
      <c r="D1893" s="637" t="s">
        <v>2431</v>
      </c>
      <c r="E1893" s="637" t="s">
        <v>2431</v>
      </c>
      <c r="F1893" s="636">
        <v>62054</v>
      </c>
      <c r="G1893" s="637" t="s">
        <v>130</v>
      </c>
      <c r="H1893" s="637" t="s">
        <v>1163</v>
      </c>
      <c r="I1893" s="637" t="s">
        <v>58</v>
      </c>
      <c r="J1893" s="636">
        <v>22</v>
      </c>
      <c r="K1893" s="636">
        <v>2</v>
      </c>
      <c r="L1893" s="637" t="s">
        <v>52</v>
      </c>
      <c r="M1893" s="637" t="s">
        <v>441</v>
      </c>
      <c r="N1893" s="637" t="s">
        <v>442</v>
      </c>
      <c r="O1893" s="637" t="s">
        <v>442</v>
      </c>
      <c r="P1893" s="637" t="s">
        <v>1156</v>
      </c>
      <c r="Q1893" s="638">
        <v>0</v>
      </c>
      <c r="R1893" s="638">
        <v>0</v>
      </c>
      <c r="S1893" s="638">
        <v>22085</v>
      </c>
      <c r="T1893" s="638">
        <v>22085</v>
      </c>
      <c r="U1893" s="638">
        <v>6473</v>
      </c>
      <c r="V1893" s="636">
        <v>2022</v>
      </c>
      <c r="W1893" s="640"/>
      <c r="X1893" s="641">
        <f t="shared" si="87"/>
        <v>3.411864668623513</v>
      </c>
      <c r="Y1893" s="642" t="str">
        <f t="shared" si="88"/>
        <v/>
      </c>
      <c r="Z1893" s="642" t="str">
        <f t="shared" si="89"/>
        <v/>
      </c>
    </row>
    <row r="1894" spans="1:26" s="127" customFormat="1" ht="25">
      <c r="A1894" s="636">
        <v>62552</v>
      </c>
      <c r="B1894" s="637" t="s">
        <v>33</v>
      </c>
      <c r="C1894" s="636" t="s">
        <v>2725</v>
      </c>
      <c r="D1894" s="637" t="s">
        <v>2432</v>
      </c>
      <c r="E1894" s="637" t="s">
        <v>2433</v>
      </c>
      <c r="F1894" s="636">
        <v>62055</v>
      </c>
      <c r="G1894" s="637" t="s">
        <v>81</v>
      </c>
      <c r="H1894" s="637" t="s">
        <v>1163</v>
      </c>
      <c r="I1894" s="637" t="s">
        <v>58</v>
      </c>
      <c r="J1894" s="636">
        <v>22</v>
      </c>
      <c r="K1894" s="636">
        <v>2</v>
      </c>
      <c r="L1894" s="637" t="s">
        <v>52</v>
      </c>
      <c r="M1894" s="637" t="s">
        <v>441</v>
      </c>
      <c r="N1894" s="637" t="s">
        <v>442</v>
      </c>
      <c r="O1894" s="637" t="s">
        <v>442</v>
      </c>
      <c r="P1894" s="637" t="s">
        <v>1156</v>
      </c>
      <c r="Q1894" s="638">
        <v>0</v>
      </c>
      <c r="R1894" s="638">
        <v>0</v>
      </c>
      <c r="S1894" s="638">
        <v>11789</v>
      </c>
      <c r="T1894" s="638">
        <v>11789</v>
      </c>
      <c r="U1894" s="638">
        <v>3455</v>
      </c>
      <c r="V1894" s="636">
        <v>2022</v>
      </c>
      <c r="W1894" s="640"/>
      <c r="X1894" s="641">
        <f t="shared" si="87"/>
        <v>3.4121562952243125</v>
      </c>
      <c r="Y1894" s="642" t="str">
        <f t="shared" si="88"/>
        <v/>
      </c>
      <c r="Z1894" s="642" t="str">
        <f t="shared" si="89"/>
        <v/>
      </c>
    </row>
    <row r="1895" spans="1:26" s="127" customFormat="1" ht="25">
      <c r="A1895" s="636">
        <v>62556</v>
      </c>
      <c r="B1895" s="637" t="s">
        <v>33</v>
      </c>
      <c r="C1895" s="636" t="s">
        <v>2725</v>
      </c>
      <c r="D1895" s="637" t="s">
        <v>2824</v>
      </c>
      <c r="E1895" s="637" t="s">
        <v>2434</v>
      </c>
      <c r="F1895" s="636">
        <v>62056</v>
      </c>
      <c r="G1895" s="637" t="s">
        <v>57</v>
      </c>
      <c r="H1895" s="637" t="s">
        <v>1162</v>
      </c>
      <c r="I1895" s="637" t="s">
        <v>58</v>
      </c>
      <c r="J1895" s="636">
        <v>22</v>
      </c>
      <c r="K1895" s="636">
        <v>2</v>
      </c>
      <c r="L1895" s="637" t="s">
        <v>52</v>
      </c>
      <c r="M1895" s="637" t="s">
        <v>441</v>
      </c>
      <c r="N1895" s="637" t="s">
        <v>442</v>
      </c>
      <c r="O1895" s="637" t="s">
        <v>442</v>
      </c>
      <c r="P1895" s="637" t="s">
        <v>1156</v>
      </c>
      <c r="Q1895" s="638">
        <v>0</v>
      </c>
      <c r="R1895" s="638">
        <v>0</v>
      </c>
      <c r="S1895" s="638">
        <v>12044</v>
      </c>
      <c r="T1895" s="638">
        <v>12044</v>
      </c>
      <c r="U1895" s="638">
        <v>3530</v>
      </c>
      <c r="V1895" s="636">
        <v>2022</v>
      </c>
      <c r="W1895" s="640"/>
      <c r="X1895" s="641">
        <f t="shared" si="87"/>
        <v>3.4118980169971671</v>
      </c>
      <c r="Y1895" s="642" t="str">
        <f t="shared" si="88"/>
        <v/>
      </c>
      <c r="Z1895" s="642" t="str">
        <f t="shared" si="89"/>
        <v/>
      </c>
    </row>
    <row r="1896" spans="1:26" s="127" customFormat="1" ht="25">
      <c r="A1896" s="636">
        <v>62557</v>
      </c>
      <c r="B1896" s="637" t="s">
        <v>33</v>
      </c>
      <c r="C1896" s="636" t="s">
        <v>2725</v>
      </c>
      <c r="D1896" s="637" t="s">
        <v>2435</v>
      </c>
      <c r="E1896" s="637" t="s">
        <v>2436</v>
      </c>
      <c r="F1896" s="636">
        <v>62057</v>
      </c>
      <c r="G1896" s="637" t="s">
        <v>81</v>
      </c>
      <c r="H1896" s="637" t="s">
        <v>1163</v>
      </c>
      <c r="I1896" s="637" t="s">
        <v>58</v>
      </c>
      <c r="J1896" s="636">
        <v>22</v>
      </c>
      <c r="K1896" s="636">
        <v>2</v>
      </c>
      <c r="L1896" s="637" t="s">
        <v>52</v>
      </c>
      <c r="M1896" s="637" t="s">
        <v>441</v>
      </c>
      <c r="N1896" s="637" t="s">
        <v>442</v>
      </c>
      <c r="O1896" s="637" t="s">
        <v>442</v>
      </c>
      <c r="P1896" s="637" t="s">
        <v>1156</v>
      </c>
      <c r="Q1896" s="638">
        <v>0</v>
      </c>
      <c r="R1896" s="638">
        <v>0</v>
      </c>
      <c r="S1896" s="638">
        <v>25448</v>
      </c>
      <c r="T1896" s="638">
        <v>25448</v>
      </c>
      <c r="U1896" s="638">
        <v>7459</v>
      </c>
      <c r="V1896" s="636">
        <v>2022</v>
      </c>
      <c r="W1896" s="640"/>
      <c r="X1896" s="641">
        <f t="shared" si="87"/>
        <v>3.4117173883898646</v>
      </c>
      <c r="Y1896" s="642" t="str">
        <f t="shared" si="88"/>
        <v/>
      </c>
      <c r="Z1896" s="642" t="str">
        <f t="shared" si="89"/>
        <v/>
      </c>
    </row>
    <row r="1897" spans="1:26" s="127" customFormat="1" ht="25">
      <c r="A1897" s="636">
        <v>62558</v>
      </c>
      <c r="B1897" s="637" t="s">
        <v>33</v>
      </c>
      <c r="C1897" s="636" t="s">
        <v>2725</v>
      </c>
      <c r="D1897" s="637" t="s">
        <v>2437</v>
      </c>
      <c r="E1897" s="637" t="s">
        <v>2437</v>
      </c>
      <c r="F1897" s="636">
        <v>62058</v>
      </c>
      <c r="G1897" s="637" t="s">
        <v>130</v>
      </c>
      <c r="H1897" s="637" t="s">
        <v>1163</v>
      </c>
      <c r="I1897" s="637" t="s">
        <v>58</v>
      </c>
      <c r="J1897" s="636">
        <v>22</v>
      </c>
      <c r="K1897" s="636">
        <v>2</v>
      </c>
      <c r="L1897" s="637" t="s">
        <v>52</v>
      </c>
      <c r="M1897" s="637" t="s">
        <v>441</v>
      </c>
      <c r="N1897" s="637" t="s">
        <v>442</v>
      </c>
      <c r="O1897" s="637" t="s">
        <v>442</v>
      </c>
      <c r="P1897" s="637" t="s">
        <v>1156</v>
      </c>
      <c r="Q1897" s="638">
        <v>0</v>
      </c>
      <c r="R1897" s="638">
        <v>0</v>
      </c>
      <c r="S1897" s="638">
        <v>19806</v>
      </c>
      <c r="T1897" s="638">
        <v>19806</v>
      </c>
      <c r="U1897" s="638">
        <v>5805</v>
      </c>
      <c r="V1897" s="636">
        <v>2022</v>
      </c>
      <c r="W1897" s="640"/>
      <c r="X1897" s="641">
        <f t="shared" si="87"/>
        <v>3.4118863049095607</v>
      </c>
      <c r="Y1897" s="642" t="str">
        <f t="shared" si="88"/>
        <v/>
      </c>
      <c r="Z1897" s="642" t="str">
        <f t="shared" si="89"/>
        <v/>
      </c>
    </row>
    <row r="1898" spans="1:26" s="127" customFormat="1" ht="25">
      <c r="A1898" s="636">
        <v>62559</v>
      </c>
      <c r="B1898" s="637" t="s">
        <v>33</v>
      </c>
      <c r="C1898" s="636" t="s">
        <v>2725</v>
      </c>
      <c r="D1898" s="637" t="s">
        <v>2825</v>
      </c>
      <c r="E1898" s="637" t="s">
        <v>2826</v>
      </c>
      <c r="F1898" s="636">
        <v>62059</v>
      </c>
      <c r="G1898" s="637" t="s">
        <v>81</v>
      </c>
      <c r="H1898" s="637" t="s">
        <v>1163</v>
      </c>
      <c r="I1898" s="637" t="s">
        <v>58</v>
      </c>
      <c r="J1898" s="636">
        <v>22</v>
      </c>
      <c r="K1898" s="636">
        <v>2</v>
      </c>
      <c r="L1898" s="637" t="s">
        <v>52</v>
      </c>
      <c r="M1898" s="637" t="s">
        <v>441</v>
      </c>
      <c r="N1898" s="637" t="s">
        <v>442</v>
      </c>
      <c r="O1898" s="637" t="s">
        <v>442</v>
      </c>
      <c r="P1898" s="637" t="s">
        <v>1156</v>
      </c>
      <c r="Q1898" s="638">
        <v>0</v>
      </c>
      <c r="R1898" s="638">
        <v>0</v>
      </c>
      <c r="S1898" s="638">
        <v>7824</v>
      </c>
      <c r="T1898" s="638">
        <v>7824</v>
      </c>
      <c r="U1898" s="638">
        <v>2293</v>
      </c>
      <c r="V1898" s="636">
        <v>2022</v>
      </c>
      <c r="W1898" s="640"/>
      <c r="X1898" s="641">
        <f t="shared" si="87"/>
        <v>3.4121238552115134</v>
      </c>
      <c r="Y1898" s="642" t="str">
        <f t="shared" si="88"/>
        <v/>
      </c>
      <c r="Z1898" s="642" t="str">
        <f t="shared" si="89"/>
        <v/>
      </c>
    </row>
    <row r="1899" spans="1:26" s="127" customFormat="1" ht="25">
      <c r="A1899" s="636">
        <v>62567</v>
      </c>
      <c r="B1899" s="637" t="s">
        <v>33</v>
      </c>
      <c r="C1899" s="636" t="s">
        <v>2725</v>
      </c>
      <c r="D1899" s="637" t="s">
        <v>2827</v>
      </c>
      <c r="E1899" s="637" t="s">
        <v>2827</v>
      </c>
      <c r="F1899" s="636">
        <v>62062</v>
      </c>
      <c r="G1899" s="637" t="s">
        <v>130</v>
      </c>
      <c r="H1899" s="637" t="s">
        <v>1163</v>
      </c>
      <c r="I1899" s="637" t="s">
        <v>58</v>
      </c>
      <c r="J1899" s="636">
        <v>22</v>
      </c>
      <c r="K1899" s="636">
        <v>2</v>
      </c>
      <c r="L1899" s="637" t="s">
        <v>52</v>
      </c>
      <c r="M1899" s="637" t="s">
        <v>441</v>
      </c>
      <c r="N1899" s="637" t="s">
        <v>442</v>
      </c>
      <c r="O1899" s="637" t="s">
        <v>442</v>
      </c>
      <c r="P1899" s="637" t="s">
        <v>1156</v>
      </c>
      <c r="Q1899" s="638">
        <v>0</v>
      </c>
      <c r="R1899" s="638">
        <v>0</v>
      </c>
      <c r="S1899" s="638">
        <v>6951</v>
      </c>
      <c r="T1899" s="638">
        <v>6951</v>
      </c>
      <c r="U1899" s="638">
        <v>2037</v>
      </c>
      <c r="V1899" s="636">
        <v>2022</v>
      </c>
      <c r="W1899" s="640"/>
      <c r="X1899" s="641">
        <f t="shared" si="87"/>
        <v>3.4123711340206184</v>
      </c>
      <c r="Y1899" s="642" t="str">
        <f t="shared" si="88"/>
        <v/>
      </c>
      <c r="Z1899" s="642" t="str">
        <f t="shared" si="89"/>
        <v/>
      </c>
    </row>
    <row r="1900" spans="1:26" s="127" customFormat="1" ht="25">
      <c r="A1900" s="636">
        <v>62568</v>
      </c>
      <c r="B1900" s="637" t="s">
        <v>33</v>
      </c>
      <c r="C1900" s="636" t="s">
        <v>2725</v>
      </c>
      <c r="D1900" s="637" t="s">
        <v>3071</v>
      </c>
      <c r="E1900" s="637" t="s">
        <v>3071</v>
      </c>
      <c r="F1900" s="636">
        <v>62061</v>
      </c>
      <c r="G1900" s="637" t="s">
        <v>130</v>
      </c>
      <c r="H1900" s="637" t="s">
        <v>1163</v>
      </c>
      <c r="I1900" s="637" t="s">
        <v>58</v>
      </c>
      <c r="J1900" s="636">
        <v>22</v>
      </c>
      <c r="K1900" s="636">
        <v>2</v>
      </c>
      <c r="L1900" s="637" t="s">
        <v>52</v>
      </c>
      <c r="M1900" s="637" t="s">
        <v>441</v>
      </c>
      <c r="N1900" s="637" t="s">
        <v>442</v>
      </c>
      <c r="O1900" s="637" t="s">
        <v>442</v>
      </c>
      <c r="P1900" s="637" t="s">
        <v>1156</v>
      </c>
      <c r="Q1900" s="638">
        <v>0</v>
      </c>
      <c r="R1900" s="638">
        <v>0</v>
      </c>
      <c r="S1900" s="638">
        <v>9540</v>
      </c>
      <c r="T1900" s="638">
        <v>9540</v>
      </c>
      <c r="U1900" s="638">
        <v>2796</v>
      </c>
      <c r="V1900" s="636">
        <v>2022</v>
      </c>
      <c r="W1900" s="640"/>
      <c r="X1900" s="641">
        <f t="shared" si="87"/>
        <v>3.4120171673819741</v>
      </c>
      <c r="Y1900" s="642" t="str">
        <f t="shared" si="88"/>
        <v/>
      </c>
      <c r="Z1900" s="642" t="str">
        <f t="shared" si="89"/>
        <v/>
      </c>
    </row>
    <row r="1901" spans="1:26" s="127" customFormat="1" ht="37.5" hidden="1">
      <c r="A1901" s="636">
        <v>62570</v>
      </c>
      <c r="B1901" s="637" t="s">
        <v>33</v>
      </c>
      <c r="C1901" s="636" t="s">
        <v>2725</v>
      </c>
      <c r="D1901" s="637" t="s">
        <v>2828</v>
      </c>
      <c r="E1901" s="637" t="s">
        <v>2829</v>
      </c>
      <c r="F1901" s="636">
        <v>62069</v>
      </c>
      <c r="G1901" s="637" t="s">
        <v>81</v>
      </c>
      <c r="H1901" s="637" t="s">
        <v>1163</v>
      </c>
      <c r="I1901" s="637" t="s">
        <v>58</v>
      </c>
      <c r="J1901" s="636">
        <v>721</v>
      </c>
      <c r="K1901" s="636">
        <v>4</v>
      </c>
      <c r="L1901" s="637" t="s">
        <v>406</v>
      </c>
      <c r="M1901" s="637" t="s">
        <v>71</v>
      </c>
      <c r="N1901" s="637" t="s">
        <v>72</v>
      </c>
      <c r="O1901" s="637" t="s">
        <v>72</v>
      </c>
      <c r="P1901" s="637" t="s">
        <v>1156</v>
      </c>
      <c r="Q1901" s="638">
        <v>0</v>
      </c>
      <c r="R1901" s="638">
        <v>0</v>
      </c>
      <c r="S1901" s="638">
        <v>0</v>
      </c>
      <c r="T1901" s="638">
        <v>0</v>
      </c>
      <c r="U1901" s="638">
        <v>1</v>
      </c>
      <c r="V1901" s="636">
        <v>2022</v>
      </c>
      <c r="W1901" s="640"/>
      <c r="X1901" s="641" t="str">
        <f t="shared" si="87"/>
        <v/>
      </c>
      <c r="Y1901" s="642" t="str">
        <f t="shared" si="88"/>
        <v/>
      </c>
      <c r="Z1901" s="642" t="str">
        <f t="shared" si="89"/>
        <v/>
      </c>
    </row>
    <row r="1902" spans="1:26" s="127" customFormat="1" ht="25">
      <c r="A1902" s="636">
        <v>62572</v>
      </c>
      <c r="B1902" s="637" t="s">
        <v>33</v>
      </c>
      <c r="C1902" s="636" t="s">
        <v>2725</v>
      </c>
      <c r="D1902" s="637" t="s">
        <v>2438</v>
      </c>
      <c r="E1902" s="637" t="s">
        <v>1761</v>
      </c>
      <c r="F1902" s="636">
        <v>57128</v>
      </c>
      <c r="G1902" s="637" t="s">
        <v>57</v>
      </c>
      <c r="H1902" s="637" t="s">
        <v>1162</v>
      </c>
      <c r="I1902" s="637" t="s">
        <v>58</v>
      </c>
      <c r="J1902" s="636">
        <v>22</v>
      </c>
      <c r="K1902" s="636">
        <v>2</v>
      </c>
      <c r="L1902" s="637" t="s">
        <v>52</v>
      </c>
      <c r="M1902" s="637" t="s">
        <v>1232</v>
      </c>
      <c r="N1902" s="637" t="s">
        <v>39</v>
      </c>
      <c r="O1902" s="637" t="s">
        <v>39</v>
      </c>
      <c r="P1902" s="637" t="s">
        <v>1020</v>
      </c>
      <c r="Q1902" s="638">
        <v>56084</v>
      </c>
      <c r="R1902" s="638">
        <v>56084</v>
      </c>
      <c r="S1902" s="638">
        <v>57207</v>
      </c>
      <c r="T1902" s="638">
        <v>57207</v>
      </c>
      <c r="U1902" s="638">
        <v>7647</v>
      </c>
      <c r="V1902" s="636">
        <v>2022</v>
      </c>
      <c r="W1902" s="640"/>
      <c r="X1902" s="641">
        <f t="shared" si="87"/>
        <v>7.4809729305610047</v>
      </c>
      <c r="Y1902" s="642" t="str">
        <f t="shared" si="88"/>
        <v/>
      </c>
      <c r="Z1902" s="642" t="str">
        <f t="shared" si="89"/>
        <v/>
      </c>
    </row>
    <row r="1903" spans="1:26" s="127" customFormat="1" ht="25">
      <c r="A1903" s="636">
        <v>62576</v>
      </c>
      <c r="B1903" s="637" t="s">
        <v>33</v>
      </c>
      <c r="C1903" s="636" t="s">
        <v>2725</v>
      </c>
      <c r="D1903" s="637" t="s">
        <v>2439</v>
      </c>
      <c r="E1903" s="637" t="s">
        <v>1761</v>
      </c>
      <c r="F1903" s="636">
        <v>57128</v>
      </c>
      <c r="G1903" s="637" t="s">
        <v>57</v>
      </c>
      <c r="H1903" s="637" t="s">
        <v>1162</v>
      </c>
      <c r="I1903" s="637" t="s">
        <v>58</v>
      </c>
      <c r="J1903" s="636">
        <v>22</v>
      </c>
      <c r="K1903" s="636">
        <v>2</v>
      </c>
      <c r="L1903" s="637" t="s">
        <v>52</v>
      </c>
      <c r="M1903" s="637" t="s">
        <v>1232</v>
      </c>
      <c r="N1903" s="637" t="s">
        <v>39</v>
      </c>
      <c r="O1903" s="637" t="s">
        <v>39</v>
      </c>
      <c r="P1903" s="637" t="s">
        <v>1020</v>
      </c>
      <c r="Q1903" s="638">
        <v>58416</v>
      </c>
      <c r="R1903" s="638">
        <v>58416</v>
      </c>
      <c r="S1903" s="638">
        <v>59585</v>
      </c>
      <c r="T1903" s="638">
        <v>59585</v>
      </c>
      <c r="U1903" s="638">
        <v>8233</v>
      </c>
      <c r="V1903" s="636">
        <v>2022</v>
      </c>
      <c r="W1903" s="640"/>
      <c r="X1903" s="641">
        <f t="shared" si="87"/>
        <v>7.2373375440301224</v>
      </c>
      <c r="Y1903" s="642" t="str">
        <f t="shared" si="88"/>
        <v/>
      </c>
      <c r="Z1903" s="642" t="str">
        <f t="shared" si="89"/>
        <v/>
      </c>
    </row>
    <row r="1904" spans="1:26" s="127" customFormat="1" ht="25">
      <c r="A1904" s="636">
        <v>62579</v>
      </c>
      <c r="B1904" s="637" t="s">
        <v>33</v>
      </c>
      <c r="C1904" s="636" t="s">
        <v>2725</v>
      </c>
      <c r="D1904" s="637" t="s">
        <v>2830</v>
      </c>
      <c r="E1904" s="637" t="s">
        <v>2831</v>
      </c>
      <c r="F1904" s="636">
        <v>62070</v>
      </c>
      <c r="G1904" s="637" t="s">
        <v>81</v>
      </c>
      <c r="H1904" s="637" t="s">
        <v>1163</v>
      </c>
      <c r="I1904" s="637" t="s">
        <v>58</v>
      </c>
      <c r="J1904" s="636">
        <v>22</v>
      </c>
      <c r="K1904" s="636">
        <v>2</v>
      </c>
      <c r="L1904" s="637" t="s">
        <v>52</v>
      </c>
      <c r="M1904" s="637" t="s">
        <v>441</v>
      </c>
      <c r="N1904" s="637" t="s">
        <v>442</v>
      </c>
      <c r="O1904" s="637" t="s">
        <v>442</v>
      </c>
      <c r="P1904" s="637" t="s">
        <v>1156</v>
      </c>
      <c r="Q1904" s="638">
        <v>0</v>
      </c>
      <c r="R1904" s="638">
        <v>0</v>
      </c>
      <c r="S1904" s="638">
        <v>11884</v>
      </c>
      <c r="T1904" s="638">
        <v>11884</v>
      </c>
      <c r="U1904" s="638">
        <v>3483</v>
      </c>
      <c r="V1904" s="636">
        <v>2022</v>
      </c>
      <c r="W1904" s="640"/>
      <c r="X1904" s="641">
        <f t="shared" si="87"/>
        <v>3.412001148435257</v>
      </c>
      <c r="Y1904" s="642" t="str">
        <f t="shared" si="88"/>
        <v/>
      </c>
      <c r="Z1904" s="642" t="str">
        <f t="shared" si="89"/>
        <v/>
      </c>
    </row>
    <row r="1905" spans="1:26" s="127" customFormat="1" ht="25">
      <c r="A1905" s="636">
        <v>62580</v>
      </c>
      <c r="B1905" s="637" t="s">
        <v>33</v>
      </c>
      <c r="C1905" s="636" t="s">
        <v>2725</v>
      </c>
      <c r="D1905" s="637" t="s">
        <v>2440</v>
      </c>
      <c r="E1905" s="637" t="s">
        <v>2441</v>
      </c>
      <c r="F1905" s="636">
        <v>62071</v>
      </c>
      <c r="G1905" s="637" t="s">
        <v>57</v>
      </c>
      <c r="H1905" s="637" t="s">
        <v>1162</v>
      </c>
      <c r="I1905" s="637" t="s">
        <v>58</v>
      </c>
      <c r="J1905" s="636">
        <v>22</v>
      </c>
      <c r="K1905" s="636">
        <v>2</v>
      </c>
      <c r="L1905" s="637" t="s">
        <v>52</v>
      </c>
      <c r="M1905" s="637" t="s">
        <v>441</v>
      </c>
      <c r="N1905" s="637" t="s">
        <v>442</v>
      </c>
      <c r="O1905" s="637" t="s">
        <v>442</v>
      </c>
      <c r="P1905" s="637" t="s">
        <v>1156</v>
      </c>
      <c r="Q1905" s="638">
        <v>0</v>
      </c>
      <c r="R1905" s="638">
        <v>0</v>
      </c>
      <c r="S1905" s="638">
        <v>22598</v>
      </c>
      <c r="T1905" s="638">
        <v>22598</v>
      </c>
      <c r="U1905" s="638">
        <v>6623</v>
      </c>
      <c r="V1905" s="636">
        <v>2022</v>
      </c>
      <c r="W1905" s="640"/>
      <c r="X1905" s="641">
        <f t="shared" si="87"/>
        <v>3.4120489204288087</v>
      </c>
      <c r="Y1905" s="642" t="str">
        <f t="shared" si="88"/>
        <v/>
      </c>
      <c r="Z1905" s="642" t="str">
        <f t="shared" si="89"/>
        <v/>
      </c>
    </row>
    <row r="1906" spans="1:26" s="127" customFormat="1" ht="25">
      <c r="A1906" s="636">
        <v>62581</v>
      </c>
      <c r="B1906" s="637" t="s">
        <v>33</v>
      </c>
      <c r="C1906" s="636" t="s">
        <v>2725</v>
      </c>
      <c r="D1906" s="637" t="s">
        <v>2832</v>
      </c>
      <c r="E1906" s="637" t="s">
        <v>1731</v>
      </c>
      <c r="F1906" s="636">
        <v>59254</v>
      </c>
      <c r="G1906" s="637" t="s">
        <v>81</v>
      </c>
      <c r="H1906" s="637" t="s">
        <v>1163</v>
      </c>
      <c r="I1906" s="637" t="s">
        <v>58</v>
      </c>
      <c r="J1906" s="636">
        <v>22</v>
      </c>
      <c r="K1906" s="636">
        <v>2</v>
      </c>
      <c r="L1906" s="637" t="s">
        <v>52</v>
      </c>
      <c r="M1906" s="637" t="s">
        <v>441</v>
      </c>
      <c r="N1906" s="637" t="s">
        <v>442</v>
      </c>
      <c r="O1906" s="637" t="s">
        <v>442</v>
      </c>
      <c r="P1906" s="637" t="s">
        <v>1156</v>
      </c>
      <c r="Q1906" s="638">
        <v>0</v>
      </c>
      <c r="R1906" s="638">
        <v>0</v>
      </c>
      <c r="S1906" s="638">
        <v>18025</v>
      </c>
      <c r="T1906" s="638">
        <v>18025</v>
      </c>
      <c r="U1906" s="638">
        <v>5283</v>
      </c>
      <c r="V1906" s="636">
        <v>2022</v>
      </c>
      <c r="W1906" s="640"/>
      <c r="X1906" s="641">
        <f t="shared" si="87"/>
        <v>3.4118871853113761</v>
      </c>
      <c r="Y1906" s="642" t="str">
        <f t="shared" si="88"/>
        <v/>
      </c>
      <c r="Z1906" s="642" t="str">
        <f t="shared" si="89"/>
        <v/>
      </c>
    </row>
    <row r="1907" spans="1:26" s="127" customFormat="1" ht="25">
      <c r="A1907" s="636">
        <v>62582</v>
      </c>
      <c r="B1907" s="637" t="s">
        <v>33</v>
      </c>
      <c r="C1907" s="636" t="s">
        <v>2725</v>
      </c>
      <c r="D1907" s="637" t="s">
        <v>2833</v>
      </c>
      <c r="E1907" s="637" t="s">
        <v>2834</v>
      </c>
      <c r="F1907" s="636">
        <v>62072</v>
      </c>
      <c r="G1907" s="637" t="s">
        <v>57</v>
      </c>
      <c r="H1907" s="637" t="s">
        <v>1162</v>
      </c>
      <c r="I1907" s="637" t="s">
        <v>58</v>
      </c>
      <c r="J1907" s="636">
        <v>22</v>
      </c>
      <c r="K1907" s="636">
        <v>2</v>
      </c>
      <c r="L1907" s="637" t="s">
        <v>52</v>
      </c>
      <c r="M1907" s="637" t="s">
        <v>441</v>
      </c>
      <c r="N1907" s="637" t="s">
        <v>442</v>
      </c>
      <c r="O1907" s="637" t="s">
        <v>442</v>
      </c>
      <c r="P1907" s="637" t="s">
        <v>1156</v>
      </c>
      <c r="Q1907" s="638">
        <v>0</v>
      </c>
      <c r="R1907" s="638">
        <v>0</v>
      </c>
      <c r="S1907" s="638">
        <v>30518</v>
      </c>
      <c r="T1907" s="638">
        <v>30518</v>
      </c>
      <c r="U1907" s="638">
        <v>8944</v>
      </c>
      <c r="V1907" s="636">
        <v>2022</v>
      </c>
      <c r="W1907" s="640"/>
      <c r="X1907" s="641">
        <f t="shared" si="87"/>
        <v>3.4121198568872986</v>
      </c>
      <c r="Y1907" s="642" t="str">
        <f t="shared" si="88"/>
        <v/>
      </c>
      <c r="Z1907" s="642" t="str">
        <f t="shared" si="89"/>
        <v/>
      </c>
    </row>
    <row r="1908" spans="1:26" s="127" customFormat="1" ht="25">
      <c r="A1908" s="636">
        <v>62583</v>
      </c>
      <c r="B1908" s="637" t="s">
        <v>33</v>
      </c>
      <c r="C1908" s="636" t="s">
        <v>2725</v>
      </c>
      <c r="D1908" s="637" t="s">
        <v>2442</v>
      </c>
      <c r="E1908" s="637" t="s">
        <v>2442</v>
      </c>
      <c r="F1908" s="636">
        <v>62073</v>
      </c>
      <c r="G1908" s="637" t="s">
        <v>81</v>
      </c>
      <c r="H1908" s="637" t="s">
        <v>1163</v>
      </c>
      <c r="I1908" s="637" t="s">
        <v>58</v>
      </c>
      <c r="J1908" s="636">
        <v>22</v>
      </c>
      <c r="K1908" s="636">
        <v>2</v>
      </c>
      <c r="L1908" s="637" t="s">
        <v>52</v>
      </c>
      <c r="M1908" s="637" t="s">
        <v>441</v>
      </c>
      <c r="N1908" s="637" t="s">
        <v>442</v>
      </c>
      <c r="O1908" s="637" t="s">
        <v>442</v>
      </c>
      <c r="P1908" s="637" t="s">
        <v>1156</v>
      </c>
      <c r="Q1908" s="638">
        <v>0</v>
      </c>
      <c r="R1908" s="638">
        <v>0</v>
      </c>
      <c r="S1908" s="638">
        <v>26909</v>
      </c>
      <c r="T1908" s="638">
        <v>26909</v>
      </c>
      <c r="U1908" s="638">
        <v>7886</v>
      </c>
      <c r="V1908" s="636">
        <v>2022</v>
      </c>
      <c r="W1908" s="640"/>
      <c r="X1908" s="641">
        <f t="shared" si="87"/>
        <v>3.4122495561755009</v>
      </c>
      <c r="Y1908" s="642" t="str">
        <f t="shared" si="88"/>
        <v/>
      </c>
      <c r="Z1908" s="642" t="str">
        <f t="shared" si="89"/>
        <v/>
      </c>
    </row>
    <row r="1909" spans="1:26" s="127" customFormat="1" ht="25">
      <c r="A1909" s="636">
        <v>62585</v>
      </c>
      <c r="B1909" s="637" t="s">
        <v>33</v>
      </c>
      <c r="C1909" s="636" t="s">
        <v>2725</v>
      </c>
      <c r="D1909" s="637" t="s">
        <v>2835</v>
      </c>
      <c r="E1909" s="637" t="s">
        <v>366</v>
      </c>
      <c r="F1909" s="636">
        <v>11806</v>
      </c>
      <c r="G1909" s="637" t="s">
        <v>81</v>
      </c>
      <c r="H1909" s="637" t="s">
        <v>1163</v>
      </c>
      <c r="I1909" s="637" t="s">
        <v>58</v>
      </c>
      <c r="J1909" s="636">
        <v>22</v>
      </c>
      <c r="K1909" s="636">
        <v>1</v>
      </c>
      <c r="L1909" s="637" t="s">
        <v>34</v>
      </c>
      <c r="M1909" s="637" t="s">
        <v>1852</v>
      </c>
      <c r="N1909" s="637" t="s">
        <v>1035</v>
      </c>
      <c r="O1909" s="637" t="s">
        <v>82</v>
      </c>
      <c r="P1909" s="637" t="s">
        <v>2726</v>
      </c>
      <c r="Q1909" s="638">
        <v>223</v>
      </c>
      <c r="R1909" s="638">
        <v>223</v>
      </c>
      <c r="S1909" s="638">
        <v>0</v>
      </c>
      <c r="T1909" s="638">
        <v>0</v>
      </c>
      <c r="U1909" s="638">
        <v>-68</v>
      </c>
      <c r="V1909" s="636">
        <v>2022</v>
      </c>
      <c r="W1909" s="640"/>
      <c r="X1909" s="641" t="str">
        <f t="shared" si="87"/>
        <v/>
      </c>
      <c r="Y1909" s="642" t="str">
        <f t="shared" si="88"/>
        <v/>
      </c>
      <c r="Z1909" s="642" t="str">
        <f t="shared" si="89"/>
        <v/>
      </c>
    </row>
    <row r="1910" spans="1:26" s="127" customFormat="1" ht="37.5" hidden="1">
      <c r="A1910" s="636">
        <v>62589</v>
      </c>
      <c r="B1910" s="637" t="s">
        <v>33</v>
      </c>
      <c r="C1910" s="636" t="s">
        <v>2725</v>
      </c>
      <c r="D1910" s="637" t="s">
        <v>2836</v>
      </c>
      <c r="E1910" s="637" t="s">
        <v>2836</v>
      </c>
      <c r="F1910" s="636">
        <v>62087</v>
      </c>
      <c r="G1910" s="637" t="s">
        <v>57</v>
      </c>
      <c r="H1910" s="637" t="s">
        <v>1162</v>
      </c>
      <c r="I1910" s="637" t="s">
        <v>58</v>
      </c>
      <c r="J1910" s="636">
        <v>622</v>
      </c>
      <c r="K1910" s="636">
        <v>4</v>
      </c>
      <c r="L1910" s="637" t="s">
        <v>406</v>
      </c>
      <c r="M1910" s="637" t="s">
        <v>51</v>
      </c>
      <c r="N1910" s="637" t="s">
        <v>46</v>
      </c>
      <c r="O1910" s="637" t="s">
        <v>46</v>
      </c>
      <c r="P1910" s="637" t="s">
        <v>47</v>
      </c>
      <c r="Q1910" s="638">
        <v>24</v>
      </c>
      <c r="R1910" s="638">
        <v>24</v>
      </c>
      <c r="S1910" s="638">
        <v>132</v>
      </c>
      <c r="T1910" s="638">
        <v>132</v>
      </c>
      <c r="U1910" s="638">
        <v>12</v>
      </c>
      <c r="V1910" s="636">
        <v>2022</v>
      </c>
      <c r="W1910" s="640"/>
      <c r="X1910" s="641" t="str">
        <f t="shared" si="87"/>
        <v/>
      </c>
      <c r="Y1910" s="642" t="str">
        <f t="shared" si="88"/>
        <v/>
      </c>
      <c r="Z1910" s="642" t="str">
        <f t="shared" si="89"/>
        <v/>
      </c>
    </row>
    <row r="1911" spans="1:26" s="127" customFormat="1" ht="25">
      <c r="A1911" s="636">
        <v>62604</v>
      </c>
      <c r="B1911" s="637" t="s">
        <v>33</v>
      </c>
      <c r="C1911" s="636" t="s">
        <v>2725</v>
      </c>
      <c r="D1911" s="637" t="s">
        <v>3642</v>
      </c>
      <c r="E1911" s="637" t="s">
        <v>3643</v>
      </c>
      <c r="F1911" s="636">
        <v>59497</v>
      </c>
      <c r="G1911" s="637" t="s">
        <v>81</v>
      </c>
      <c r="H1911" s="637" t="s">
        <v>1163</v>
      </c>
      <c r="I1911" s="637" t="s">
        <v>58</v>
      </c>
      <c r="J1911" s="636">
        <v>22</v>
      </c>
      <c r="K1911" s="636">
        <v>2</v>
      </c>
      <c r="L1911" s="637" t="s">
        <v>52</v>
      </c>
      <c r="M1911" s="637" t="s">
        <v>1852</v>
      </c>
      <c r="N1911" s="637" t="s">
        <v>1035</v>
      </c>
      <c r="O1911" s="637" t="s">
        <v>82</v>
      </c>
      <c r="P1911" s="637" t="s">
        <v>2726</v>
      </c>
      <c r="Q1911" s="638">
        <v>196</v>
      </c>
      <c r="R1911" s="638">
        <v>196</v>
      </c>
      <c r="S1911" s="638">
        <v>0</v>
      </c>
      <c r="T1911" s="638">
        <v>0</v>
      </c>
      <c r="U1911" s="638">
        <v>-78</v>
      </c>
      <c r="V1911" s="636">
        <v>2022</v>
      </c>
      <c r="W1911" s="640"/>
      <c r="X1911" s="641" t="str">
        <f t="shared" si="87"/>
        <v/>
      </c>
      <c r="Y1911" s="642" t="str">
        <f t="shared" si="88"/>
        <v/>
      </c>
      <c r="Z1911" s="642" t="str">
        <f t="shared" si="89"/>
        <v/>
      </c>
    </row>
    <row r="1912" spans="1:26" s="127" customFormat="1" ht="25">
      <c r="A1912" s="636">
        <v>62613</v>
      </c>
      <c r="B1912" s="637" t="s">
        <v>33</v>
      </c>
      <c r="C1912" s="636" t="s">
        <v>2725</v>
      </c>
      <c r="D1912" s="637" t="s">
        <v>2443</v>
      </c>
      <c r="E1912" s="637" t="s">
        <v>2444</v>
      </c>
      <c r="F1912" s="636">
        <v>62067</v>
      </c>
      <c r="G1912" s="637" t="s">
        <v>57</v>
      </c>
      <c r="H1912" s="637" t="s">
        <v>1162</v>
      </c>
      <c r="I1912" s="637" t="s">
        <v>58</v>
      </c>
      <c r="J1912" s="636">
        <v>22</v>
      </c>
      <c r="K1912" s="636">
        <v>2</v>
      </c>
      <c r="L1912" s="637" t="s">
        <v>52</v>
      </c>
      <c r="M1912" s="637" t="s">
        <v>441</v>
      </c>
      <c r="N1912" s="637" t="s">
        <v>442</v>
      </c>
      <c r="O1912" s="637" t="s">
        <v>442</v>
      </c>
      <c r="P1912" s="637" t="s">
        <v>1156</v>
      </c>
      <c r="Q1912" s="638">
        <v>0</v>
      </c>
      <c r="R1912" s="638">
        <v>0</v>
      </c>
      <c r="S1912" s="638">
        <v>8571</v>
      </c>
      <c r="T1912" s="638">
        <v>8571</v>
      </c>
      <c r="U1912" s="638">
        <v>2512</v>
      </c>
      <c r="V1912" s="636">
        <v>2022</v>
      </c>
      <c r="W1912" s="640"/>
      <c r="X1912" s="641">
        <f t="shared" si="87"/>
        <v>3.4120222929936306</v>
      </c>
      <c r="Y1912" s="642" t="str">
        <f t="shared" si="88"/>
        <v/>
      </c>
      <c r="Z1912" s="642" t="str">
        <f t="shared" si="89"/>
        <v/>
      </c>
    </row>
    <row r="1913" spans="1:26" s="127" customFormat="1" ht="25">
      <c r="A1913" s="636">
        <v>62614</v>
      </c>
      <c r="B1913" s="637" t="s">
        <v>33</v>
      </c>
      <c r="C1913" s="636" t="s">
        <v>2725</v>
      </c>
      <c r="D1913" s="637" t="s">
        <v>2445</v>
      </c>
      <c r="E1913" s="637" t="s">
        <v>2444</v>
      </c>
      <c r="F1913" s="636">
        <v>62067</v>
      </c>
      <c r="G1913" s="637" t="s">
        <v>57</v>
      </c>
      <c r="H1913" s="637" t="s">
        <v>1162</v>
      </c>
      <c r="I1913" s="637" t="s">
        <v>58</v>
      </c>
      <c r="J1913" s="636">
        <v>22</v>
      </c>
      <c r="K1913" s="636">
        <v>2</v>
      </c>
      <c r="L1913" s="637" t="s">
        <v>52</v>
      </c>
      <c r="M1913" s="637" t="s">
        <v>441</v>
      </c>
      <c r="N1913" s="637" t="s">
        <v>442</v>
      </c>
      <c r="O1913" s="637" t="s">
        <v>442</v>
      </c>
      <c r="P1913" s="637" t="s">
        <v>1156</v>
      </c>
      <c r="Q1913" s="638">
        <v>0</v>
      </c>
      <c r="R1913" s="638">
        <v>0</v>
      </c>
      <c r="S1913" s="638">
        <v>13495</v>
      </c>
      <c r="T1913" s="638">
        <v>13495</v>
      </c>
      <c r="U1913" s="638">
        <v>3955</v>
      </c>
      <c r="V1913" s="636">
        <v>2022</v>
      </c>
      <c r="W1913" s="640"/>
      <c r="X1913" s="641">
        <f t="shared" si="87"/>
        <v>3.4121365360303413</v>
      </c>
      <c r="Y1913" s="642" t="str">
        <f t="shared" si="88"/>
        <v/>
      </c>
      <c r="Z1913" s="642" t="str">
        <f t="shared" si="89"/>
        <v/>
      </c>
    </row>
    <row r="1914" spans="1:26" s="127" customFormat="1" ht="37.5" hidden="1">
      <c r="A1914" s="636">
        <v>62619</v>
      </c>
      <c r="B1914" s="637" t="s">
        <v>33</v>
      </c>
      <c r="C1914" s="636" t="s">
        <v>2725</v>
      </c>
      <c r="D1914" s="637" t="s">
        <v>2837</v>
      </c>
      <c r="E1914" s="637" t="s">
        <v>2837</v>
      </c>
      <c r="F1914" s="636">
        <v>62110</v>
      </c>
      <c r="G1914" s="637" t="s">
        <v>57</v>
      </c>
      <c r="H1914" s="637" t="s">
        <v>1162</v>
      </c>
      <c r="I1914" s="637" t="s">
        <v>58</v>
      </c>
      <c r="J1914" s="636">
        <v>622</v>
      </c>
      <c r="K1914" s="636">
        <v>4</v>
      </c>
      <c r="L1914" s="637" t="s">
        <v>406</v>
      </c>
      <c r="M1914" s="637" t="s">
        <v>51</v>
      </c>
      <c r="N1914" s="637" t="s">
        <v>46</v>
      </c>
      <c r="O1914" s="637" t="s">
        <v>46</v>
      </c>
      <c r="P1914" s="637" t="s">
        <v>47</v>
      </c>
      <c r="Q1914" s="638">
        <v>41</v>
      </c>
      <c r="R1914" s="638">
        <v>41</v>
      </c>
      <c r="S1914" s="638">
        <v>226</v>
      </c>
      <c r="T1914" s="638">
        <v>226</v>
      </c>
      <c r="U1914" s="638">
        <v>0</v>
      </c>
      <c r="V1914" s="636">
        <v>2022</v>
      </c>
      <c r="W1914" s="640"/>
      <c r="X1914" s="641" t="str">
        <f t="shared" si="87"/>
        <v/>
      </c>
      <c r="Y1914" s="642" t="str">
        <f t="shared" si="88"/>
        <v/>
      </c>
      <c r="Z1914" s="642" t="str">
        <f t="shared" si="89"/>
        <v/>
      </c>
    </row>
    <row r="1915" spans="1:26" s="127" customFormat="1" ht="37.5" hidden="1">
      <c r="A1915" s="636">
        <v>62619</v>
      </c>
      <c r="B1915" s="637" t="s">
        <v>33</v>
      </c>
      <c r="C1915" s="636" t="s">
        <v>2725</v>
      </c>
      <c r="D1915" s="637" t="s">
        <v>2837</v>
      </c>
      <c r="E1915" s="637" t="s">
        <v>2837</v>
      </c>
      <c r="F1915" s="636">
        <v>62110</v>
      </c>
      <c r="G1915" s="637" t="s">
        <v>57</v>
      </c>
      <c r="H1915" s="637" t="s">
        <v>1162</v>
      </c>
      <c r="I1915" s="637" t="s">
        <v>58</v>
      </c>
      <c r="J1915" s="636">
        <v>622</v>
      </c>
      <c r="K1915" s="636">
        <v>4</v>
      </c>
      <c r="L1915" s="637" t="s">
        <v>406</v>
      </c>
      <c r="M1915" s="637" t="s">
        <v>51</v>
      </c>
      <c r="N1915" s="637" t="s">
        <v>39</v>
      </c>
      <c r="O1915" s="637" t="s">
        <v>39</v>
      </c>
      <c r="P1915" s="637" t="s">
        <v>1020</v>
      </c>
      <c r="Q1915" s="638">
        <v>352</v>
      </c>
      <c r="R1915" s="638">
        <v>352</v>
      </c>
      <c r="S1915" s="638">
        <v>387</v>
      </c>
      <c r="T1915" s="638">
        <v>387</v>
      </c>
      <c r="U1915" s="638">
        <v>0</v>
      </c>
      <c r="V1915" s="636">
        <v>2022</v>
      </c>
      <c r="W1915" s="640"/>
      <c r="X1915" s="641" t="str">
        <f t="shared" si="87"/>
        <v/>
      </c>
      <c r="Y1915" s="642" t="str">
        <f t="shared" si="88"/>
        <v/>
      </c>
      <c r="Z1915" s="642" t="str">
        <f t="shared" si="89"/>
        <v/>
      </c>
    </row>
    <row r="1916" spans="1:26" s="127" customFormat="1" ht="25">
      <c r="A1916" s="636">
        <v>62625</v>
      </c>
      <c r="B1916" s="637" t="s">
        <v>33</v>
      </c>
      <c r="C1916" s="636" t="s">
        <v>2725</v>
      </c>
      <c r="D1916" s="637" t="s">
        <v>2446</v>
      </c>
      <c r="E1916" s="637" t="s">
        <v>15</v>
      </c>
      <c r="F1916" s="636">
        <v>18488</v>
      </c>
      <c r="G1916" s="637" t="s">
        <v>81</v>
      </c>
      <c r="H1916" s="637" t="s">
        <v>1163</v>
      </c>
      <c r="I1916" s="637" t="s">
        <v>58</v>
      </c>
      <c r="J1916" s="636">
        <v>22</v>
      </c>
      <c r="K1916" s="636">
        <v>1</v>
      </c>
      <c r="L1916" s="637" t="s">
        <v>34</v>
      </c>
      <c r="M1916" s="637" t="s">
        <v>51</v>
      </c>
      <c r="N1916" s="637" t="s">
        <v>46</v>
      </c>
      <c r="O1916" s="637" t="s">
        <v>46</v>
      </c>
      <c r="P1916" s="637" t="s">
        <v>47</v>
      </c>
      <c r="Q1916" s="638">
        <v>2438</v>
      </c>
      <c r="R1916" s="638">
        <v>2438</v>
      </c>
      <c r="S1916" s="638">
        <v>14140</v>
      </c>
      <c r="T1916" s="638">
        <v>14140</v>
      </c>
      <c r="U1916" s="638">
        <v>1434</v>
      </c>
      <c r="V1916" s="636">
        <v>2022</v>
      </c>
      <c r="W1916" s="640"/>
      <c r="X1916" s="641">
        <f t="shared" si="87"/>
        <v>9.8605299860529989</v>
      </c>
      <c r="Y1916" s="642" t="str">
        <f t="shared" si="88"/>
        <v/>
      </c>
      <c r="Z1916" s="642" t="str">
        <f t="shared" si="89"/>
        <v/>
      </c>
    </row>
    <row r="1917" spans="1:26" s="127" customFormat="1" ht="25">
      <c r="A1917" s="636">
        <v>62639</v>
      </c>
      <c r="B1917" s="637" t="s">
        <v>33</v>
      </c>
      <c r="C1917" s="636" t="s">
        <v>2725</v>
      </c>
      <c r="D1917" s="637" t="s">
        <v>2447</v>
      </c>
      <c r="E1917" s="637" t="s">
        <v>1995</v>
      </c>
      <c r="F1917" s="636">
        <v>60584</v>
      </c>
      <c r="G1917" s="637" t="s">
        <v>41</v>
      </c>
      <c r="H1917" s="637" t="s">
        <v>1163</v>
      </c>
      <c r="I1917" s="637" t="s">
        <v>58</v>
      </c>
      <c r="J1917" s="636">
        <v>22</v>
      </c>
      <c r="K1917" s="636">
        <v>2</v>
      </c>
      <c r="L1917" s="637" t="s">
        <v>52</v>
      </c>
      <c r="M1917" s="637" t="s">
        <v>441</v>
      </c>
      <c r="N1917" s="637" t="s">
        <v>442</v>
      </c>
      <c r="O1917" s="637" t="s">
        <v>442</v>
      </c>
      <c r="P1917" s="637" t="s">
        <v>1156</v>
      </c>
      <c r="Q1917" s="638">
        <v>0</v>
      </c>
      <c r="R1917" s="638">
        <v>0</v>
      </c>
      <c r="S1917" s="638">
        <v>5498</v>
      </c>
      <c r="T1917" s="638">
        <v>5498</v>
      </c>
      <c r="U1917" s="638">
        <v>1611</v>
      </c>
      <c r="V1917" s="636">
        <v>2022</v>
      </c>
      <c r="W1917" s="640"/>
      <c r="X1917" s="641">
        <f t="shared" si="87"/>
        <v>3.4127870887647425</v>
      </c>
      <c r="Y1917" s="642" t="str">
        <f t="shared" si="88"/>
        <v/>
      </c>
      <c r="Z1917" s="642" t="str">
        <f t="shared" si="89"/>
        <v/>
      </c>
    </row>
    <row r="1918" spans="1:26" s="127" customFormat="1" ht="25">
      <c r="A1918" s="636">
        <v>62640</v>
      </c>
      <c r="B1918" s="637" t="s">
        <v>33</v>
      </c>
      <c r="C1918" s="636" t="s">
        <v>2725</v>
      </c>
      <c r="D1918" s="637" t="s">
        <v>2448</v>
      </c>
      <c r="E1918" s="637" t="s">
        <v>1995</v>
      </c>
      <c r="F1918" s="636">
        <v>60584</v>
      </c>
      <c r="G1918" s="637" t="s">
        <v>41</v>
      </c>
      <c r="H1918" s="637" t="s">
        <v>1163</v>
      </c>
      <c r="I1918" s="637" t="s">
        <v>58</v>
      </c>
      <c r="J1918" s="636">
        <v>22</v>
      </c>
      <c r="K1918" s="636">
        <v>2</v>
      </c>
      <c r="L1918" s="637" t="s">
        <v>52</v>
      </c>
      <c r="M1918" s="637" t="s">
        <v>441</v>
      </c>
      <c r="N1918" s="637" t="s">
        <v>442</v>
      </c>
      <c r="O1918" s="637" t="s">
        <v>442</v>
      </c>
      <c r="P1918" s="637" t="s">
        <v>1156</v>
      </c>
      <c r="Q1918" s="638">
        <v>0</v>
      </c>
      <c r="R1918" s="638">
        <v>0</v>
      </c>
      <c r="S1918" s="638">
        <v>5671</v>
      </c>
      <c r="T1918" s="638">
        <v>5671</v>
      </c>
      <c r="U1918" s="638">
        <v>1662</v>
      </c>
      <c r="V1918" s="636">
        <v>2022</v>
      </c>
      <c r="W1918" s="640"/>
      <c r="X1918" s="641">
        <f t="shared" si="87"/>
        <v>3.4121540312876051</v>
      </c>
      <c r="Y1918" s="642" t="str">
        <f t="shared" si="88"/>
        <v/>
      </c>
      <c r="Z1918" s="642" t="str">
        <f t="shared" si="89"/>
        <v/>
      </c>
    </row>
    <row r="1919" spans="1:26" s="127" customFormat="1" ht="25">
      <c r="A1919" s="636">
        <v>62644</v>
      </c>
      <c r="B1919" s="637" t="s">
        <v>33</v>
      </c>
      <c r="C1919" s="636" t="s">
        <v>2725</v>
      </c>
      <c r="D1919" s="637" t="s">
        <v>2838</v>
      </c>
      <c r="E1919" s="637" t="s">
        <v>3644</v>
      </c>
      <c r="F1919" s="636">
        <v>62122</v>
      </c>
      <c r="G1919" s="637" t="s">
        <v>81</v>
      </c>
      <c r="H1919" s="637" t="s">
        <v>1163</v>
      </c>
      <c r="I1919" s="637" t="s">
        <v>58</v>
      </c>
      <c r="J1919" s="636">
        <v>22</v>
      </c>
      <c r="K1919" s="636">
        <v>2</v>
      </c>
      <c r="L1919" s="637" t="s">
        <v>52</v>
      </c>
      <c r="M1919" s="637" t="s">
        <v>1852</v>
      </c>
      <c r="N1919" s="637" t="s">
        <v>1035</v>
      </c>
      <c r="O1919" s="637" t="s">
        <v>82</v>
      </c>
      <c r="P1919" s="637" t="s">
        <v>2726</v>
      </c>
      <c r="Q1919" s="638">
        <v>825</v>
      </c>
      <c r="R1919" s="638">
        <v>825</v>
      </c>
      <c r="S1919" s="638">
        <v>0</v>
      </c>
      <c r="T1919" s="638">
        <v>0</v>
      </c>
      <c r="U1919" s="638">
        <v>-172</v>
      </c>
      <c r="V1919" s="636">
        <v>2022</v>
      </c>
      <c r="W1919" s="640"/>
      <c r="X1919" s="641" t="str">
        <f t="shared" si="87"/>
        <v/>
      </c>
      <c r="Y1919" s="642" t="str">
        <f t="shared" si="88"/>
        <v/>
      </c>
      <c r="Z1919" s="642" t="str">
        <f t="shared" si="89"/>
        <v/>
      </c>
    </row>
    <row r="1920" spans="1:26" s="127" customFormat="1" ht="25">
      <c r="A1920" s="636">
        <v>62646</v>
      </c>
      <c r="B1920" s="637" t="s">
        <v>33</v>
      </c>
      <c r="C1920" s="636" t="s">
        <v>2725</v>
      </c>
      <c r="D1920" s="637" t="s">
        <v>2449</v>
      </c>
      <c r="E1920" s="637" t="s">
        <v>3072</v>
      </c>
      <c r="F1920" s="636">
        <v>63359</v>
      </c>
      <c r="G1920" s="637" t="s">
        <v>81</v>
      </c>
      <c r="H1920" s="637" t="s">
        <v>1163</v>
      </c>
      <c r="I1920" s="637" t="s">
        <v>58</v>
      </c>
      <c r="J1920" s="636">
        <v>22</v>
      </c>
      <c r="K1920" s="636">
        <v>2</v>
      </c>
      <c r="L1920" s="637" t="s">
        <v>52</v>
      </c>
      <c r="M1920" s="637" t="s">
        <v>441</v>
      </c>
      <c r="N1920" s="637" t="s">
        <v>442</v>
      </c>
      <c r="O1920" s="637" t="s">
        <v>442</v>
      </c>
      <c r="P1920" s="637" t="s">
        <v>1156</v>
      </c>
      <c r="Q1920" s="638">
        <v>0</v>
      </c>
      <c r="R1920" s="638">
        <v>0</v>
      </c>
      <c r="S1920" s="638">
        <v>9519</v>
      </c>
      <c r="T1920" s="638">
        <v>9519</v>
      </c>
      <c r="U1920" s="638">
        <v>2790</v>
      </c>
      <c r="V1920" s="636">
        <v>2022</v>
      </c>
      <c r="W1920" s="640"/>
      <c r="X1920" s="641">
        <f t="shared" si="87"/>
        <v>3.4118279569892471</v>
      </c>
      <c r="Y1920" s="642" t="str">
        <f t="shared" si="88"/>
        <v/>
      </c>
      <c r="Z1920" s="642" t="str">
        <f t="shared" si="89"/>
        <v/>
      </c>
    </row>
    <row r="1921" spans="1:26" s="127" customFormat="1" ht="25">
      <c r="A1921" s="636">
        <v>62652</v>
      </c>
      <c r="B1921" s="637" t="s">
        <v>33</v>
      </c>
      <c r="C1921" s="636" t="s">
        <v>2725</v>
      </c>
      <c r="D1921" s="637" t="s">
        <v>2839</v>
      </c>
      <c r="E1921" s="637" t="s">
        <v>3072</v>
      </c>
      <c r="F1921" s="636">
        <v>63359</v>
      </c>
      <c r="G1921" s="637" t="s">
        <v>81</v>
      </c>
      <c r="H1921" s="637" t="s">
        <v>1163</v>
      </c>
      <c r="I1921" s="637" t="s">
        <v>58</v>
      </c>
      <c r="J1921" s="636">
        <v>22</v>
      </c>
      <c r="K1921" s="636">
        <v>2</v>
      </c>
      <c r="L1921" s="637" t="s">
        <v>52</v>
      </c>
      <c r="M1921" s="637" t="s">
        <v>1852</v>
      </c>
      <c r="N1921" s="637" t="s">
        <v>1035</v>
      </c>
      <c r="O1921" s="637" t="s">
        <v>82</v>
      </c>
      <c r="P1921" s="637" t="s">
        <v>2726</v>
      </c>
      <c r="Q1921" s="638">
        <v>0</v>
      </c>
      <c r="R1921" s="638">
        <v>0</v>
      </c>
      <c r="S1921" s="638">
        <v>0</v>
      </c>
      <c r="T1921" s="638">
        <v>0</v>
      </c>
      <c r="U1921" s="638">
        <v>0</v>
      </c>
      <c r="V1921" s="636">
        <v>2022</v>
      </c>
      <c r="W1921" s="640"/>
      <c r="X1921" s="641" t="str">
        <f t="shared" si="87"/>
        <v/>
      </c>
      <c r="Y1921" s="642" t="str">
        <f t="shared" si="88"/>
        <v/>
      </c>
      <c r="Z1921" s="642" t="str">
        <f t="shared" si="89"/>
        <v/>
      </c>
    </row>
    <row r="1922" spans="1:26" s="127" customFormat="1" ht="25">
      <c r="A1922" s="636">
        <v>62652</v>
      </c>
      <c r="B1922" s="637" t="s">
        <v>33</v>
      </c>
      <c r="C1922" s="636" t="s">
        <v>2725</v>
      </c>
      <c r="D1922" s="637" t="s">
        <v>2839</v>
      </c>
      <c r="E1922" s="637" t="s">
        <v>3072</v>
      </c>
      <c r="F1922" s="636">
        <v>63359</v>
      </c>
      <c r="G1922" s="637" t="s">
        <v>81</v>
      </c>
      <c r="H1922" s="637" t="s">
        <v>1163</v>
      </c>
      <c r="I1922" s="637" t="s">
        <v>58</v>
      </c>
      <c r="J1922" s="636">
        <v>22</v>
      </c>
      <c r="K1922" s="636">
        <v>2</v>
      </c>
      <c r="L1922" s="637" t="s">
        <v>52</v>
      </c>
      <c r="M1922" s="637" t="s">
        <v>441</v>
      </c>
      <c r="N1922" s="637" t="s">
        <v>442</v>
      </c>
      <c r="O1922" s="637" t="s">
        <v>442</v>
      </c>
      <c r="P1922" s="637" t="s">
        <v>1156</v>
      </c>
      <c r="Q1922" s="638">
        <v>0</v>
      </c>
      <c r="R1922" s="638">
        <v>0</v>
      </c>
      <c r="S1922" s="638">
        <v>29456</v>
      </c>
      <c r="T1922" s="638">
        <v>29456</v>
      </c>
      <c r="U1922" s="638">
        <v>8633</v>
      </c>
      <c r="V1922" s="636">
        <v>2022</v>
      </c>
      <c r="W1922" s="640"/>
      <c r="X1922" s="641">
        <f t="shared" si="87"/>
        <v>3.4120236302559945</v>
      </c>
      <c r="Y1922" s="642" t="str">
        <f t="shared" si="88"/>
        <v/>
      </c>
      <c r="Z1922" s="642" t="str">
        <f t="shared" si="89"/>
        <v/>
      </c>
    </row>
    <row r="1923" spans="1:26" s="127" customFormat="1" ht="25">
      <c r="A1923" s="636">
        <v>62657</v>
      </c>
      <c r="B1923" s="637" t="s">
        <v>33</v>
      </c>
      <c r="C1923" s="636" t="s">
        <v>2725</v>
      </c>
      <c r="D1923" s="637" t="s">
        <v>2840</v>
      </c>
      <c r="E1923" s="637" t="s">
        <v>2841</v>
      </c>
      <c r="F1923" s="636">
        <v>62132</v>
      </c>
      <c r="G1923" s="637" t="s">
        <v>41</v>
      </c>
      <c r="H1923" s="637" t="s">
        <v>1163</v>
      </c>
      <c r="I1923" s="637" t="s">
        <v>58</v>
      </c>
      <c r="J1923" s="636">
        <v>22</v>
      </c>
      <c r="K1923" s="636">
        <v>2</v>
      </c>
      <c r="L1923" s="637" t="s">
        <v>52</v>
      </c>
      <c r="M1923" s="637" t="s">
        <v>441</v>
      </c>
      <c r="N1923" s="637" t="s">
        <v>442</v>
      </c>
      <c r="O1923" s="637" t="s">
        <v>442</v>
      </c>
      <c r="P1923" s="637" t="s">
        <v>1156</v>
      </c>
      <c r="Q1923" s="638">
        <v>0</v>
      </c>
      <c r="R1923" s="638">
        <v>0</v>
      </c>
      <c r="S1923" s="638">
        <v>174802</v>
      </c>
      <c r="T1923" s="638">
        <v>174802</v>
      </c>
      <c r="U1923" s="638">
        <v>51232</v>
      </c>
      <c r="V1923" s="636">
        <v>2022</v>
      </c>
      <c r="W1923" s="640"/>
      <c r="X1923" s="641">
        <f t="shared" si="87"/>
        <v>3.4119690818238602</v>
      </c>
      <c r="Y1923" s="642" t="str">
        <f t="shared" si="88"/>
        <v/>
      </c>
      <c r="Z1923" s="642" t="str">
        <f t="shared" si="89"/>
        <v/>
      </c>
    </row>
    <row r="1924" spans="1:26" s="127" customFormat="1" ht="25">
      <c r="A1924" s="636">
        <v>62672</v>
      </c>
      <c r="B1924" s="637" t="s">
        <v>33</v>
      </c>
      <c r="C1924" s="636" t="s">
        <v>2725</v>
      </c>
      <c r="D1924" s="637" t="s">
        <v>3304</v>
      </c>
      <c r="E1924" s="637" t="s">
        <v>2203</v>
      </c>
      <c r="F1924" s="636">
        <v>61227</v>
      </c>
      <c r="G1924" s="637" t="s">
        <v>130</v>
      </c>
      <c r="H1924" s="637" t="s">
        <v>1163</v>
      </c>
      <c r="I1924" s="637" t="s">
        <v>58</v>
      </c>
      <c r="J1924" s="636">
        <v>22</v>
      </c>
      <c r="K1924" s="636">
        <v>2</v>
      </c>
      <c r="L1924" s="637" t="s">
        <v>52</v>
      </c>
      <c r="M1924" s="637" t="s">
        <v>441</v>
      </c>
      <c r="N1924" s="637" t="s">
        <v>442</v>
      </c>
      <c r="O1924" s="637" t="s">
        <v>442</v>
      </c>
      <c r="P1924" s="637" t="s">
        <v>1156</v>
      </c>
      <c r="Q1924" s="638">
        <v>0</v>
      </c>
      <c r="R1924" s="638">
        <v>0</v>
      </c>
      <c r="S1924" s="638">
        <v>14498</v>
      </c>
      <c r="T1924" s="638">
        <v>14498</v>
      </c>
      <c r="U1924" s="638">
        <v>4249</v>
      </c>
      <c r="V1924" s="636">
        <v>2022</v>
      </c>
      <c r="W1924" s="640"/>
      <c r="X1924" s="641">
        <f t="shared" si="87"/>
        <v>3.4120969639915275</v>
      </c>
      <c r="Y1924" s="642" t="str">
        <f t="shared" si="88"/>
        <v/>
      </c>
      <c r="Z1924" s="642" t="str">
        <f t="shared" si="89"/>
        <v/>
      </c>
    </row>
    <row r="1925" spans="1:26" s="127" customFormat="1" ht="25">
      <c r="A1925" s="636">
        <v>62695</v>
      </c>
      <c r="B1925" s="637" t="s">
        <v>33</v>
      </c>
      <c r="C1925" s="636" t="s">
        <v>2725</v>
      </c>
      <c r="D1925" s="637" t="s">
        <v>2842</v>
      </c>
      <c r="E1925" s="637" t="s">
        <v>1108</v>
      </c>
      <c r="F1925" s="636">
        <v>56769</v>
      </c>
      <c r="G1925" s="637" t="s">
        <v>81</v>
      </c>
      <c r="H1925" s="637" t="s">
        <v>1163</v>
      </c>
      <c r="I1925" s="637" t="s">
        <v>58</v>
      </c>
      <c r="J1925" s="636">
        <v>22</v>
      </c>
      <c r="K1925" s="636">
        <v>2</v>
      </c>
      <c r="L1925" s="637" t="s">
        <v>52</v>
      </c>
      <c r="M1925" s="637" t="s">
        <v>1852</v>
      </c>
      <c r="N1925" s="637" t="s">
        <v>1035</v>
      </c>
      <c r="O1925" s="637" t="s">
        <v>82</v>
      </c>
      <c r="P1925" s="637" t="s">
        <v>2726</v>
      </c>
      <c r="Q1925" s="638">
        <v>0</v>
      </c>
      <c r="R1925" s="638">
        <v>0</v>
      </c>
      <c r="S1925" s="638">
        <v>0</v>
      </c>
      <c r="T1925" s="638">
        <v>0</v>
      </c>
      <c r="U1925" s="638">
        <v>0</v>
      </c>
      <c r="V1925" s="636">
        <v>2022</v>
      </c>
      <c r="W1925" s="640"/>
      <c r="X1925" s="641" t="str">
        <f t="shared" si="87"/>
        <v/>
      </c>
      <c r="Y1925" s="642" t="str">
        <f t="shared" si="88"/>
        <v/>
      </c>
      <c r="Z1925" s="642" t="str">
        <f t="shared" si="89"/>
        <v/>
      </c>
    </row>
    <row r="1926" spans="1:26" s="127" customFormat="1" ht="25">
      <c r="A1926" s="636">
        <v>62695</v>
      </c>
      <c r="B1926" s="637" t="s">
        <v>33</v>
      </c>
      <c r="C1926" s="636" t="s">
        <v>2725</v>
      </c>
      <c r="D1926" s="637" t="s">
        <v>2842</v>
      </c>
      <c r="E1926" s="637" t="s">
        <v>1108</v>
      </c>
      <c r="F1926" s="636">
        <v>56769</v>
      </c>
      <c r="G1926" s="637" t="s">
        <v>81</v>
      </c>
      <c r="H1926" s="637" t="s">
        <v>1163</v>
      </c>
      <c r="I1926" s="637" t="s">
        <v>58</v>
      </c>
      <c r="J1926" s="636">
        <v>22</v>
      </c>
      <c r="K1926" s="636">
        <v>2</v>
      </c>
      <c r="L1926" s="637" t="s">
        <v>52</v>
      </c>
      <c r="M1926" s="637" t="s">
        <v>441</v>
      </c>
      <c r="N1926" s="637" t="s">
        <v>442</v>
      </c>
      <c r="O1926" s="637" t="s">
        <v>442</v>
      </c>
      <c r="P1926" s="637" t="s">
        <v>1156</v>
      </c>
      <c r="Q1926" s="638">
        <v>0</v>
      </c>
      <c r="R1926" s="638">
        <v>0</v>
      </c>
      <c r="S1926" s="638">
        <v>24560</v>
      </c>
      <c r="T1926" s="638">
        <v>24560</v>
      </c>
      <c r="U1926" s="638">
        <v>7198</v>
      </c>
      <c r="V1926" s="636">
        <v>2022</v>
      </c>
      <c r="W1926" s="640"/>
      <c r="X1926" s="641">
        <f t="shared" si="87"/>
        <v>3.4120589052514587</v>
      </c>
      <c r="Y1926" s="642" t="str">
        <f t="shared" si="88"/>
        <v/>
      </c>
      <c r="Z1926" s="642" t="str">
        <f t="shared" si="89"/>
        <v/>
      </c>
    </row>
    <row r="1927" spans="1:26" s="127" customFormat="1" ht="25">
      <c r="A1927" s="636">
        <v>62721</v>
      </c>
      <c r="B1927" s="637" t="s">
        <v>33</v>
      </c>
      <c r="C1927" s="636" t="s">
        <v>2725</v>
      </c>
      <c r="D1927" s="637" t="s">
        <v>2843</v>
      </c>
      <c r="E1927" s="637" t="s">
        <v>1905</v>
      </c>
      <c r="F1927" s="636">
        <v>59474</v>
      </c>
      <c r="G1927" s="637" t="s">
        <v>57</v>
      </c>
      <c r="H1927" s="637" t="s">
        <v>1162</v>
      </c>
      <c r="I1927" s="637" t="s">
        <v>58</v>
      </c>
      <c r="J1927" s="636">
        <v>22</v>
      </c>
      <c r="K1927" s="636">
        <v>2</v>
      </c>
      <c r="L1927" s="637" t="s">
        <v>52</v>
      </c>
      <c r="M1927" s="637" t="s">
        <v>441</v>
      </c>
      <c r="N1927" s="637" t="s">
        <v>442</v>
      </c>
      <c r="O1927" s="637" t="s">
        <v>442</v>
      </c>
      <c r="P1927" s="637" t="s">
        <v>1156</v>
      </c>
      <c r="Q1927" s="638">
        <v>0</v>
      </c>
      <c r="R1927" s="638">
        <v>0</v>
      </c>
      <c r="S1927" s="638">
        <v>16595</v>
      </c>
      <c r="T1927" s="638">
        <v>16595</v>
      </c>
      <c r="U1927" s="638">
        <v>4864</v>
      </c>
      <c r="V1927" s="636">
        <v>2022</v>
      </c>
      <c r="W1927" s="640"/>
      <c r="X1927" s="641">
        <f t="shared" si="87"/>
        <v>3.4118009868421053</v>
      </c>
      <c r="Y1927" s="642" t="str">
        <f t="shared" si="88"/>
        <v/>
      </c>
      <c r="Z1927" s="642" t="str">
        <f t="shared" si="89"/>
        <v/>
      </c>
    </row>
    <row r="1928" spans="1:26" s="127" customFormat="1" ht="25">
      <c r="A1928" s="636">
        <v>62722</v>
      </c>
      <c r="B1928" s="637" t="s">
        <v>33</v>
      </c>
      <c r="C1928" s="636" t="s">
        <v>2725</v>
      </c>
      <c r="D1928" s="637" t="s">
        <v>2844</v>
      </c>
      <c r="E1928" s="637" t="s">
        <v>1905</v>
      </c>
      <c r="F1928" s="636">
        <v>59474</v>
      </c>
      <c r="G1928" s="637" t="s">
        <v>57</v>
      </c>
      <c r="H1928" s="637" t="s">
        <v>1162</v>
      </c>
      <c r="I1928" s="637" t="s">
        <v>58</v>
      </c>
      <c r="J1928" s="636">
        <v>22</v>
      </c>
      <c r="K1928" s="636">
        <v>2</v>
      </c>
      <c r="L1928" s="637" t="s">
        <v>52</v>
      </c>
      <c r="M1928" s="637" t="s">
        <v>441</v>
      </c>
      <c r="N1928" s="637" t="s">
        <v>442</v>
      </c>
      <c r="O1928" s="637" t="s">
        <v>442</v>
      </c>
      <c r="P1928" s="637" t="s">
        <v>1156</v>
      </c>
      <c r="Q1928" s="638">
        <v>0</v>
      </c>
      <c r="R1928" s="638">
        <v>0</v>
      </c>
      <c r="S1928" s="638">
        <v>16561</v>
      </c>
      <c r="T1928" s="638">
        <v>16561</v>
      </c>
      <c r="U1928" s="638">
        <v>4854</v>
      </c>
      <c r="V1928" s="636">
        <v>2022</v>
      </c>
      <c r="W1928" s="640"/>
      <c r="X1928" s="641">
        <f t="shared" ref="X1928:X1991" si="90">IF(OR(K1928&gt;3,T1928=0,NOT(U1928&gt;0)),"",T1928/U1928)</f>
        <v>3.4118252987227029</v>
      </c>
      <c r="Y1928" s="642" t="str">
        <f t="shared" ref="Y1928:Y1991" si="91">IF(AND($M1928=$Y$2,$N1928=$Y$3,NOT($Q1928=$R1928),NOT($U1928=0)),IF($K1928=5,$S1928/($U1928+(8/5)*$U1928),IF($K1928=7,$S1928/($U1928+(29/25)*$U1928),"")),"")</f>
        <v/>
      </c>
      <c r="Z1928" s="642" t="str">
        <f t="shared" si="89"/>
        <v/>
      </c>
    </row>
    <row r="1929" spans="1:26" s="127" customFormat="1" ht="25">
      <c r="A1929" s="636">
        <v>62723</v>
      </c>
      <c r="B1929" s="637" t="s">
        <v>33</v>
      </c>
      <c r="C1929" s="636" t="s">
        <v>2725</v>
      </c>
      <c r="D1929" s="637" t="s">
        <v>2845</v>
      </c>
      <c r="E1929" s="637" t="s">
        <v>1905</v>
      </c>
      <c r="F1929" s="636">
        <v>59474</v>
      </c>
      <c r="G1929" s="637" t="s">
        <v>57</v>
      </c>
      <c r="H1929" s="637" t="s">
        <v>1162</v>
      </c>
      <c r="I1929" s="637" t="s">
        <v>58</v>
      </c>
      <c r="J1929" s="636">
        <v>22</v>
      </c>
      <c r="K1929" s="636">
        <v>2</v>
      </c>
      <c r="L1929" s="637" t="s">
        <v>52</v>
      </c>
      <c r="M1929" s="637" t="s">
        <v>441</v>
      </c>
      <c r="N1929" s="637" t="s">
        <v>442</v>
      </c>
      <c r="O1929" s="637" t="s">
        <v>442</v>
      </c>
      <c r="P1929" s="637" t="s">
        <v>1156</v>
      </c>
      <c r="Q1929" s="638">
        <v>0</v>
      </c>
      <c r="R1929" s="638">
        <v>0</v>
      </c>
      <c r="S1929" s="638">
        <v>16630</v>
      </c>
      <c r="T1929" s="638">
        <v>16630</v>
      </c>
      <c r="U1929" s="638">
        <v>4874</v>
      </c>
      <c r="V1929" s="636">
        <v>2022</v>
      </c>
      <c r="W1929" s="640"/>
      <c r="X1929" s="641">
        <f t="shared" si="90"/>
        <v>3.4119819450143618</v>
      </c>
      <c r="Y1929" s="642" t="str">
        <f t="shared" si="91"/>
        <v/>
      </c>
      <c r="Z1929" s="642" t="str">
        <f t="shared" si="89"/>
        <v/>
      </c>
    </row>
    <row r="1930" spans="1:26" s="127" customFormat="1" ht="25">
      <c r="A1930" s="636">
        <v>62724</v>
      </c>
      <c r="B1930" s="637" t="s">
        <v>33</v>
      </c>
      <c r="C1930" s="636" t="s">
        <v>2725</v>
      </c>
      <c r="D1930" s="637" t="s">
        <v>2846</v>
      </c>
      <c r="E1930" s="637" t="s">
        <v>1905</v>
      </c>
      <c r="F1930" s="636">
        <v>59474</v>
      </c>
      <c r="G1930" s="637" t="s">
        <v>57</v>
      </c>
      <c r="H1930" s="637" t="s">
        <v>1162</v>
      </c>
      <c r="I1930" s="637" t="s">
        <v>58</v>
      </c>
      <c r="J1930" s="636">
        <v>22</v>
      </c>
      <c r="K1930" s="636">
        <v>2</v>
      </c>
      <c r="L1930" s="637" t="s">
        <v>52</v>
      </c>
      <c r="M1930" s="637" t="s">
        <v>441</v>
      </c>
      <c r="N1930" s="637" t="s">
        <v>442</v>
      </c>
      <c r="O1930" s="637" t="s">
        <v>442</v>
      </c>
      <c r="P1930" s="637" t="s">
        <v>1156</v>
      </c>
      <c r="Q1930" s="638">
        <v>0</v>
      </c>
      <c r="R1930" s="638">
        <v>0</v>
      </c>
      <c r="S1930" s="638">
        <v>5381</v>
      </c>
      <c r="T1930" s="638">
        <v>5381</v>
      </c>
      <c r="U1930" s="638">
        <v>1577</v>
      </c>
      <c r="V1930" s="636">
        <v>2022</v>
      </c>
      <c r="W1930" s="640"/>
      <c r="X1930" s="641">
        <f t="shared" si="90"/>
        <v>3.4121750158528852</v>
      </c>
      <c r="Y1930" s="642" t="str">
        <f t="shared" si="91"/>
        <v/>
      </c>
      <c r="Z1930" s="642" t="str">
        <f t="shared" si="89"/>
        <v/>
      </c>
    </row>
    <row r="1931" spans="1:26" s="127" customFormat="1" ht="25">
      <c r="A1931" s="636">
        <v>62725</v>
      </c>
      <c r="B1931" s="637" t="s">
        <v>33</v>
      </c>
      <c r="C1931" s="636" t="s">
        <v>2725</v>
      </c>
      <c r="D1931" s="637" t="s">
        <v>2847</v>
      </c>
      <c r="E1931" s="637" t="s">
        <v>1905</v>
      </c>
      <c r="F1931" s="636">
        <v>59474</v>
      </c>
      <c r="G1931" s="637" t="s">
        <v>57</v>
      </c>
      <c r="H1931" s="637" t="s">
        <v>1162</v>
      </c>
      <c r="I1931" s="637" t="s">
        <v>58</v>
      </c>
      <c r="J1931" s="636">
        <v>22</v>
      </c>
      <c r="K1931" s="636">
        <v>2</v>
      </c>
      <c r="L1931" s="637" t="s">
        <v>52</v>
      </c>
      <c r="M1931" s="637" t="s">
        <v>441</v>
      </c>
      <c r="N1931" s="637" t="s">
        <v>442</v>
      </c>
      <c r="O1931" s="637" t="s">
        <v>442</v>
      </c>
      <c r="P1931" s="637" t="s">
        <v>1156</v>
      </c>
      <c r="Q1931" s="638">
        <v>0</v>
      </c>
      <c r="R1931" s="638">
        <v>0</v>
      </c>
      <c r="S1931" s="638">
        <v>5299</v>
      </c>
      <c r="T1931" s="638">
        <v>5299</v>
      </c>
      <c r="U1931" s="638">
        <v>1553</v>
      </c>
      <c r="V1931" s="636">
        <v>2022</v>
      </c>
      <c r="W1931" s="640"/>
      <c r="X1931" s="641">
        <f t="shared" si="90"/>
        <v>3.412105602060528</v>
      </c>
      <c r="Y1931" s="642" t="str">
        <f t="shared" si="91"/>
        <v/>
      </c>
      <c r="Z1931" s="642" t="str">
        <f t="shared" si="89"/>
        <v/>
      </c>
    </row>
    <row r="1932" spans="1:26" s="127" customFormat="1" ht="25">
      <c r="A1932" s="636">
        <v>62728</v>
      </c>
      <c r="B1932" s="637" t="s">
        <v>33</v>
      </c>
      <c r="C1932" s="636" t="s">
        <v>2725</v>
      </c>
      <c r="D1932" s="637" t="s">
        <v>2848</v>
      </c>
      <c r="E1932" s="637" t="s">
        <v>2849</v>
      </c>
      <c r="F1932" s="636">
        <v>60531</v>
      </c>
      <c r="G1932" s="637" t="s">
        <v>89</v>
      </c>
      <c r="H1932" s="637" t="s">
        <v>1163</v>
      </c>
      <c r="I1932" s="637" t="s">
        <v>58</v>
      </c>
      <c r="J1932" s="636">
        <v>22</v>
      </c>
      <c r="K1932" s="636">
        <v>2</v>
      </c>
      <c r="L1932" s="637" t="s">
        <v>52</v>
      </c>
      <c r="M1932" s="637" t="s">
        <v>441</v>
      </c>
      <c r="N1932" s="637" t="s">
        <v>442</v>
      </c>
      <c r="O1932" s="637" t="s">
        <v>442</v>
      </c>
      <c r="P1932" s="637" t="s">
        <v>1156</v>
      </c>
      <c r="Q1932" s="638">
        <v>0</v>
      </c>
      <c r="R1932" s="638">
        <v>0</v>
      </c>
      <c r="S1932" s="638">
        <v>11659</v>
      </c>
      <c r="T1932" s="638">
        <v>11659</v>
      </c>
      <c r="U1932" s="638">
        <v>3417</v>
      </c>
      <c r="V1932" s="636">
        <v>2022</v>
      </c>
      <c r="W1932" s="640"/>
      <c r="X1932" s="641">
        <f t="shared" si="90"/>
        <v>3.4120573602575357</v>
      </c>
      <c r="Y1932" s="642" t="str">
        <f t="shared" si="91"/>
        <v/>
      </c>
      <c r="Z1932" s="642" t="str">
        <f t="shared" si="89"/>
        <v/>
      </c>
    </row>
    <row r="1933" spans="1:26" s="127" customFormat="1" ht="25">
      <c r="A1933" s="636">
        <v>62733</v>
      </c>
      <c r="B1933" s="637" t="s">
        <v>33</v>
      </c>
      <c r="C1933" s="636" t="s">
        <v>2725</v>
      </c>
      <c r="D1933" s="637" t="s">
        <v>2850</v>
      </c>
      <c r="E1933" s="637" t="s">
        <v>2851</v>
      </c>
      <c r="F1933" s="636">
        <v>62652</v>
      </c>
      <c r="G1933" s="637" t="s">
        <v>57</v>
      </c>
      <c r="H1933" s="637" t="s">
        <v>1162</v>
      </c>
      <c r="I1933" s="637" t="s">
        <v>58</v>
      </c>
      <c r="J1933" s="636">
        <v>22</v>
      </c>
      <c r="K1933" s="636">
        <v>2</v>
      </c>
      <c r="L1933" s="637" t="s">
        <v>52</v>
      </c>
      <c r="M1933" s="637" t="s">
        <v>1852</v>
      </c>
      <c r="N1933" s="637" t="s">
        <v>1035</v>
      </c>
      <c r="O1933" s="637" t="s">
        <v>82</v>
      </c>
      <c r="P1933" s="637" t="s">
        <v>2726</v>
      </c>
      <c r="Q1933" s="638">
        <v>6549</v>
      </c>
      <c r="R1933" s="638">
        <v>6549</v>
      </c>
      <c r="S1933" s="638">
        <v>0</v>
      </c>
      <c r="T1933" s="638">
        <v>0</v>
      </c>
      <c r="U1933" s="638">
        <v>-638</v>
      </c>
      <c r="V1933" s="636">
        <v>2022</v>
      </c>
      <c r="W1933" s="640"/>
      <c r="X1933" s="641" t="str">
        <f t="shared" si="90"/>
        <v/>
      </c>
      <c r="Y1933" s="642" t="str">
        <f t="shared" si="91"/>
        <v/>
      </c>
      <c r="Z1933" s="642" t="str">
        <f t="shared" si="89"/>
        <v/>
      </c>
    </row>
    <row r="1934" spans="1:26" s="127" customFormat="1" ht="25">
      <c r="A1934" s="636">
        <v>62734</v>
      </c>
      <c r="B1934" s="637" t="s">
        <v>33</v>
      </c>
      <c r="C1934" s="636" t="s">
        <v>2725</v>
      </c>
      <c r="D1934" s="637" t="s">
        <v>2852</v>
      </c>
      <c r="E1934" s="637" t="s">
        <v>2853</v>
      </c>
      <c r="F1934" s="636">
        <v>62651</v>
      </c>
      <c r="G1934" s="637" t="s">
        <v>57</v>
      </c>
      <c r="H1934" s="637" t="s">
        <v>1162</v>
      </c>
      <c r="I1934" s="637" t="s">
        <v>58</v>
      </c>
      <c r="J1934" s="636">
        <v>22</v>
      </c>
      <c r="K1934" s="636">
        <v>2</v>
      </c>
      <c r="L1934" s="637" t="s">
        <v>52</v>
      </c>
      <c r="M1934" s="637" t="s">
        <v>1852</v>
      </c>
      <c r="N1934" s="637" t="s">
        <v>1035</v>
      </c>
      <c r="O1934" s="637" t="s">
        <v>82</v>
      </c>
      <c r="P1934" s="637" t="s">
        <v>2726</v>
      </c>
      <c r="Q1934" s="638">
        <v>6063</v>
      </c>
      <c r="R1934" s="638">
        <v>6063</v>
      </c>
      <c r="S1934" s="638">
        <v>0</v>
      </c>
      <c r="T1934" s="638">
        <v>0</v>
      </c>
      <c r="U1934" s="638">
        <v>-476</v>
      </c>
      <c r="V1934" s="636">
        <v>2022</v>
      </c>
      <c r="W1934" s="640"/>
      <c r="X1934" s="641" t="str">
        <f t="shared" si="90"/>
        <v/>
      </c>
      <c r="Y1934" s="642" t="str">
        <f t="shared" si="91"/>
        <v/>
      </c>
      <c r="Z1934" s="642" t="str">
        <f t="shared" si="89"/>
        <v/>
      </c>
    </row>
    <row r="1935" spans="1:26" s="127" customFormat="1" ht="37.5" hidden="1">
      <c r="A1935" s="636">
        <v>62736</v>
      </c>
      <c r="B1935" s="637" t="s">
        <v>54</v>
      </c>
      <c r="C1935" s="636" t="s">
        <v>2725</v>
      </c>
      <c r="D1935" s="637" t="s">
        <v>2854</v>
      </c>
      <c r="E1935" s="637" t="s">
        <v>2854</v>
      </c>
      <c r="F1935" s="636">
        <v>62657</v>
      </c>
      <c r="G1935" s="637" t="s">
        <v>57</v>
      </c>
      <c r="H1935" s="637" t="s">
        <v>1162</v>
      </c>
      <c r="I1935" s="637" t="s">
        <v>58</v>
      </c>
      <c r="J1935" s="636">
        <v>326</v>
      </c>
      <c r="K1935" s="636">
        <v>7</v>
      </c>
      <c r="L1935" s="637" t="s">
        <v>403</v>
      </c>
      <c r="M1935" s="637" t="s">
        <v>50</v>
      </c>
      <c r="N1935" s="637" t="s">
        <v>39</v>
      </c>
      <c r="O1935" s="637" t="s">
        <v>39</v>
      </c>
      <c r="P1935" s="637" t="s">
        <v>1020</v>
      </c>
      <c r="Q1935" s="638">
        <v>13379</v>
      </c>
      <c r="R1935" s="638">
        <v>3141</v>
      </c>
      <c r="S1935" s="638">
        <v>13807</v>
      </c>
      <c r="T1935" s="638">
        <v>3241</v>
      </c>
      <c r="U1935" s="638">
        <v>285</v>
      </c>
      <c r="V1935" s="636">
        <v>2022</v>
      </c>
      <c r="W1935" s="640"/>
      <c r="X1935" s="641" t="str">
        <f t="shared" si="90"/>
        <v/>
      </c>
      <c r="Y1935" s="642">
        <f t="shared" si="91"/>
        <v>22.428525016244318</v>
      </c>
      <c r="Z1935" s="642" t="str">
        <f t="shared" si="89"/>
        <v/>
      </c>
    </row>
    <row r="1936" spans="1:26" s="127" customFormat="1" ht="37.5" hidden="1">
      <c r="A1936" s="636">
        <v>62736</v>
      </c>
      <c r="B1936" s="637" t="s">
        <v>54</v>
      </c>
      <c r="C1936" s="636" t="s">
        <v>2725</v>
      </c>
      <c r="D1936" s="637" t="s">
        <v>2854</v>
      </c>
      <c r="E1936" s="637" t="s">
        <v>2854</v>
      </c>
      <c r="F1936" s="636">
        <v>62657</v>
      </c>
      <c r="G1936" s="637" t="s">
        <v>57</v>
      </c>
      <c r="H1936" s="637" t="s">
        <v>1162</v>
      </c>
      <c r="I1936" s="637" t="s">
        <v>58</v>
      </c>
      <c r="J1936" s="636">
        <v>326</v>
      </c>
      <c r="K1936" s="636">
        <v>7</v>
      </c>
      <c r="L1936" s="637" t="s">
        <v>403</v>
      </c>
      <c r="M1936" s="637" t="s">
        <v>71</v>
      </c>
      <c r="N1936" s="637" t="s">
        <v>72</v>
      </c>
      <c r="O1936" s="637" t="s">
        <v>72</v>
      </c>
      <c r="P1936" s="637" t="s">
        <v>1156</v>
      </c>
      <c r="Q1936" s="638">
        <v>0</v>
      </c>
      <c r="R1936" s="638">
        <v>0</v>
      </c>
      <c r="S1936" s="638">
        <v>1173</v>
      </c>
      <c r="T1936" s="638">
        <v>1173</v>
      </c>
      <c r="U1936" s="638">
        <v>344</v>
      </c>
      <c r="V1936" s="636">
        <v>2022</v>
      </c>
      <c r="W1936" s="640"/>
      <c r="X1936" s="641" t="str">
        <f t="shared" si="90"/>
        <v/>
      </c>
      <c r="Y1936" s="642" t="str">
        <f t="shared" si="91"/>
        <v/>
      </c>
      <c r="Z1936" s="642" t="str">
        <f t="shared" ref="Z1936:Z1999" si="92">IF(AND($M1936=$Y$2,$N1936=$Y$4,NOT($Q1936=$R1936),NOT($U1936=0)),IF($K1936=5,$S1936/($U1936+(8/5)*$U1936),IF($K1936=7,$S1936/($U1936+(29/25)*$U1936),"")),"")</f>
        <v/>
      </c>
    </row>
    <row r="1937" spans="1:26" s="127" customFormat="1" ht="25">
      <c r="A1937" s="636">
        <v>62737</v>
      </c>
      <c r="B1937" s="637" t="s">
        <v>33</v>
      </c>
      <c r="C1937" s="636" t="s">
        <v>2725</v>
      </c>
      <c r="D1937" s="637" t="s">
        <v>3645</v>
      </c>
      <c r="E1937" s="637" t="s">
        <v>1905</v>
      </c>
      <c r="F1937" s="636">
        <v>59474</v>
      </c>
      <c r="G1937" s="637" t="s">
        <v>57</v>
      </c>
      <c r="H1937" s="637" t="s">
        <v>1162</v>
      </c>
      <c r="I1937" s="637" t="s">
        <v>58</v>
      </c>
      <c r="J1937" s="636">
        <v>22</v>
      </c>
      <c r="K1937" s="636">
        <v>2</v>
      </c>
      <c r="L1937" s="637" t="s">
        <v>52</v>
      </c>
      <c r="M1937" s="637" t="s">
        <v>441</v>
      </c>
      <c r="N1937" s="637" t="s">
        <v>442</v>
      </c>
      <c r="O1937" s="637" t="s">
        <v>442</v>
      </c>
      <c r="P1937" s="637" t="s">
        <v>1156</v>
      </c>
      <c r="Q1937" s="638">
        <v>0</v>
      </c>
      <c r="R1937" s="638">
        <v>0</v>
      </c>
      <c r="S1937" s="638">
        <v>7165</v>
      </c>
      <c r="T1937" s="638">
        <v>7165</v>
      </c>
      <c r="U1937" s="638">
        <v>2100</v>
      </c>
      <c r="V1937" s="636">
        <v>2022</v>
      </c>
      <c r="W1937" s="640"/>
      <c r="X1937" s="641">
        <f t="shared" si="90"/>
        <v>3.4119047619047618</v>
      </c>
      <c r="Y1937" s="642" t="str">
        <f t="shared" si="91"/>
        <v/>
      </c>
      <c r="Z1937" s="642" t="str">
        <f t="shared" si="92"/>
        <v/>
      </c>
    </row>
    <row r="1938" spans="1:26" s="127" customFormat="1" ht="25">
      <c r="A1938" s="636">
        <v>62738</v>
      </c>
      <c r="B1938" s="637" t="s">
        <v>33</v>
      </c>
      <c r="C1938" s="636" t="s">
        <v>2725</v>
      </c>
      <c r="D1938" s="637" t="s">
        <v>3646</v>
      </c>
      <c r="E1938" s="637" t="s">
        <v>1905</v>
      </c>
      <c r="F1938" s="636">
        <v>59474</v>
      </c>
      <c r="G1938" s="637" t="s">
        <v>57</v>
      </c>
      <c r="H1938" s="637" t="s">
        <v>1162</v>
      </c>
      <c r="I1938" s="637" t="s">
        <v>58</v>
      </c>
      <c r="J1938" s="636">
        <v>22</v>
      </c>
      <c r="K1938" s="636">
        <v>2</v>
      </c>
      <c r="L1938" s="637" t="s">
        <v>52</v>
      </c>
      <c r="M1938" s="637" t="s">
        <v>441</v>
      </c>
      <c r="N1938" s="637" t="s">
        <v>442</v>
      </c>
      <c r="O1938" s="637" t="s">
        <v>442</v>
      </c>
      <c r="P1938" s="637" t="s">
        <v>1156</v>
      </c>
      <c r="Q1938" s="638">
        <v>0</v>
      </c>
      <c r="R1938" s="638">
        <v>0</v>
      </c>
      <c r="S1938" s="638">
        <v>7128</v>
      </c>
      <c r="T1938" s="638">
        <v>7128</v>
      </c>
      <c r="U1938" s="638">
        <v>2089</v>
      </c>
      <c r="V1938" s="636">
        <v>2022</v>
      </c>
      <c r="W1938" s="640"/>
      <c r="X1938" s="641">
        <f t="shared" si="90"/>
        <v>3.4121589277166109</v>
      </c>
      <c r="Y1938" s="642" t="str">
        <f t="shared" si="91"/>
        <v/>
      </c>
      <c r="Z1938" s="642" t="str">
        <f t="shared" si="92"/>
        <v/>
      </c>
    </row>
    <row r="1939" spans="1:26" s="127" customFormat="1" ht="37.5" hidden="1">
      <c r="A1939" s="636">
        <v>62757</v>
      </c>
      <c r="B1939" s="637" t="s">
        <v>54</v>
      </c>
      <c r="C1939" s="636" t="s">
        <v>2725</v>
      </c>
      <c r="D1939" s="637" t="s">
        <v>3073</v>
      </c>
      <c r="E1939" s="637" t="s">
        <v>3074</v>
      </c>
      <c r="F1939" s="636">
        <v>62677</v>
      </c>
      <c r="G1939" s="637" t="s">
        <v>81</v>
      </c>
      <c r="H1939" s="637" t="s">
        <v>1163</v>
      </c>
      <c r="I1939" s="637" t="s">
        <v>58</v>
      </c>
      <c r="J1939" s="636">
        <v>92214</v>
      </c>
      <c r="K1939" s="636">
        <v>5</v>
      </c>
      <c r="L1939" s="637" t="s">
        <v>407</v>
      </c>
      <c r="M1939" s="637" t="s">
        <v>50</v>
      </c>
      <c r="N1939" s="637" t="s">
        <v>39</v>
      </c>
      <c r="O1939" s="637" t="s">
        <v>39</v>
      </c>
      <c r="P1939" s="637" t="s">
        <v>1020</v>
      </c>
      <c r="Q1939" s="638">
        <v>184849</v>
      </c>
      <c r="R1939" s="638">
        <v>110483</v>
      </c>
      <c r="S1939" s="638">
        <v>184849</v>
      </c>
      <c r="T1939" s="638">
        <v>110483</v>
      </c>
      <c r="U1939" s="638">
        <v>9519.7199999999993</v>
      </c>
      <c r="V1939" s="636">
        <v>2022</v>
      </c>
      <c r="W1939" s="640"/>
      <c r="X1939" s="641" t="str">
        <f t="shared" si="90"/>
        <v/>
      </c>
      <c r="Y1939" s="642">
        <f t="shared" si="91"/>
        <v>7.4682626412089048</v>
      </c>
      <c r="Z1939" s="642" t="str">
        <f t="shared" si="92"/>
        <v/>
      </c>
    </row>
    <row r="1940" spans="1:26" s="127" customFormat="1" ht="25">
      <c r="A1940" s="636">
        <v>62759</v>
      </c>
      <c r="B1940" s="637" t="s">
        <v>33</v>
      </c>
      <c r="C1940" s="636" t="s">
        <v>2725</v>
      </c>
      <c r="D1940" s="637" t="s">
        <v>2855</v>
      </c>
      <c r="E1940" s="637" t="s">
        <v>1950</v>
      </c>
      <c r="F1940" s="636">
        <v>60281</v>
      </c>
      <c r="G1940" s="637" t="s">
        <v>57</v>
      </c>
      <c r="H1940" s="637" t="s">
        <v>1162</v>
      </c>
      <c r="I1940" s="637" t="s">
        <v>58</v>
      </c>
      <c r="J1940" s="636">
        <v>22</v>
      </c>
      <c r="K1940" s="636">
        <v>2</v>
      </c>
      <c r="L1940" s="637" t="s">
        <v>52</v>
      </c>
      <c r="M1940" s="637" t="s">
        <v>441</v>
      </c>
      <c r="N1940" s="637" t="s">
        <v>442</v>
      </c>
      <c r="O1940" s="637" t="s">
        <v>442</v>
      </c>
      <c r="P1940" s="637" t="s">
        <v>1156</v>
      </c>
      <c r="Q1940" s="638">
        <v>0</v>
      </c>
      <c r="R1940" s="638">
        <v>0</v>
      </c>
      <c r="S1940" s="638">
        <v>10246</v>
      </c>
      <c r="T1940" s="638">
        <v>10246</v>
      </c>
      <c r="U1940" s="638">
        <v>3003</v>
      </c>
      <c r="V1940" s="636">
        <v>2022</v>
      </c>
      <c r="W1940" s="640"/>
      <c r="X1940" s="641">
        <f t="shared" si="90"/>
        <v>3.4119214119214121</v>
      </c>
      <c r="Y1940" s="642" t="str">
        <f t="shared" si="91"/>
        <v/>
      </c>
      <c r="Z1940" s="642" t="str">
        <f t="shared" si="92"/>
        <v/>
      </c>
    </row>
    <row r="1941" spans="1:26" s="127" customFormat="1" ht="25">
      <c r="A1941" s="636">
        <v>62760</v>
      </c>
      <c r="B1941" s="637" t="s">
        <v>33</v>
      </c>
      <c r="C1941" s="636" t="s">
        <v>2725</v>
      </c>
      <c r="D1941" s="637" t="s">
        <v>2856</v>
      </c>
      <c r="E1941" s="637" t="s">
        <v>1950</v>
      </c>
      <c r="F1941" s="636">
        <v>60281</v>
      </c>
      <c r="G1941" s="637" t="s">
        <v>81</v>
      </c>
      <c r="H1941" s="637" t="s">
        <v>1163</v>
      </c>
      <c r="I1941" s="637" t="s">
        <v>58</v>
      </c>
      <c r="J1941" s="636">
        <v>22</v>
      </c>
      <c r="K1941" s="636">
        <v>2</v>
      </c>
      <c r="L1941" s="637" t="s">
        <v>52</v>
      </c>
      <c r="M1941" s="637" t="s">
        <v>441</v>
      </c>
      <c r="N1941" s="637" t="s">
        <v>442</v>
      </c>
      <c r="O1941" s="637" t="s">
        <v>442</v>
      </c>
      <c r="P1941" s="637" t="s">
        <v>1156</v>
      </c>
      <c r="Q1941" s="638">
        <v>0</v>
      </c>
      <c r="R1941" s="638">
        <v>0</v>
      </c>
      <c r="S1941" s="638">
        <v>9716</v>
      </c>
      <c r="T1941" s="638">
        <v>9716</v>
      </c>
      <c r="U1941" s="638">
        <v>2848</v>
      </c>
      <c r="V1941" s="636">
        <v>2022</v>
      </c>
      <c r="W1941" s="640"/>
      <c r="X1941" s="641">
        <f t="shared" si="90"/>
        <v>3.4115168539325844</v>
      </c>
      <c r="Y1941" s="642" t="str">
        <f t="shared" si="91"/>
        <v/>
      </c>
      <c r="Z1941" s="642" t="str">
        <f t="shared" si="92"/>
        <v/>
      </c>
    </row>
    <row r="1942" spans="1:26" s="127" customFormat="1" ht="25">
      <c r="A1942" s="636">
        <v>62761</v>
      </c>
      <c r="B1942" s="637" t="s">
        <v>33</v>
      </c>
      <c r="C1942" s="636" t="s">
        <v>2725</v>
      </c>
      <c r="D1942" s="637" t="s">
        <v>2857</v>
      </c>
      <c r="E1942" s="637" t="s">
        <v>1950</v>
      </c>
      <c r="F1942" s="636">
        <v>60281</v>
      </c>
      <c r="G1942" s="637" t="s">
        <v>57</v>
      </c>
      <c r="H1942" s="637" t="s">
        <v>1162</v>
      </c>
      <c r="I1942" s="637" t="s">
        <v>58</v>
      </c>
      <c r="J1942" s="636">
        <v>22</v>
      </c>
      <c r="K1942" s="636">
        <v>2</v>
      </c>
      <c r="L1942" s="637" t="s">
        <v>52</v>
      </c>
      <c r="M1942" s="637" t="s">
        <v>441</v>
      </c>
      <c r="N1942" s="637" t="s">
        <v>442</v>
      </c>
      <c r="O1942" s="637" t="s">
        <v>442</v>
      </c>
      <c r="P1942" s="637" t="s">
        <v>1156</v>
      </c>
      <c r="Q1942" s="638">
        <v>0</v>
      </c>
      <c r="R1942" s="638">
        <v>0</v>
      </c>
      <c r="S1942" s="638">
        <v>10810</v>
      </c>
      <c r="T1942" s="638">
        <v>10810</v>
      </c>
      <c r="U1942" s="638">
        <v>3168</v>
      </c>
      <c r="V1942" s="636">
        <v>2022</v>
      </c>
      <c r="W1942" s="640"/>
      <c r="X1942" s="641">
        <f t="shared" si="90"/>
        <v>3.4122474747474749</v>
      </c>
      <c r="Y1942" s="642" t="str">
        <f t="shared" si="91"/>
        <v/>
      </c>
      <c r="Z1942" s="642" t="str">
        <f t="shared" si="92"/>
        <v/>
      </c>
    </row>
    <row r="1943" spans="1:26" s="127" customFormat="1" ht="25">
      <c r="A1943" s="636">
        <v>62763</v>
      </c>
      <c r="B1943" s="637" t="s">
        <v>33</v>
      </c>
      <c r="C1943" s="636" t="s">
        <v>2725</v>
      </c>
      <c r="D1943" s="637" t="s">
        <v>2858</v>
      </c>
      <c r="E1943" s="637" t="s">
        <v>1950</v>
      </c>
      <c r="F1943" s="636">
        <v>60281</v>
      </c>
      <c r="G1943" s="637" t="s">
        <v>81</v>
      </c>
      <c r="H1943" s="637" t="s">
        <v>1163</v>
      </c>
      <c r="I1943" s="637" t="s">
        <v>58</v>
      </c>
      <c r="J1943" s="636">
        <v>22</v>
      </c>
      <c r="K1943" s="636">
        <v>2</v>
      </c>
      <c r="L1943" s="637" t="s">
        <v>52</v>
      </c>
      <c r="M1943" s="637" t="s">
        <v>441</v>
      </c>
      <c r="N1943" s="637" t="s">
        <v>442</v>
      </c>
      <c r="O1943" s="637" t="s">
        <v>442</v>
      </c>
      <c r="P1943" s="637" t="s">
        <v>1156</v>
      </c>
      <c r="Q1943" s="638">
        <v>0</v>
      </c>
      <c r="R1943" s="638">
        <v>0</v>
      </c>
      <c r="S1943" s="638">
        <v>10389</v>
      </c>
      <c r="T1943" s="638">
        <v>10389</v>
      </c>
      <c r="U1943" s="638">
        <v>3045</v>
      </c>
      <c r="V1943" s="636">
        <v>2022</v>
      </c>
      <c r="W1943" s="640"/>
      <c r="X1943" s="641">
        <f t="shared" si="90"/>
        <v>3.411822660098522</v>
      </c>
      <c r="Y1943" s="642" t="str">
        <f t="shared" si="91"/>
        <v/>
      </c>
      <c r="Z1943" s="642" t="str">
        <f t="shared" si="92"/>
        <v/>
      </c>
    </row>
    <row r="1944" spans="1:26" s="127" customFormat="1" ht="25">
      <c r="A1944" s="636">
        <v>62764</v>
      </c>
      <c r="B1944" s="637" t="s">
        <v>33</v>
      </c>
      <c r="C1944" s="636" t="s">
        <v>2725</v>
      </c>
      <c r="D1944" s="637" t="s">
        <v>2859</v>
      </c>
      <c r="E1944" s="637" t="s">
        <v>1950</v>
      </c>
      <c r="F1944" s="636">
        <v>60281</v>
      </c>
      <c r="G1944" s="637" t="s">
        <v>57</v>
      </c>
      <c r="H1944" s="637" t="s">
        <v>1162</v>
      </c>
      <c r="I1944" s="637" t="s">
        <v>58</v>
      </c>
      <c r="J1944" s="636">
        <v>22</v>
      </c>
      <c r="K1944" s="636">
        <v>2</v>
      </c>
      <c r="L1944" s="637" t="s">
        <v>52</v>
      </c>
      <c r="M1944" s="637" t="s">
        <v>441</v>
      </c>
      <c r="N1944" s="637" t="s">
        <v>442</v>
      </c>
      <c r="O1944" s="637" t="s">
        <v>442</v>
      </c>
      <c r="P1944" s="637" t="s">
        <v>1156</v>
      </c>
      <c r="Q1944" s="638">
        <v>0</v>
      </c>
      <c r="R1944" s="638">
        <v>0</v>
      </c>
      <c r="S1944" s="638">
        <v>11686</v>
      </c>
      <c r="T1944" s="638">
        <v>11686</v>
      </c>
      <c r="U1944" s="638">
        <v>3425</v>
      </c>
      <c r="V1944" s="636">
        <v>2022</v>
      </c>
      <c r="W1944" s="640"/>
      <c r="X1944" s="641">
        <f t="shared" si="90"/>
        <v>3.4119708029197082</v>
      </c>
      <c r="Y1944" s="642" t="str">
        <f t="shared" si="91"/>
        <v/>
      </c>
      <c r="Z1944" s="642" t="str">
        <f t="shared" si="92"/>
        <v/>
      </c>
    </row>
    <row r="1945" spans="1:26" s="127" customFormat="1" ht="25">
      <c r="A1945" s="636">
        <v>62777</v>
      </c>
      <c r="B1945" s="637" t="s">
        <v>33</v>
      </c>
      <c r="C1945" s="636" t="s">
        <v>2725</v>
      </c>
      <c r="D1945" s="637" t="s">
        <v>2450</v>
      </c>
      <c r="E1945" s="637" t="s">
        <v>2451</v>
      </c>
      <c r="F1945" s="636">
        <v>62684</v>
      </c>
      <c r="G1945" s="637" t="s">
        <v>57</v>
      </c>
      <c r="H1945" s="637" t="s">
        <v>1162</v>
      </c>
      <c r="I1945" s="637" t="s">
        <v>58</v>
      </c>
      <c r="J1945" s="636">
        <v>22</v>
      </c>
      <c r="K1945" s="636">
        <v>2</v>
      </c>
      <c r="L1945" s="637" t="s">
        <v>52</v>
      </c>
      <c r="M1945" s="637" t="s">
        <v>441</v>
      </c>
      <c r="N1945" s="637" t="s">
        <v>442</v>
      </c>
      <c r="O1945" s="637" t="s">
        <v>442</v>
      </c>
      <c r="P1945" s="637" t="s">
        <v>1156</v>
      </c>
      <c r="Q1945" s="638">
        <v>0</v>
      </c>
      <c r="R1945" s="638">
        <v>0</v>
      </c>
      <c r="S1945" s="638">
        <v>7356</v>
      </c>
      <c r="T1945" s="638">
        <v>7356</v>
      </c>
      <c r="U1945" s="638">
        <v>2156</v>
      </c>
      <c r="V1945" s="636">
        <v>2022</v>
      </c>
      <c r="W1945" s="640"/>
      <c r="X1945" s="641">
        <f t="shared" si="90"/>
        <v>3.4118738404452689</v>
      </c>
      <c r="Y1945" s="642" t="str">
        <f t="shared" si="91"/>
        <v/>
      </c>
      <c r="Z1945" s="642" t="str">
        <f t="shared" si="92"/>
        <v/>
      </c>
    </row>
    <row r="1946" spans="1:26" s="127" customFormat="1" ht="25">
      <c r="A1946" s="636">
        <v>62781</v>
      </c>
      <c r="B1946" s="637" t="s">
        <v>33</v>
      </c>
      <c r="C1946" s="636" t="s">
        <v>2725</v>
      </c>
      <c r="D1946" s="637" t="s">
        <v>3305</v>
      </c>
      <c r="E1946" s="637" t="s">
        <v>1731</v>
      </c>
      <c r="F1946" s="636">
        <v>59254</v>
      </c>
      <c r="G1946" s="637" t="s">
        <v>130</v>
      </c>
      <c r="H1946" s="637" t="s">
        <v>1163</v>
      </c>
      <c r="I1946" s="637" t="s">
        <v>58</v>
      </c>
      <c r="J1946" s="636">
        <v>22</v>
      </c>
      <c r="K1946" s="636">
        <v>2</v>
      </c>
      <c r="L1946" s="637" t="s">
        <v>52</v>
      </c>
      <c r="M1946" s="637" t="s">
        <v>441</v>
      </c>
      <c r="N1946" s="637" t="s">
        <v>442</v>
      </c>
      <c r="O1946" s="637" t="s">
        <v>442</v>
      </c>
      <c r="P1946" s="637" t="s">
        <v>1156</v>
      </c>
      <c r="Q1946" s="638">
        <v>0</v>
      </c>
      <c r="R1946" s="638">
        <v>0</v>
      </c>
      <c r="S1946" s="638">
        <v>24113</v>
      </c>
      <c r="T1946" s="638">
        <v>24113</v>
      </c>
      <c r="U1946" s="638">
        <v>7067</v>
      </c>
      <c r="V1946" s="636">
        <v>2022</v>
      </c>
      <c r="W1946" s="640"/>
      <c r="X1946" s="641">
        <f t="shared" si="90"/>
        <v>3.4120560350926845</v>
      </c>
      <c r="Y1946" s="642" t="str">
        <f t="shared" si="91"/>
        <v/>
      </c>
      <c r="Z1946" s="642" t="str">
        <f t="shared" si="92"/>
        <v/>
      </c>
    </row>
    <row r="1947" spans="1:26" s="127" customFormat="1" ht="25">
      <c r="A1947" s="636">
        <v>62784</v>
      </c>
      <c r="B1947" s="637" t="s">
        <v>33</v>
      </c>
      <c r="C1947" s="636" t="s">
        <v>2725</v>
      </c>
      <c r="D1947" s="637" t="s">
        <v>2452</v>
      </c>
      <c r="E1947" s="637" t="s">
        <v>2453</v>
      </c>
      <c r="F1947" s="636">
        <v>62688</v>
      </c>
      <c r="G1947" s="637" t="s">
        <v>57</v>
      </c>
      <c r="H1947" s="637" t="s">
        <v>1162</v>
      </c>
      <c r="I1947" s="637" t="s">
        <v>58</v>
      </c>
      <c r="J1947" s="636">
        <v>22</v>
      </c>
      <c r="K1947" s="636">
        <v>2</v>
      </c>
      <c r="L1947" s="637" t="s">
        <v>52</v>
      </c>
      <c r="M1947" s="637" t="s">
        <v>441</v>
      </c>
      <c r="N1947" s="637" t="s">
        <v>442</v>
      </c>
      <c r="O1947" s="637" t="s">
        <v>442</v>
      </c>
      <c r="P1947" s="637" t="s">
        <v>1156</v>
      </c>
      <c r="Q1947" s="638">
        <v>0</v>
      </c>
      <c r="R1947" s="638">
        <v>0</v>
      </c>
      <c r="S1947" s="638">
        <v>7411</v>
      </c>
      <c r="T1947" s="638">
        <v>7411</v>
      </c>
      <c r="U1947" s="638">
        <v>2172</v>
      </c>
      <c r="V1947" s="636">
        <v>2022</v>
      </c>
      <c r="W1947" s="640"/>
      <c r="X1947" s="641">
        <f t="shared" si="90"/>
        <v>3.4120626151012892</v>
      </c>
      <c r="Y1947" s="642" t="str">
        <f t="shared" si="91"/>
        <v/>
      </c>
      <c r="Z1947" s="642" t="str">
        <f t="shared" si="92"/>
        <v/>
      </c>
    </row>
    <row r="1948" spans="1:26" s="127" customFormat="1" ht="25">
      <c r="A1948" s="636">
        <v>62785</v>
      </c>
      <c r="B1948" s="637" t="s">
        <v>33</v>
      </c>
      <c r="C1948" s="636" t="s">
        <v>2725</v>
      </c>
      <c r="D1948" s="637" t="s">
        <v>2454</v>
      </c>
      <c r="E1948" s="637" t="s">
        <v>2453</v>
      </c>
      <c r="F1948" s="636">
        <v>62688</v>
      </c>
      <c r="G1948" s="637" t="s">
        <v>57</v>
      </c>
      <c r="H1948" s="637" t="s">
        <v>1162</v>
      </c>
      <c r="I1948" s="637" t="s">
        <v>58</v>
      </c>
      <c r="J1948" s="636">
        <v>22</v>
      </c>
      <c r="K1948" s="636">
        <v>2</v>
      </c>
      <c r="L1948" s="637" t="s">
        <v>52</v>
      </c>
      <c r="M1948" s="637" t="s">
        <v>441</v>
      </c>
      <c r="N1948" s="637" t="s">
        <v>442</v>
      </c>
      <c r="O1948" s="637" t="s">
        <v>442</v>
      </c>
      <c r="P1948" s="637" t="s">
        <v>1156</v>
      </c>
      <c r="Q1948" s="638">
        <v>0</v>
      </c>
      <c r="R1948" s="638">
        <v>0</v>
      </c>
      <c r="S1948" s="638">
        <v>5070</v>
      </c>
      <c r="T1948" s="638">
        <v>5070</v>
      </c>
      <c r="U1948" s="638">
        <v>1486</v>
      </c>
      <c r="V1948" s="636">
        <v>2022</v>
      </c>
      <c r="W1948" s="640"/>
      <c r="X1948" s="641">
        <f t="shared" si="90"/>
        <v>3.4118438761776582</v>
      </c>
      <c r="Y1948" s="642" t="str">
        <f t="shared" si="91"/>
        <v/>
      </c>
      <c r="Z1948" s="642" t="str">
        <f t="shared" si="92"/>
        <v/>
      </c>
    </row>
    <row r="1949" spans="1:26" s="127" customFormat="1" ht="25">
      <c r="A1949" s="636">
        <v>62788</v>
      </c>
      <c r="B1949" s="637" t="s">
        <v>33</v>
      </c>
      <c r="C1949" s="636" t="s">
        <v>2725</v>
      </c>
      <c r="D1949" s="637" t="s">
        <v>2860</v>
      </c>
      <c r="E1949" s="637" t="s">
        <v>2849</v>
      </c>
      <c r="F1949" s="636">
        <v>60531</v>
      </c>
      <c r="G1949" s="637" t="s">
        <v>57</v>
      </c>
      <c r="H1949" s="637" t="s">
        <v>1162</v>
      </c>
      <c r="I1949" s="637" t="s">
        <v>58</v>
      </c>
      <c r="J1949" s="636">
        <v>22</v>
      </c>
      <c r="K1949" s="636">
        <v>2</v>
      </c>
      <c r="L1949" s="637" t="s">
        <v>52</v>
      </c>
      <c r="M1949" s="637" t="s">
        <v>441</v>
      </c>
      <c r="N1949" s="637" t="s">
        <v>442</v>
      </c>
      <c r="O1949" s="637" t="s">
        <v>442</v>
      </c>
      <c r="P1949" s="637" t="s">
        <v>1156</v>
      </c>
      <c r="Q1949" s="638">
        <v>0</v>
      </c>
      <c r="R1949" s="638">
        <v>0</v>
      </c>
      <c r="S1949" s="638">
        <v>28575</v>
      </c>
      <c r="T1949" s="638">
        <v>28575</v>
      </c>
      <c r="U1949" s="638">
        <v>8375</v>
      </c>
      <c r="V1949" s="636">
        <v>2022</v>
      </c>
      <c r="W1949" s="640"/>
      <c r="X1949" s="641">
        <f t="shared" si="90"/>
        <v>3.4119402985074627</v>
      </c>
      <c r="Y1949" s="642" t="str">
        <f t="shared" si="91"/>
        <v/>
      </c>
      <c r="Z1949" s="642" t="str">
        <f t="shared" si="92"/>
        <v/>
      </c>
    </row>
    <row r="1950" spans="1:26" s="127" customFormat="1" ht="25">
      <c r="A1950" s="636">
        <v>62810</v>
      </c>
      <c r="B1950" s="637" t="s">
        <v>33</v>
      </c>
      <c r="C1950" s="636" t="s">
        <v>2725</v>
      </c>
      <c r="D1950" s="637" t="s">
        <v>2455</v>
      </c>
      <c r="E1950" s="637" t="s">
        <v>3306</v>
      </c>
      <c r="F1950" s="636">
        <v>64994</v>
      </c>
      <c r="G1950" s="637" t="s">
        <v>57</v>
      </c>
      <c r="H1950" s="637" t="s">
        <v>1162</v>
      </c>
      <c r="I1950" s="637" t="s">
        <v>58</v>
      </c>
      <c r="J1950" s="636">
        <v>22</v>
      </c>
      <c r="K1950" s="636">
        <v>2</v>
      </c>
      <c r="L1950" s="637" t="s">
        <v>52</v>
      </c>
      <c r="M1950" s="637" t="s">
        <v>441</v>
      </c>
      <c r="N1950" s="637" t="s">
        <v>442</v>
      </c>
      <c r="O1950" s="637" t="s">
        <v>442</v>
      </c>
      <c r="P1950" s="637" t="s">
        <v>1156</v>
      </c>
      <c r="Q1950" s="638">
        <v>0</v>
      </c>
      <c r="R1950" s="638">
        <v>0</v>
      </c>
      <c r="S1950" s="638">
        <v>8577</v>
      </c>
      <c r="T1950" s="638">
        <v>8577</v>
      </c>
      <c r="U1950" s="638">
        <v>2514</v>
      </c>
      <c r="V1950" s="636">
        <v>2022</v>
      </c>
      <c r="W1950" s="640"/>
      <c r="X1950" s="641">
        <f t="shared" si="90"/>
        <v>3.4116945107398569</v>
      </c>
      <c r="Y1950" s="642" t="str">
        <f t="shared" si="91"/>
        <v/>
      </c>
      <c r="Z1950" s="642" t="str">
        <f t="shared" si="92"/>
        <v/>
      </c>
    </row>
    <row r="1951" spans="1:26" s="127" customFormat="1" ht="25">
      <c r="A1951" s="636">
        <v>62824</v>
      </c>
      <c r="B1951" s="637" t="s">
        <v>33</v>
      </c>
      <c r="C1951" s="636" t="s">
        <v>2725</v>
      </c>
      <c r="D1951" s="637" t="s">
        <v>2861</v>
      </c>
      <c r="E1951" s="637" t="s">
        <v>2862</v>
      </c>
      <c r="F1951" s="636">
        <v>62719</v>
      </c>
      <c r="G1951" s="637" t="s">
        <v>81</v>
      </c>
      <c r="H1951" s="637" t="s">
        <v>1163</v>
      </c>
      <c r="I1951" s="637" t="s">
        <v>58</v>
      </c>
      <c r="J1951" s="636">
        <v>22</v>
      </c>
      <c r="K1951" s="636">
        <v>2</v>
      </c>
      <c r="L1951" s="637" t="s">
        <v>52</v>
      </c>
      <c r="M1951" s="637" t="s">
        <v>441</v>
      </c>
      <c r="N1951" s="637" t="s">
        <v>442</v>
      </c>
      <c r="O1951" s="637" t="s">
        <v>442</v>
      </c>
      <c r="P1951" s="637" t="s">
        <v>1156</v>
      </c>
      <c r="Q1951" s="638">
        <v>0</v>
      </c>
      <c r="R1951" s="638">
        <v>0</v>
      </c>
      <c r="S1951" s="638">
        <v>10470</v>
      </c>
      <c r="T1951" s="638">
        <v>10470</v>
      </c>
      <c r="U1951" s="638">
        <v>3069</v>
      </c>
      <c r="V1951" s="636">
        <v>2022</v>
      </c>
      <c r="W1951" s="640"/>
      <c r="X1951" s="641">
        <f t="shared" si="90"/>
        <v>3.4115347018572826</v>
      </c>
      <c r="Y1951" s="642" t="str">
        <f t="shared" si="91"/>
        <v/>
      </c>
      <c r="Z1951" s="642" t="str">
        <f t="shared" si="92"/>
        <v/>
      </c>
    </row>
    <row r="1952" spans="1:26" s="127" customFormat="1" ht="25">
      <c r="A1952" s="636">
        <v>62825</v>
      </c>
      <c r="B1952" s="637" t="s">
        <v>33</v>
      </c>
      <c r="C1952" s="636" t="s">
        <v>2725</v>
      </c>
      <c r="D1952" s="637" t="s">
        <v>2863</v>
      </c>
      <c r="E1952" s="637" t="s">
        <v>2862</v>
      </c>
      <c r="F1952" s="636">
        <v>62719</v>
      </c>
      <c r="G1952" s="637" t="s">
        <v>81</v>
      </c>
      <c r="H1952" s="637" t="s">
        <v>1163</v>
      </c>
      <c r="I1952" s="637" t="s">
        <v>58</v>
      </c>
      <c r="J1952" s="636">
        <v>22</v>
      </c>
      <c r="K1952" s="636">
        <v>2</v>
      </c>
      <c r="L1952" s="637" t="s">
        <v>52</v>
      </c>
      <c r="M1952" s="637" t="s">
        <v>441</v>
      </c>
      <c r="N1952" s="637" t="s">
        <v>442</v>
      </c>
      <c r="O1952" s="637" t="s">
        <v>442</v>
      </c>
      <c r="P1952" s="637" t="s">
        <v>1156</v>
      </c>
      <c r="Q1952" s="638">
        <v>0</v>
      </c>
      <c r="R1952" s="638">
        <v>0</v>
      </c>
      <c r="S1952" s="638">
        <v>22071</v>
      </c>
      <c r="T1952" s="638">
        <v>22071</v>
      </c>
      <c r="U1952" s="638">
        <v>6469</v>
      </c>
      <c r="V1952" s="636">
        <v>2022</v>
      </c>
      <c r="W1952" s="640"/>
      <c r="X1952" s="641">
        <f t="shared" si="90"/>
        <v>3.4118101715875717</v>
      </c>
      <c r="Y1952" s="642" t="str">
        <f t="shared" si="91"/>
        <v/>
      </c>
      <c r="Z1952" s="642" t="str">
        <f t="shared" si="92"/>
        <v/>
      </c>
    </row>
    <row r="1953" spans="1:26" s="127" customFormat="1" ht="25">
      <c r="A1953" s="636">
        <v>62826</v>
      </c>
      <c r="B1953" s="637" t="s">
        <v>33</v>
      </c>
      <c r="C1953" s="636" t="s">
        <v>2725</v>
      </c>
      <c r="D1953" s="637" t="s">
        <v>3647</v>
      </c>
      <c r="E1953" s="637" t="s">
        <v>2862</v>
      </c>
      <c r="F1953" s="636">
        <v>62719</v>
      </c>
      <c r="G1953" s="637" t="s">
        <v>81</v>
      </c>
      <c r="H1953" s="637" t="s">
        <v>1163</v>
      </c>
      <c r="I1953" s="637" t="s">
        <v>58</v>
      </c>
      <c r="J1953" s="636">
        <v>22</v>
      </c>
      <c r="K1953" s="636">
        <v>2</v>
      </c>
      <c r="L1953" s="637" t="s">
        <v>52</v>
      </c>
      <c r="M1953" s="637" t="s">
        <v>441</v>
      </c>
      <c r="N1953" s="637" t="s">
        <v>442</v>
      </c>
      <c r="O1953" s="637" t="s">
        <v>442</v>
      </c>
      <c r="P1953" s="637" t="s">
        <v>1156</v>
      </c>
      <c r="Q1953" s="638">
        <v>0</v>
      </c>
      <c r="R1953" s="638">
        <v>0</v>
      </c>
      <c r="S1953" s="638">
        <v>13190</v>
      </c>
      <c r="T1953" s="638">
        <v>13190</v>
      </c>
      <c r="U1953" s="638">
        <v>3866</v>
      </c>
      <c r="V1953" s="636">
        <v>2022</v>
      </c>
      <c r="W1953" s="640"/>
      <c r="X1953" s="641">
        <f t="shared" si="90"/>
        <v>3.4117951370926023</v>
      </c>
      <c r="Y1953" s="642" t="str">
        <f t="shared" si="91"/>
        <v/>
      </c>
      <c r="Z1953" s="642" t="str">
        <f t="shared" si="92"/>
        <v/>
      </c>
    </row>
    <row r="1954" spans="1:26" s="127" customFormat="1" ht="25">
      <c r="A1954" s="636">
        <v>62827</v>
      </c>
      <c r="B1954" s="637" t="s">
        <v>33</v>
      </c>
      <c r="C1954" s="636" t="s">
        <v>2725</v>
      </c>
      <c r="D1954" s="637" t="s">
        <v>2864</v>
      </c>
      <c r="E1954" s="637" t="s">
        <v>2862</v>
      </c>
      <c r="F1954" s="636">
        <v>62719</v>
      </c>
      <c r="G1954" s="637" t="s">
        <v>81</v>
      </c>
      <c r="H1954" s="637" t="s">
        <v>1163</v>
      </c>
      <c r="I1954" s="637" t="s">
        <v>58</v>
      </c>
      <c r="J1954" s="636">
        <v>22</v>
      </c>
      <c r="K1954" s="636">
        <v>2</v>
      </c>
      <c r="L1954" s="637" t="s">
        <v>52</v>
      </c>
      <c r="M1954" s="637" t="s">
        <v>441</v>
      </c>
      <c r="N1954" s="637" t="s">
        <v>442</v>
      </c>
      <c r="O1954" s="637" t="s">
        <v>442</v>
      </c>
      <c r="P1954" s="637" t="s">
        <v>1156</v>
      </c>
      <c r="Q1954" s="638">
        <v>0</v>
      </c>
      <c r="R1954" s="638">
        <v>0</v>
      </c>
      <c r="S1954" s="638">
        <v>15930</v>
      </c>
      <c r="T1954" s="638">
        <v>15930</v>
      </c>
      <c r="U1954" s="638">
        <v>4669</v>
      </c>
      <c r="V1954" s="636">
        <v>2022</v>
      </c>
      <c r="W1954" s="640"/>
      <c r="X1954" s="641">
        <f t="shared" si="90"/>
        <v>3.4118654958235166</v>
      </c>
      <c r="Y1954" s="642" t="str">
        <f t="shared" si="91"/>
        <v/>
      </c>
      <c r="Z1954" s="642" t="str">
        <f t="shared" si="92"/>
        <v/>
      </c>
    </row>
    <row r="1955" spans="1:26" s="127" customFormat="1" ht="25">
      <c r="A1955" s="636">
        <v>62831</v>
      </c>
      <c r="B1955" s="637" t="s">
        <v>33</v>
      </c>
      <c r="C1955" s="636" t="s">
        <v>2725</v>
      </c>
      <c r="D1955" s="637" t="s">
        <v>3075</v>
      </c>
      <c r="E1955" s="637" t="s">
        <v>3076</v>
      </c>
      <c r="F1955" s="636">
        <v>62879</v>
      </c>
      <c r="G1955" s="637" t="s">
        <v>57</v>
      </c>
      <c r="H1955" s="637" t="s">
        <v>1162</v>
      </c>
      <c r="I1955" s="637" t="s">
        <v>58</v>
      </c>
      <c r="J1955" s="636">
        <v>22</v>
      </c>
      <c r="K1955" s="636">
        <v>2</v>
      </c>
      <c r="L1955" s="637" t="s">
        <v>52</v>
      </c>
      <c r="M1955" s="637" t="s">
        <v>441</v>
      </c>
      <c r="N1955" s="637" t="s">
        <v>442</v>
      </c>
      <c r="O1955" s="637" t="s">
        <v>442</v>
      </c>
      <c r="P1955" s="637" t="s">
        <v>1156</v>
      </c>
      <c r="Q1955" s="638">
        <v>0</v>
      </c>
      <c r="R1955" s="638">
        <v>0</v>
      </c>
      <c r="S1955" s="638">
        <v>10517</v>
      </c>
      <c r="T1955" s="638">
        <v>10517</v>
      </c>
      <c r="U1955" s="638">
        <v>3082</v>
      </c>
      <c r="V1955" s="636">
        <v>2022</v>
      </c>
      <c r="W1955" s="640"/>
      <c r="X1955" s="641">
        <f t="shared" si="90"/>
        <v>3.4123945489941598</v>
      </c>
      <c r="Y1955" s="642" t="str">
        <f t="shared" si="91"/>
        <v/>
      </c>
      <c r="Z1955" s="642" t="str">
        <f t="shared" si="92"/>
        <v/>
      </c>
    </row>
    <row r="1956" spans="1:26" s="127" customFormat="1" ht="25">
      <c r="A1956" s="636">
        <v>62832</v>
      </c>
      <c r="B1956" s="637" t="s">
        <v>33</v>
      </c>
      <c r="C1956" s="636" t="s">
        <v>2725</v>
      </c>
      <c r="D1956" s="637" t="s">
        <v>3077</v>
      </c>
      <c r="E1956" s="637" t="s">
        <v>3077</v>
      </c>
      <c r="F1956" s="636">
        <v>62880</v>
      </c>
      <c r="G1956" s="637" t="s">
        <v>57</v>
      </c>
      <c r="H1956" s="637" t="s">
        <v>1162</v>
      </c>
      <c r="I1956" s="637" t="s">
        <v>58</v>
      </c>
      <c r="J1956" s="636">
        <v>22</v>
      </c>
      <c r="K1956" s="636">
        <v>2</v>
      </c>
      <c r="L1956" s="637" t="s">
        <v>52</v>
      </c>
      <c r="M1956" s="637" t="s">
        <v>441</v>
      </c>
      <c r="N1956" s="637" t="s">
        <v>442</v>
      </c>
      <c r="O1956" s="637" t="s">
        <v>442</v>
      </c>
      <c r="P1956" s="637" t="s">
        <v>1156</v>
      </c>
      <c r="Q1956" s="638">
        <v>0</v>
      </c>
      <c r="R1956" s="638">
        <v>0</v>
      </c>
      <c r="S1956" s="638">
        <v>10048</v>
      </c>
      <c r="T1956" s="638">
        <v>10048</v>
      </c>
      <c r="U1956" s="638">
        <v>2945</v>
      </c>
      <c r="V1956" s="636">
        <v>2022</v>
      </c>
      <c r="W1956" s="640"/>
      <c r="X1956" s="641">
        <f t="shared" si="90"/>
        <v>3.4118845500848898</v>
      </c>
      <c r="Y1956" s="642" t="str">
        <f t="shared" si="91"/>
        <v/>
      </c>
      <c r="Z1956" s="642" t="str">
        <f t="shared" si="92"/>
        <v/>
      </c>
    </row>
    <row r="1957" spans="1:26" s="127" customFormat="1" ht="25">
      <c r="A1957" s="636">
        <v>62834</v>
      </c>
      <c r="B1957" s="637" t="s">
        <v>33</v>
      </c>
      <c r="C1957" s="636" t="s">
        <v>2725</v>
      </c>
      <c r="D1957" s="637" t="s">
        <v>2865</v>
      </c>
      <c r="E1957" s="637" t="s">
        <v>2866</v>
      </c>
      <c r="F1957" s="636">
        <v>63179</v>
      </c>
      <c r="G1957" s="637" t="s">
        <v>57</v>
      </c>
      <c r="H1957" s="637" t="s">
        <v>1162</v>
      </c>
      <c r="I1957" s="637" t="s">
        <v>58</v>
      </c>
      <c r="J1957" s="636">
        <v>22</v>
      </c>
      <c r="K1957" s="636">
        <v>2</v>
      </c>
      <c r="L1957" s="637" t="s">
        <v>52</v>
      </c>
      <c r="M1957" s="637" t="s">
        <v>441</v>
      </c>
      <c r="N1957" s="637" t="s">
        <v>442</v>
      </c>
      <c r="O1957" s="637" t="s">
        <v>442</v>
      </c>
      <c r="P1957" s="637" t="s">
        <v>1156</v>
      </c>
      <c r="Q1957" s="638">
        <v>0</v>
      </c>
      <c r="R1957" s="638">
        <v>0</v>
      </c>
      <c r="S1957" s="638">
        <v>10849</v>
      </c>
      <c r="T1957" s="638">
        <v>10849</v>
      </c>
      <c r="U1957" s="638">
        <v>3179</v>
      </c>
      <c r="V1957" s="636">
        <v>2022</v>
      </c>
      <c r="W1957" s="640"/>
      <c r="X1957" s="641">
        <f t="shared" si="90"/>
        <v>3.4127083988675686</v>
      </c>
      <c r="Y1957" s="642" t="str">
        <f t="shared" si="91"/>
        <v/>
      </c>
      <c r="Z1957" s="642" t="str">
        <f t="shared" si="92"/>
        <v/>
      </c>
    </row>
    <row r="1958" spans="1:26" s="127" customFormat="1" ht="37.5" hidden="1">
      <c r="A1958" s="636">
        <v>62835</v>
      </c>
      <c r="B1958" s="637" t="s">
        <v>33</v>
      </c>
      <c r="C1958" s="636" t="s">
        <v>2725</v>
      </c>
      <c r="D1958" s="637" t="s">
        <v>2867</v>
      </c>
      <c r="E1958" s="637" t="s">
        <v>2868</v>
      </c>
      <c r="F1958" s="636">
        <v>63332</v>
      </c>
      <c r="G1958" s="637" t="s">
        <v>81</v>
      </c>
      <c r="H1958" s="637" t="s">
        <v>1163</v>
      </c>
      <c r="I1958" s="637" t="s">
        <v>58</v>
      </c>
      <c r="J1958" s="636">
        <v>339</v>
      </c>
      <c r="K1958" s="636">
        <v>6</v>
      </c>
      <c r="L1958" s="637" t="s">
        <v>404</v>
      </c>
      <c r="M1958" s="637" t="s">
        <v>1852</v>
      </c>
      <c r="N1958" s="637" t="s">
        <v>1035</v>
      </c>
      <c r="O1958" s="637" t="s">
        <v>82</v>
      </c>
      <c r="P1958" s="637" t="s">
        <v>2726</v>
      </c>
      <c r="Q1958" s="638">
        <v>937</v>
      </c>
      <c r="R1958" s="638">
        <v>937</v>
      </c>
      <c r="S1958" s="638">
        <v>0</v>
      </c>
      <c r="T1958" s="638">
        <v>0</v>
      </c>
      <c r="U1958" s="638">
        <v>-298</v>
      </c>
      <c r="V1958" s="636">
        <v>2022</v>
      </c>
      <c r="W1958" s="640"/>
      <c r="X1958" s="641" t="str">
        <f t="shared" si="90"/>
        <v/>
      </c>
      <c r="Y1958" s="642" t="str">
        <f t="shared" si="91"/>
        <v/>
      </c>
      <c r="Z1958" s="642" t="str">
        <f t="shared" si="92"/>
        <v/>
      </c>
    </row>
    <row r="1959" spans="1:26" s="127" customFormat="1" ht="25">
      <c r="A1959" s="636">
        <v>62839</v>
      </c>
      <c r="B1959" s="637" t="s">
        <v>33</v>
      </c>
      <c r="C1959" s="636" t="s">
        <v>2725</v>
      </c>
      <c r="D1959" s="637" t="s">
        <v>3307</v>
      </c>
      <c r="E1959" s="637" t="s">
        <v>107</v>
      </c>
      <c r="F1959" s="636">
        <v>4226</v>
      </c>
      <c r="G1959" s="637" t="s">
        <v>57</v>
      </c>
      <c r="H1959" s="637" t="s">
        <v>1162</v>
      </c>
      <c r="I1959" s="637" t="s">
        <v>58</v>
      </c>
      <c r="J1959" s="636">
        <v>22</v>
      </c>
      <c r="K1959" s="636">
        <v>1</v>
      </c>
      <c r="L1959" s="637" t="s">
        <v>34</v>
      </c>
      <c r="M1959" s="637" t="s">
        <v>1852</v>
      </c>
      <c r="N1959" s="637" t="s">
        <v>1035</v>
      </c>
      <c r="O1959" s="637" t="s">
        <v>82</v>
      </c>
      <c r="P1959" s="637" t="s">
        <v>2726</v>
      </c>
      <c r="Q1959" s="638">
        <v>12</v>
      </c>
      <c r="R1959" s="638">
        <v>12</v>
      </c>
      <c r="S1959" s="638">
        <v>0</v>
      </c>
      <c r="T1959" s="638">
        <v>0</v>
      </c>
      <c r="U1959" s="638">
        <v>16</v>
      </c>
      <c r="V1959" s="636">
        <v>2022</v>
      </c>
      <c r="W1959" s="640"/>
      <c r="X1959" s="641" t="str">
        <f t="shared" si="90"/>
        <v/>
      </c>
      <c r="Y1959" s="642" t="str">
        <f t="shared" si="91"/>
        <v/>
      </c>
      <c r="Z1959" s="642" t="str">
        <f t="shared" si="92"/>
        <v/>
      </c>
    </row>
    <row r="1960" spans="1:26" s="127" customFormat="1" ht="25">
      <c r="A1960" s="636">
        <v>62842</v>
      </c>
      <c r="B1960" s="637" t="s">
        <v>33</v>
      </c>
      <c r="C1960" s="636" t="s">
        <v>2725</v>
      </c>
      <c r="D1960" s="637" t="s">
        <v>2869</v>
      </c>
      <c r="E1960" s="637" t="s">
        <v>2277</v>
      </c>
      <c r="F1960" s="636">
        <v>60025</v>
      </c>
      <c r="G1960" s="637" t="s">
        <v>81</v>
      </c>
      <c r="H1960" s="637" t="s">
        <v>1163</v>
      </c>
      <c r="I1960" s="637" t="s">
        <v>58</v>
      </c>
      <c r="J1960" s="636">
        <v>22</v>
      </c>
      <c r="K1960" s="636">
        <v>2</v>
      </c>
      <c r="L1960" s="637" t="s">
        <v>52</v>
      </c>
      <c r="M1960" s="637" t="s">
        <v>441</v>
      </c>
      <c r="N1960" s="637" t="s">
        <v>442</v>
      </c>
      <c r="O1960" s="637" t="s">
        <v>442</v>
      </c>
      <c r="P1960" s="637" t="s">
        <v>1156</v>
      </c>
      <c r="Q1960" s="638">
        <v>0</v>
      </c>
      <c r="R1960" s="638">
        <v>0</v>
      </c>
      <c r="S1960" s="638">
        <v>19922</v>
      </c>
      <c r="T1960" s="638">
        <v>19922</v>
      </c>
      <c r="U1960" s="638">
        <v>5839</v>
      </c>
      <c r="V1960" s="636">
        <v>2022</v>
      </c>
      <c r="W1960" s="640"/>
      <c r="X1960" s="641">
        <f t="shared" si="90"/>
        <v>3.4118855968487756</v>
      </c>
      <c r="Y1960" s="642" t="str">
        <f t="shared" si="91"/>
        <v/>
      </c>
      <c r="Z1960" s="642" t="str">
        <f t="shared" si="92"/>
        <v/>
      </c>
    </row>
    <row r="1961" spans="1:26" s="127" customFormat="1" ht="25">
      <c r="A1961" s="636">
        <v>62843</v>
      </c>
      <c r="B1961" s="637" t="s">
        <v>33</v>
      </c>
      <c r="C1961" s="636" t="s">
        <v>2725</v>
      </c>
      <c r="D1961" s="637" t="s">
        <v>2870</v>
      </c>
      <c r="E1961" s="637" t="s">
        <v>3053</v>
      </c>
      <c r="F1961" s="636">
        <v>60571</v>
      </c>
      <c r="G1961" s="637" t="s">
        <v>57</v>
      </c>
      <c r="H1961" s="637" t="s">
        <v>1162</v>
      </c>
      <c r="I1961" s="637" t="s">
        <v>58</v>
      </c>
      <c r="J1961" s="636">
        <v>22</v>
      </c>
      <c r="K1961" s="636">
        <v>2</v>
      </c>
      <c r="L1961" s="637" t="s">
        <v>52</v>
      </c>
      <c r="M1961" s="637" t="s">
        <v>441</v>
      </c>
      <c r="N1961" s="637" t="s">
        <v>442</v>
      </c>
      <c r="O1961" s="637" t="s">
        <v>442</v>
      </c>
      <c r="P1961" s="637" t="s">
        <v>1156</v>
      </c>
      <c r="Q1961" s="638">
        <v>0</v>
      </c>
      <c r="R1961" s="638">
        <v>0</v>
      </c>
      <c r="S1961" s="638">
        <v>9492</v>
      </c>
      <c r="T1961" s="638">
        <v>9492</v>
      </c>
      <c r="U1961" s="638">
        <v>2782</v>
      </c>
      <c r="V1961" s="636">
        <v>2022</v>
      </c>
      <c r="W1961" s="640"/>
      <c r="X1961" s="641">
        <f t="shared" si="90"/>
        <v>3.4119338605319913</v>
      </c>
      <c r="Y1961" s="642" t="str">
        <f t="shared" si="91"/>
        <v/>
      </c>
      <c r="Z1961" s="642" t="str">
        <f t="shared" si="92"/>
        <v/>
      </c>
    </row>
    <row r="1962" spans="1:26" s="127" customFormat="1" ht="25">
      <c r="A1962" s="636">
        <v>62857</v>
      </c>
      <c r="B1962" s="637" t="s">
        <v>33</v>
      </c>
      <c r="C1962" s="636" t="s">
        <v>2725</v>
      </c>
      <c r="D1962" s="637" t="s">
        <v>3308</v>
      </c>
      <c r="E1962" s="637" t="s">
        <v>3309</v>
      </c>
      <c r="F1962" s="636">
        <v>62743</v>
      </c>
      <c r="G1962" s="637" t="s">
        <v>90</v>
      </c>
      <c r="H1962" s="637" t="s">
        <v>1163</v>
      </c>
      <c r="I1962" s="637" t="s">
        <v>58</v>
      </c>
      <c r="J1962" s="636">
        <v>22</v>
      </c>
      <c r="K1962" s="636">
        <v>2</v>
      </c>
      <c r="L1962" s="637" t="s">
        <v>52</v>
      </c>
      <c r="M1962" s="637" t="s">
        <v>71</v>
      </c>
      <c r="N1962" s="637" t="s">
        <v>72</v>
      </c>
      <c r="O1962" s="637" t="s">
        <v>72</v>
      </c>
      <c r="P1962" s="637" t="s">
        <v>1156</v>
      </c>
      <c r="Q1962" s="638">
        <v>0</v>
      </c>
      <c r="R1962" s="638">
        <v>0</v>
      </c>
      <c r="S1962" s="638">
        <v>148985</v>
      </c>
      <c r="T1962" s="638">
        <v>148985</v>
      </c>
      <c r="U1962" s="638">
        <v>43665</v>
      </c>
      <c r="V1962" s="636">
        <v>2022</v>
      </c>
      <c r="W1962" s="640"/>
      <c r="X1962" s="641">
        <f t="shared" si="90"/>
        <v>3.4120004580327494</v>
      </c>
      <c r="Y1962" s="642" t="str">
        <f t="shared" si="91"/>
        <v/>
      </c>
      <c r="Z1962" s="642" t="str">
        <f t="shared" si="92"/>
        <v/>
      </c>
    </row>
    <row r="1963" spans="1:26" s="127" customFormat="1" ht="25">
      <c r="A1963" s="636">
        <v>62859</v>
      </c>
      <c r="B1963" s="637" t="s">
        <v>33</v>
      </c>
      <c r="C1963" s="636" t="s">
        <v>2725</v>
      </c>
      <c r="D1963" s="637" t="s">
        <v>2871</v>
      </c>
      <c r="E1963" s="637" t="s">
        <v>1030</v>
      </c>
      <c r="F1963" s="636">
        <v>20151</v>
      </c>
      <c r="G1963" s="637" t="s">
        <v>89</v>
      </c>
      <c r="H1963" s="637" t="s">
        <v>1163</v>
      </c>
      <c r="I1963" s="637" t="s">
        <v>58</v>
      </c>
      <c r="J1963" s="636">
        <v>22</v>
      </c>
      <c r="K1963" s="636">
        <v>1</v>
      </c>
      <c r="L1963" s="637" t="s">
        <v>34</v>
      </c>
      <c r="M1963" s="637" t="s">
        <v>51</v>
      </c>
      <c r="N1963" s="637" t="s">
        <v>63</v>
      </c>
      <c r="O1963" s="637" t="s">
        <v>64</v>
      </c>
      <c r="P1963" s="637" t="s">
        <v>1020</v>
      </c>
      <c r="Q1963" s="638">
        <v>1051227</v>
      </c>
      <c r="R1963" s="638">
        <v>1051227</v>
      </c>
      <c r="S1963" s="638">
        <v>496181</v>
      </c>
      <c r="T1963" s="638">
        <v>496181</v>
      </c>
      <c r="U1963" s="638">
        <v>48801</v>
      </c>
      <c r="V1963" s="636">
        <v>2022</v>
      </c>
      <c r="W1963" s="640"/>
      <c r="X1963" s="641">
        <f t="shared" si="90"/>
        <v>10.167435093543165</v>
      </c>
      <c r="Y1963" s="642" t="str">
        <f t="shared" si="91"/>
        <v/>
      </c>
      <c r="Z1963" s="642" t="str">
        <f t="shared" si="92"/>
        <v/>
      </c>
    </row>
    <row r="1964" spans="1:26" s="127" customFormat="1" ht="25">
      <c r="A1964" s="636">
        <v>62860</v>
      </c>
      <c r="B1964" s="637" t="s">
        <v>33</v>
      </c>
      <c r="C1964" s="636" t="s">
        <v>2725</v>
      </c>
      <c r="D1964" s="637" t="s">
        <v>3078</v>
      </c>
      <c r="E1964" s="637" t="s">
        <v>3079</v>
      </c>
      <c r="F1964" s="636">
        <v>62881</v>
      </c>
      <c r="G1964" s="637" t="s">
        <v>57</v>
      </c>
      <c r="H1964" s="637" t="s">
        <v>1162</v>
      </c>
      <c r="I1964" s="637" t="s">
        <v>58</v>
      </c>
      <c r="J1964" s="636">
        <v>22</v>
      </c>
      <c r="K1964" s="636">
        <v>2</v>
      </c>
      <c r="L1964" s="637" t="s">
        <v>52</v>
      </c>
      <c r="M1964" s="637" t="s">
        <v>441</v>
      </c>
      <c r="N1964" s="637" t="s">
        <v>442</v>
      </c>
      <c r="O1964" s="637" t="s">
        <v>442</v>
      </c>
      <c r="P1964" s="637" t="s">
        <v>1156</v>
      </c>
      <c r="Q1964" s="638">
        <v>0</v>
      </c>
      <c r="R1964" s="638">
        <v>0</v>
      </c>
      <c r="S1964" s="638">
        <v>22009</v>
      </c>
      <c r="T1964" s="638">
        <v>22009</v>
      </c>
      <c r="U1964" s="638">
        <v>6451</v>
      </c>
      <c r="V1964" s="636">
        <v>2022</v>
      </c>
      <c r="W1964" s="640"/>
      <c r="X1964" s="641">
        <f t="shared" si="90"/>
        <v>3.4117191133157649</v>
      </c>
      <c r="Y1964" s="642" t="str">
        <f t="shared" si="91"/>
        <v/>
      </c>
      <c r="Z1964" s="642" t="str">
        <f t="shared" si="92"/>
        <v/>
      </c>
    </row>
    <row r="1965" spans="1:26" s="127" customFormat="1" ht="25">
      <c r="A1965" s="636">
        <v>62870</v>
      </c>
      <c r="B1965" s="637" t="s">
        <v>33</v>
      </c>
      <c r="C1965" s="636" t="s">
        <v>2725</v>
      </c>
      <c r="D1965" s="637" t="s">
        <v>2872</v>
      </c>
      <c r="E1965" s="637" t="s">
        <v>2873</v>
      </c>
      <c r="F1965" s="636">
        <v>62739</v>
      </c>
      <c r="G1965" s="637" t="s">
        <v>81</v>
      </c>
      <c r="H1965" s="637" t="s">
        <v>1163</v>
      </c>
      <c r="I1965" s="637" t="s">
        <v>58</v>
      </c>
      <c r="J1965" s="636">
        <v>22</v>
      </c>
      <c r="K1965" s="636">
        <v>2</v>
      </c>
      <c r="L1965" s="637" t="s">
        <v>52</v>
      </c>
      <c r="M1965" s="637" t="s">
        <v>441</v>
      </c>
      <c r="N1965" s="637" t="s">
        <v>442</v>
      </c>
      <c r="O1965" s="637" t="s">
        <v>442</v>
      </c>
      <c r="P1965" s="637" t="s">
        <v>1156</v>
      </c>
      <c r="Q1965" s="638">
        <v>0</v>
      </c>
      <c r="R1965" s="638">
        <v>0</v>
      </c>
      <c r="S1965" s="638">
        <v>14386</v>
      </c>
      <c r="T1965" s="638">
        <v>14386</v>
      </c>
      <c r="U1965" s="638">
        <v>4216</v>
      </c>
      <c r="V1965" s="636">
        <v>2022</v>
      </c>
      <c r="W1965" s="640"/>
      <c r="X1965" s="641">
        <f t="shared" si="90"/>
        <v>3.4122390891840606</v>
      </c>
      <c r="Y1965" s="642" t="str">
        <f t="shared" si="91"/>
        <v/>
      </c>
      <c r="Z1965" s="642" t="str">
        <f t="shared" si="92"/>
        <v/>
      </c>
    </row>
    <row r="1966" spans="1:26" s="127" customFormat="1" ht="25">
      <c r="A1966" s="636">
        <v>62890</v>
      </c>
      <c r="B1966" s="637" t="s">
        <v>33</v>
      </c>
      <c r="C1966" s="636" t="s">
        <v>2725</v>
      </c>
      <c r="D1966" s="637" t="s">
        <v>2874</v>
      </c>
      <c r="E1966" s="637" t="s">
        <v>2875</v>
      </c>
      <c r="F1966" s="636">
        <v>62762</v>
      </c>
      <c r="G1966" s="637" t="s">
        <v>81</v>
      </c>
      <c r="H1966" s="637" t="s">
        <v>1163</v>
      </c>
      <c r="I1966" s="637" t="s">
        <v>58</v>
      </c>
      <c r="J1966" s="636">
        <v>22</v>
      </c>
      <c r="K1966" s="636">
        <v>2</v>
      </c>
      <c r="L1966" s="637" t="s">
        <v>52</v>
      </c>
      <c r="M1966" s="637" t="s">
        <v>441</v>
      </c>
      <c r="N1966" s="637" t="s">
        <v>442</v>
      </c>
      <c r="O1966" s="637" t="s">
        <v>442</v>
      </c>
      <c r="P1966" s="637" t="s">
        <v>1156</v>
      </c>
      <c r="Q1966" s="638">
        <v>0</v>
      </c>
      <c r="R1966" s="638">
        <v>0</v>
      </c>
      <c r="S1966" s="638">
        <v>20963</v>
      </c>
      <c r="T1966" s="638">
        <v>20963</v>
      </c>
      <c r="U1966" s="638">
        <v>6144</v>
      </c>
      <c r="V1966" s="636">
        <v>2022</v>
      </c>
      <c r="W1966" s="640"/>
      <c r="X1966" s="641">
        <f t="shared" si="90"/>
        <v>3.4119466145833335</v>
      </c>
      <c r="Y1966" s="642" t="str">
        <f t="shared" si="91"/>
        <v/>
      </c>
      <c r="Z1966" s="642" t="str">
        <f t="shared" si="92"/>
        <v/>
      </c>
    </row>
    <row r="1967" spans="1:26" s="127" customFormat="1" ht="25">
      <c r="A1967" s="636">
        <v>62897</v>
      </c>
      <c r="B1967" s="637" t="s">
        <v>33</v>
      </c>
      <c r="C1967" s="636" t="s">
        <v>2725</v>
      </c>
      <c r="D1967" s="637" t="s">
        <v>2876</v>
      </c>
      <c r="E1967" s="637" t="s">
        <v>2277</v>
      </c>
      <c r="F1967" s="636">
        <v>60025</v>
      </c>
      <c r="G1967" s="637" t="s">
        <v>81</v>
      </c>
      <c r="H1967" s="637" t="s">
        <v>1163</v>
      </c>
      <c r="I1967" s="637" t="s">
        <v>58</v>
      </c>
      <c r="J1967" s="636">
        <v>22</v>
      </c>
      <c r="K1967" s="636">
        <v>2</v>
      </c>
      <c r="L1967" s="637" t="s">
        <v>52</v>
      </c>
      <c r="M1967" s="637" t="s">
        <v>71</v>
      </c>
      <c r="N1967" s="637" t="s">
        <v>72</v>
      </c>
      <c r="O1967" s="637" t="s">
        <v>72</v>
      </c>
      <c r="P1967" s="637" t="s">
        <v>1156</v>
      </c>
      <c r="Q1967" s="638">
        <v>0</v>
      </c>
      <c r="R1967" s="638">
        <v>0</v>
      </c>
      <c r="S1967" s="638">
        <v>39616</v>
      </c>
      <c r="T1967" s="638">
        <v>39616</v>
      </c>
      <c r="U1967" s="638">
        <v>11611</v>
      </c>
      <c r="V1967" s="636">
        <v>2022</v>
      </c>
      <c r="W1967" s="640"/>
      <c r="X1967" s="641">
        <f t="shared" si="90"/>
        <v>3.4119369563345106</v>
      </c>
      <c r="Y1967" s="642" t="str">
        <f t="shared" si="91"/>
        <v/>
      </c>
      <c r="Z1967" s="642" t="str">
        <f t="shared" si="92"/>
        <v/>
      </c>
    </row>
    <row r="1968" spans="1:26" s="127" customFormat="1" ht="25">
      <c r="A1968" s="636">
        <v>62898</v>
      </c>
      <c r="B1968" s="637" t="s">
        <v>33</v>
      </c>
      <c r="C1968" s="636" t="s">
        <v>2725</v>
      </c>
      <c r="D1968" s="637" t="s">
        <v>3080</v>
      </c>
      <c r="E1968" s="637" t="s">
        <v>2849</v>
      </c>
      <c r="F1968" s="636">
        <v>60531</v>
      </c>
      <c r="G1968" s="637" t="s">
        <v>130</v>
      </c>
      <c r="H1968" s="637" t="s">
        <v>1163</v>
      </c>
      <c r="I1968" s="637" t="s">
        <v>58</v>
      </c>
      <c r="J1968" s="636">
        <v>22</v>
      </c>
      <c r="K1968" s="636">
        <v>2</v>
      </c>
      <c r="L1968" s="637" t="s">
        <v>52</v>
      </c>
      <c r="M1968" s="637" t="s">
        <v>441</v>
      </c>
      <c r="N1968" s="637" t="s">
        <v>442</v>
      </c>
      <c r="O1968" s="637" t="s">
        <v>442</v>
      </c>
      <c r="P1968" s="637" t="s">
        <v>1156</v>
      </c>
      <c r="Q1968" s="638">
        <v>0</v>
      </c>
      <c r="R1968" s="638">
        <v>0</v>
      </c>
      <c r="S1968" s="638">
        <v>13395</v>
      </c>
      <c r="T1968" s="638">
        <v>13395</v>
      </c>
      <c r="U1968" s="638">
        <v>3926</v>
      </c>
      <c r="V1968" s="636">
        <v>2022</v>
      </c>
      <c r="W1968" s="640"/>
      <c r="X1968" s="641">
        <f t="shared" si="90"/>
        <v>3.4118695873662763</v>
      </c>
      <c r="Y1968" s="642" t="str">
        <f t="shared" si="91"/>
        <v/>
      </c>
      <c r="Z1968" s="642" t="str">
        <f t="shared" si="92"/>
        <v/>
      </c>
    </row>
    <row r="1969" spans="1:26" s="127" customFormat="1" ht="25">
      <c r="A1969" s="636">
        <v>62907</v>
      </c>
      <c r="B1969" s="637" t="s">
        <v>33</v>
      </c>
      <c r="C1969" s="636" t="s">
        <v>2725</v>
      </c>
      <c r="D1969" s="637" t="s">
        <v>2877</v>
      </c>
      <c r="E1969" s="637" t="s">
        <v>2878</v>
      </c>
      <c r="F1969" s="636">
        <v>61522</v>
      </c>
      <c r="G1969" s="637" t="s">
        <v>89</v>
      </c>
      <c r="H1969" s="637" t="s">
        <v>1163</v>
      </c>
      <c r="I1969" s="637" t="s">
        <v>58</v>
      </c>
      <c r="J1969" s="636">
        <v>22</v>
      </c>
      <c r="K1969" s="636">
        <v>2</v>
      </c>
      <c r="L1969" s="637" t="s">
        <v>52</v>
      </c>
      <c r="M1969" s="637" t="s">
        <v>1852</v>
      </c>
      <c r="N1969" s="637" t="s">
        <v>1035</v>
      </c>
      <c r="O1969" s="637" t="s">
        <v>82</v>
      </c>
      <c r="P1969" s="637" t="s">
        <v>2726</v>
      </c>
      <c r="Q1969" s="638">
        <v>2907</v>
      </c>
      <c r="R1969" s="638">
        <v>2907</v>
      </c>
      <c r="S1969" s="638">
        <v>0</v>
      </c>
      <c r="T1969" s="638">
        <v>0</v>
      </c>
      <c r="U1969" s="638">
        <v>-338</v>
      </c>
      <c r="V1969" s="636">
        <v>2022</v>
      </c>
      <c r="W1969" s="640"/>
      <c r="X1969" s="641" t="str">
        <f t="shared" si="90"/>
        <v/>
      </c>
      <c r="Y1969" s="642" t="str">
        <f t="shared" si="91"/>
        <v/>
      </c>
      <c r="Z1969" s="642" t="str">
        <f t="shared" si="92"/>
        <v/>
      </c>
    </row>
    <row r="1970" spans="1:26" s="127" customFormat="1" ht="25">
      <c r="A1970" s="636">
        <v>62911</v>
      </c>
      <c r="B1970" s="637" t="s">
        <v>33</v>
      </c>
      <c r="C1970" s="636" t="s">
        <v>2725</v>
      </c>
      <c r="D1970" s="637" t="s">
        <v>2879</v>
      </c>
      <c r="E1970" s="637" t="s">
        <v>2880</v>
      </c>
      <c r="F1970" s="636">
        <v>62773</v>
      </c>
      <c r="G1970" s="637" t="s">
        <v>81</v>
      </c>
      <c r="H1970" s="637" t="s">
        <v>1163</v>
      </c>
      <c r="I1970" s="637" t="s">
        <v>58</v>
      </c>
      <c r="J1970" s="636">
        <v>22</v>
      </c>
      <c r="K1970" s="636">
        <v>2</v>
      </c>
      <c r="L1970" s="637" t="s">
        <v>52</v>
      </c>
      <c r="M1970" s="637" t="s">
        <v>441</v>
      </c>
      <c r="N1970" s="637" t="s">
        <v>442</v>
      </c>
      <c r="O1970" s="637" t="s">
        <v>442</v>
      </c>
      <c r="P1970" s="637" t="s">
        <v>1156</v>
      </c>
      <c r="Q1970" s="638">
        <v>0</v>
      </c>
      <c r="R1970" s="638">
        <v>0</v>
      </c>
      <c r="S1970" s="638">
        <v>11448</v>
      </c>
      <c r="T1970" s="638">
        <v>11448</v>
      </c>
      <c r="U1970" s="638">
        <v>3355</v>
      </c>
      <c r="V1970" s="636">
        <v>2022</v>
      </c>
      <c r="W1970" s="640"/>
      <c r="X1970" s="641">
        <f t="shared" si="90"/>
        <v>3.4122205663189269</v>
      </c>
      <c r="Y1970" s="642" t="str">
        <f t="shared" si="91"/>
        <v/>
      </c>
      <c r="Z1970" s="642" t="str">
        <f t="shared" si="92"/>
        <v/>
      </c>
    </row>
    <row r="1971" spans="1:26" s="127" customFormat="1" ht="25">
      <c r="A1971" s="636">
        <v>62920</v>
      </c>
      <c r="B1971" s="637" t="s">
        <v>54</v>
      </c>
      <c r="C1971" s="636" t="s">
        <v>2725</v>
      </c>
      <c r="D1971" s="637" t="s">
        <v>2881</v>
      </c>
      <c r="E1971" s="637" t="s">
        <v>2881</v>
      </c>
      <c r="F1971" s="636">
        <v>62777</v>
      </c>
      <c r="G1971" s="637" t="s">
        <v>57</v>
      </c>
      <c r="H1971" s="637" t="s">
        <v>1162</v>
      </c>
      <c r="I1971" s="637" t="s">
        <v>58</v>
      </c>
      <c r="J1971" s="636">
        <v>22</v>
      </c>
      <c r="K1971" s="636">
        <v>3</v>
      </c>
      <c r="L1971" s="637" t="s">
        <v>55</v>
      </c>
      <c r="M1971" s="637" t="s">
        <v>51</v>
      </c>
      <c r="N1971" s="637" t="s">
        <v>39</v>
      </c>
      <c r="O1971" s="637" t="s">
        <v>39</v>
      </c>
      <c r="P1971" s="637" t="s">
        <v>1020</v>
      </c>
      <c r="Q1971" s="638">
        <v>212275</v>
      </c>
      <c r="R1971" s="638">
        <v>203765</v>
      </c>
      <c r="S1971" s="638">
        <v>220129</v>
      </c>
      <c r="T1971" s="638">
        <v>211303</v>
      </c>
      <c r="U1971" s="638">
        <v>18579</v>
      </c>
      <c r="V1971" s="636">
        <v>2022</v>
      </c>
      <c r="W1971" s="640"/>
      <c r="X1971" s="641">
        <f t="shared" si="90"/>
        <v>11.373217073039454</v>
      </c>
      <c r="Y1971" s="642" t="str">
        <f t="shared" si="91"/>
        <v/>
      </c>
      <c r="Z1971" s="642" t="str">
        <f t="shared" si="92"/>
        <v/>
      </c>
    </row>
    <row r="1972" spans="1:26" s="127" customFormat="1" ht="25">
      <c r="A1972" s="636">
        <v>62968</v>
      </c>
      <c r="B1972" s="637" t="s">
        <v>33</v>
      </c>
      <c r="C1972" s="636" t="s">
        <v>2725</v>
      </c>
      <c r="D1972" s="637" t="s">
        <v>3648</v>
      </c>
      <c r="E1972" s="637" t="s">
        <v>3649</v>
      </c>
      <c r="F1972" s="636">
        <v>62812</v>
      </c>
      <c r="G1972" s="637" t="s">
        <v>81</v>
      </c>
      <c r="H1972" s="637" t="s">
        <v>1163</v>
      </c>
      <c r="I1972" s="637" t="s">
        <v>58</v>
      </c>
      <c r="J1972" s="636">
        <v>22</v>
      </c>
      <c r="K1972" s="636">
        <v>2</v>
      </c>
      <c r="L1972" s="637" t="s">
        <v>52</v>
      </c>
      <c r="M1972" s="637" t="s">
        <v>1852</v>
      </c>
      <c r="N1972" s="637" t="s">
        <v>1035</v>
      </c>
      <c r="O1972" s="637" t="s">
        <v>82</v>
      </c>
      <c r="P1972" s="637" t="s">
        <v>2726</v>
      </c>
      <c r="Q1972" s="638">
        <v>331</v>
      </c>
      <c r="R1972" s="638">
        <v>331</v>
      </c>
      <c r="S1972" s="638">
        <v>0</v>
      </c>
      <c r="T1972" s="638">
        <v>0</v>
      </c>
      <c r="U1972" s="638">
        <v>-47</v>
      </c>
      <c r="V1972" s="636">
        <v>2022</v>
      </c>
      <c r="W1972" s="640"/>
      <c r="X1972" s="641" t="str">
        <f t="shared" si="90"/>
        <v/>
      </c>
      <c r="Y1972" s="642" t="str">
        <f t="shared" si="91"/>
        <v/>
      </c>
      <c r="Z1972" s="642" t="str">
        <f t="shared" si="92"/>
        <v/>
      </c>
    </row>
    <row r="1973" spans="1:26" s="127" customFormat="1" ht="25">
      <c r="A1973" s="636">
        <v>62968</v>
      </c>
      <c r="B1973" s="637" t="s">
        <v>33</v>
      </c>
      <c r="C1973" s="636" t="s">
        <v>2725</v>
      </c>
      <c r="D1973" s="637" t="s">
        <v>3648</v>
      </c>
      <c r="E1973" s="637" t="s">
        <v>3649</v>
      </c>
      <c r="F1973" s="636">
        <v>62812</v>
      </c>
      <c r="G1973" s="637" t="s">
        <v>81</v>
      </c>
      <c r="H1973" s="637" t="s">
        <v>1163</v>
      </c>
      <c r="I1973" s="637" t="s">
        <v>58</v>
      </c>
      <c r="J1973" s="636">
        <v>22</v>
      </c>
      <c r="K1973" s="636">
        <v>2</v>
      </c>
      <c r="L1973" s="637" t="s">
        <v>52</v>
      </c>
      <c r="M1973" s="637" t="s">
        <v>441</v>
      </c>
      <c r="N1973" s="637" t="s">
        <v>442</v>
      </c>
      <c r="O1973" s="637" t="s">
        <v>442</v>
      </c>
      <c r="P1973" s="637" t="s">
        <v>1156</v>
      </c>
      <c r="Q1973" s="638">
        <v>0</v>
      </c>
      <c r="R1973" s="638">
        <v>0</v>
      </c>
      <c r="S1973" s="638">
        <v>11806</v>
      </c>
      <c r="T1973" s="638">
        <v>11806</v>
      </c>
      <c r="U1973" s="638">
        <v>3460</v>
      </c>
      <c r="V1973" s="636">
        <v>2022</v>
      </c>
      <c r="W1973" s="640"/>
      <c r="X1973" s="641">
        <f t="shared" si="90"/>
        <v>3.4121387283236992</v>
      </c>
      <c r="Y1973" s="642" t="str">
        <f t="shared" si="91"/>
        <v/>
      </c>
      <c r="Z1973" s="642" t="str">
        <f t="shared" si="92"/>
        <v/>
      </c>
    </row>
    <row r="1974" spans="1:26" s="127" customFormat="1" ht="25">
      <c r="A1974" s="636">
        <v>62969</v>
      </c>
      <c r="B1974" s="637" t="s">
        <v>33</v>
      </c>
      <c r="C1974" s="636" t="s">
        <v>2725</v>
      </c>
      <c r="D1974" s="637" t="s">
        <v>3310</v>
      </c>
      <c r="E1974" s="637" t="s">
        <v>3311</v>
      </c>
      <c r="F1974" s="636">
        <v>62826</v>
      </c>
      <c r="G1974" s="637" t="s">
        <v>81</v>
      </c>
      <c r="H1974" s="637" t="s">
        <v>1163</v>
      </c>
      <c r="I1974" s="637" t="s">
        <v>58</v>
      </c>
      <c r="J1974" s="636">
        <v>22</v>
      </c>
      <c r="K1974" s="636">
        <v>2</v>
      </c>
      <c r="L1974" s="637" t="s">
        <v>52</v>
      </c>
      <c r="M1974" s="637" t="s">
        <v>1852</v>
      </c>
      <c r="N1974" s="637" t="s">
        <v>1035</v>
      </c>
      <c r="O1974" s="637" t="s">
        <v>82</v>
      </c>
      <c r="P1974" s="637" t="s">
        <v>2726</v>
      </c>
      <c r="Q1974" s="638">
        <v>1143</v>
      </c>
      <c r="R1974" s="638">
        <v>1143</v>
      </c>
      <c r="S1974" s="638">
        <v>0</v>
      </c>
      <c r="T1974" s="638">
        <v>0</v>
      </c>
      <c r="U1974" s="638">
        <v>-189</v>
      </c>
      <c r="V1974" s="636">
        <v>2022</v>
      </c>
      <c r="W1974" s="640"/>
      <c r="X1974" s="641" t="str">
        <f t="shared" si="90"/>
        <v/>
      </c>
      <c r="Y1974" s="642" t="str">
        <f t="shared" si="91"/>
        <v/>
      </c>
      <c r="Z1974" s="642" t="str">
        <f t="shared" si="92"/>
        <v/>
      </c>
    </row>
    <row r="1975" spans="1:26" s="127" customFormat="1" ht="25">
      <c r="A1975" s="636">
        <v>62969</v>
      </c>
      <c r="B1975" s="637" t="s">
        <v>33</v>
      </c>
      <c r="C1975" s="636" t="s">
        <v>2725</v>
      </c>
      <c r="D1975" s="637" t="s">
        <v>3310</v>
      </c>
      <c r="E1975" s="637" t="s">
        <v>3311</v>
      </c>
      <c r="F1975" s="636">
        <v>62826</v>
      </c>
      <c r="G1975" s="637" t="s">
        <v>81</v>
      </c>
      <c r="H1975" s="637" t="s">
        <v>1163</v>
      </c>
      <c r="I1975" s="637" t="s">
        <v>58</v>
      </c>
      <c r="J1975" s="636">
        <v>22</v>
      </c>
      <c r="K1975" s="636">
        <v>2</v>
      </c>
      <c r="L1975" s="637" t="s">
        <v>52</v>
      </c>
      <c r="M1975" s="637" t="s">
        <v>441</v>
      </c>
      <c r="N1975" s="637" t="s">
        <v>442</v>
      </c>
      <c r="O1975" s="637" t="s">
        <v>442</v>
      </c>
      <c r="P1975" s="637" t="s">
        <v>1156</v>
      </c>
      <c r="Q1975" s="638">
        <v>0</v>
      </c>
      <c r="R1975" s="638">
        <v>0</v>
      </c>
      <c r="S1975" s="638">
        <v>31056</v>
      </c>
      <c r="T1975" s="638">
        <v>31056</v>
      </c>
      <c r="U1975" s="638">
        <v>9102</v>
      </c>
      <c r="V1975" s="636">
        <v>2022</v>
      </c>
      <c r="W1975" s="640"/>
      <c r="X1975" s="641">
        <f t="shared" si="90"/>
        <v>3.4119973632168756</v>
      </c>
      <c r="Y1975" s="642" t="str">
        <f t="shared" si="91"/>
        <v/>
      </c>
      <c r="Z1975" s="642" t="str">
        <f t="shared" si="92"/>
        <v/>
      </c>
    </row>
    <row r="1976" spans="1:26" s="127" customFormat="1" ht="25">
      <c r="A1976" s="636">
        <v>62970</v>
      </c>
      <c r="B1976" s="637" t="s">
        <v>33</v>
      </c>
      <c r="C1976" s="636" t="s">
        <v>2725</v>
      </c>
      <c r="D1976" s="637" t="s">
        <v>3312</v>
      </c>
      <c r="E1976" s="637" t="s">
        <v>3313</v>
      </c>
      <c r="F1976" s="636">
        <v>62827</v>
      </c>
      <c r="G1976" s="637" t="s">
        <v>81</v>
      </c>
      <c r="H1976" s="637" t="s">
        <v>1163</v>
      </c>
      <c r="I1976" s="637" t="s">
        <v>58</v>
      </c>
      <c r="J1976" s="636">
        <v>22</v>
      </c>
      <c r="K1976" s="636">
        <v>2</v>
      </c>
      <c r="L1976" s="637" t="s">
        <v>52</v>
      </c>
      <c r="M1976" s="637" t="s">
        <v>1852</v>
      </c>
      <c r="N1976" s="637" t="s">
        <v>1035</v>
      </c>
      <c r="O1976" s="637" t="s">
        <v>82</v>
      </c>
      <c r="P1976" s="637" t="s">
        <v>2726</v>
      </c>
      <c r="Q1976" s="638">
        <v>1005</v>
      </c>
      <c r="R1976" s="638">
        <v>1005</v>
      </c>
      <c r="S1976" s="638">
        <v>0</v>
      </c>
      <c r="T1976" s="638">
        <v>0</v>
      </c>
      <c r="U1976" s="638">
        <v>-159</v>
      </c>
      <c r="V1976" s="636">
        <v>2022</v>
      </c>
      <c r="W1976" s="640"/>
      <c r="X1976" s="641" t="str">
        <f t="shared" si="90"/>
        <v/>
      </c>
      <c r="Y1976" s="642" t="str">
        <f t="shared" si="91"/>
        <v/>
      </c>
      <c r="Z1976" s="642" t="str">
        <f t="shared" si="92"/>
        <v/>
      </c>
    </row>
    <row r="1977" spans="1:26" s="127" customFormat="1" ht="25">
      <c r="A1977" s="636">
        <v>62970</v>
      </c>
      <c r="B1977" s="637" t="s">
        <v>33</v>
      </c>
      <c r="C1977" s="636" t="s">
        <v>2725</v>
      </c>
      <c r="D1977" s="637" t="s">
        <v>3312</v>
      </c>
      <c r="E1977" s="637" t="s">
        <v>3313</v>
      </c>
      <c r="F1977" s="636">
        <v>62827</v>
      </c>
      <c r="G1977" s="637" t="s">
        <v>81</v>
      </c>
      <c r="H1977" s="637" t="s">
        <v>1163</v>
      </c>
      <c r="I1977" s="637" t="s">
        <v>58</v>
      </c>
      <c r="J1977" s="636">
        <v>22</v>
      </c>
      <c r="K1977" s="636">
        <v>2</v>
      </c>
      <c r="L1977" s="637" t="s">
        <v>52</v>
      </c>
      <c r="M1977" s="637" t="s">
        <v>441</v>
      </c>
      <c r="N1977" s="637" t="s">
        <v>442</v>
      </c>
      <c r="O1977" s="637" t="s">
        <v>442</v>
      </c>
      <c r="P1977" s="637" t="s">
        <v>1156</v>
      </c>
      <c r="Q1977" s="638">
        <v>0</v>
      </c>
      <c r="R1977" s="638">
        <v>0</v>
      </c>
      <c r="S1977" s="638">
        <v>32238</v>
      </c>
      <c r="T1977" s="638">
        <v>32238</v>
      </c>
      <c r="U1977" s="638">
        <v>9448</v>
      </c>
      <c r="V1977" s="636">
        <v>2022</v>
      </c>
      <c r="W1977" s="640"/>
      <c r="X1977" s="641">
        <f t="shared" si="90"/>
        <v>3.412150719729043</v>
      </c>
      <c r="Y1977" s="642" t="str">
        <f t="shared" si="91"/>
        <v/>
      </c>
      <c r="Z1977" s="642" t="str">
        <f t="shared" si="92"/>
        <v/>
      </c>
    </row>
    <row r="1978" spans="1:26" s="127" customFormat="1" ht="25">
      <c r="A1978" s="636">
        <v>62971</v>
      </c>
      <c r="B1978" s="637" t="s">
        <v>33</v>
      </c>
      <c r="C1978" s="636" t="s">
        <v>2725</v>
      </c>
      <c r="D1978" s="637" t="s">
        <v>3650</v>
      </c>
      <c r="E1978" s="637" t="s">
        <v>3651</v>
      </c>
      <c r="F1978" s="636">
        <v>62813</v>
      </c>
      <c r="G1978" s="637" t="s">
        <v>81</v>
      </c>
      <c r="H1978" s="637" t="s">
        <v>1163</v>
      </c>
      <c r="I1978" s="637" t="s">
        <v>58</v>
      </c>
      <c r="J1978" s="636">
        <v>22</v>
      </c>
      <c r="K1978" s="636">
        <v>2</v>
      </c>
      <c r="L1978" s="637" t="s">
        <v>52</v>
      </c>
      <c r="M1978" s="637" t="s">
        <v>441</v>
      </c>
      <c r="N1978" s="637" t="s">
        <v>442</v>
      </c>
      <c r="O1978" s="637" t="s">
        <v>442</v>
      </c>
      <c r="P1978" s="637" t="s">
        <v>1156</v>
      </c>
      <c r="Q1978" s="638">
        <v>0</v>
      </c>
      <c r="R1978" s="638">
        <v>0</v>
      </c>
      <c r="S1978" s="638">
        <v>1150</v>
      </c>
      <c r="T1978" s="638">
        <v>1150</v>
      </c>
      <c r="U1978" s="638">
        <v>337</v>
      </c>
      <c r="V1978" s="636">
        <v>2022</v>
      </c>
      <c r="W1978" s="640"/>
      <c r="X1978" s="641">
        <f t="shared" si="90"/>
        <v>3.4124629080118694</v>
      </c>
      <c r="Y1978" s="642" t="str">
        <f t="shared" si="91"/>
        <v/>
      </c>
      <c r="Z1978" s="642" t="str">
        <f t="shared" si="92"/>
        <v/>
      </c>
    </row>
    <row r="1979" spans="1:26" s="127" customFormat="1" ht="25">
      <c r="A1979" s="636">
        <v>62972</v>
      </c>
      <c r="B1979" s="637" t="s">
        <v>33</v>
      </c>
      <c r="C1979" s="636" t="s">
        <v>2725</v>
      </c>
      <c r="D1979" s="637" t="s">
        <v>3314</v>
      </c>
      <c r="E1979" s="637" t="s">
        <v>3315</v>
      </c>
      <c r="F1979" s="636">
        <v>62814</v>
      </c>
      <c r="G1979" s="637" t="s">
        <v>81</v>
      </c>
      <c r="H1979" s="637" t="s">
        <v>1163</v>
      </c>
      <c r="I1979" s="637" t="s">
        <v>58</v>
      </c>
      <c r="J1979" s="636">
        <v>22</v>
      </c>
      <c r="K1979" s="636">
        <v>2</v>
      </c>
      <c r="L1979" s="637" t="s">
        <v>52</v>
      </c>
      <c r="M1979" s="637" t="s">
        <v>1852</v>
      </c>
      <c r="N1979" s="637" t="s">
        <v>1035</v>
      </c>
      <c r="O1979" s="637" t="s">
        <v>82</v>
      </c>
      <c r="P1979" s="637" t="s">
        <v>2726</v>
      </c>
      <c r="Q1979" s="638">
        <v>681</v>
      </c>
      <c r="R1979" s="638">
        <v>681</v>
      </c>
      <c r="S1979" s="638">
        <v>0</v>
      </c>
      <c r="T1979" s="638">
        <v>0</v>
      </c>
      <c r="U1979" s="638">
        <v>-24</v>
      </c>
      <c r="V1979" s="636">
        <v>2022</v>
      </c>
      <c r="W1979" s="640"/>
      <c r="X1979" s="641" t="str">
        <f t="shared" si="90"/>
        <v/>
      </c>
      <c r="Y1979" s="642" t="str">
        <f t="shared" si="91"/>
        <v/>
      </c>
      <c r="Z1979" s="642" t="str">
        <f t="shared" si="92"/>
        <v/>
      </c>
    </row>
    <row r="1980" spans="1:26" s="127" customFormat="1" ht="25">
      <c r="A1980" s="636">
        <v>62972</v>
      </c>
      <c r="B1980" s="637" t="s">
        <v>33</v>
      </c>
      <c r="C1980" s="636" t="s">
        <v>2725</v>
      </c>
      <c r="D1980" s="637" t="s">
        <v>3314</v>
      </c>
      <c r="E1980" s="637" t="s">
        <v>3315</v>
      </c>
      <c r="F1980" s="636">
        <v>62814</v>
      </c>
      <c r="G1980" s="637" t="s">
        <v>81</v>
      </c>
      <c r="H1980" s="637" t="s">
        <v>1163</v>
      </c>
      <c r="I1980" s="637" t="s">
        <v>58</v>
      </c>
      <c r="J1980" s="636">
        <v>22</v>
      </c>
      <c r="K1980" s="636">
        <v>2</v>
      </c>
      <c r="L1980" s="637" t="s">
        <v>52</v>
      </c>
      <c r="M1980" s="637" t="s">
        <v>441</v>
      </c>
      <c r="N1980" s="637" t="s">
        <v>442</v>
      </c>
      <c r="O1980" s="637" t="s">
        <v>442</v>
      </c>
      <c r="P1980" s="637" t="s">
        <v>1156</v>
      </c>
      <c r="Q1980" s="638">
        <v>0</v>
      </c>
      <c r="R1980" s="638">
        <v>0</v>
      </c>
      <c r="S1980" s="638">
        <v>15222</v>
      </c>
      <c r="T1980" s="638">
        <v>15222</v>
      </c>
      <c r="U1980" s="638">
        <v>4461</v>
      </c>
      <c r="V1980" s="636">
        <v>2022</v>
      </c>
      <c r="W1980" s="640"/>
      <c r="X1980" s="641">
        <f t="shared" si="90"/>
        <v>3.4122394082044383</v>
      </c>
      <c r="Y1980" s="642" t="str">
        <f t="shared" si="91"/>
        <v/>
      </c>
      <c r="Z1980" s="642" t="str">
        <f t="shared" si="92"/>
        <v/>
      </c>
    </row>
    <row r="1981" spans="1:26" s="127" customFormat="1" ht="25">
      <c r="A1981" s="636">
        <v>62973</v>
      </c>
      <c r="B1981" s="637" t="s">
        <v>33</v>
      </c>
      <c r="C1981" s="636" t="s">
        <v>2725</v>
      </c>
      <c r="D1981" s="637" t="s">
        <v>3081</v>
      </c>
      <c r="E1981" s="637" t="s">
        <v>3082</v>
      </c>
      <c r="F1981" s="636">
        <v>62819</v>
      </c>
      <c r="G1981" s="637" t="s">
        <v>81</v>
      </c>
      <c r="H1981" s="637" t="s">
        <v>1163</v>
      </c>
      <c r="I1981" s="637" t="s">
        <v>58</v>
      </c>
      <c r="J1981" s="636">
        <v>22</v>
      </c>
      <c r="K1981" s="636">
        <v>2</v>
      </c>
      <c r="L1981" s="637" t="s">
        <v>52</v>
      </c>
      <c r="M1981" s="637" t="s">
        <v>1852</v>
      </c>
      <c r="N1981" s="637" t="s">
        <v>1035</v>
      </c>
      <c r="O1981" s="637" t="s">
        <v>82</v>
      </c>
      <c r="P1981" s="637" t="s">
        <v>2726</v>
      </c>
      <c r="Q1981" s="638">
        <v>615</v>
      </c>
      <c r="R1981" s="638">
        <v>615</v>
      </c>
      <c r="S1981" s="638">
        <v>0</v>
      </c>
      <c r="T1981" s="638">
        <v>0</v>
      </c>
      <c r="U1981" s="638">
        <v>-59</v>
      </c>
      <c r="V1981" s="636">
        <v>2022</v>
      </c>
      <c r="W1981" s="640"/>
      <c r="X1981" s="641" t="str">
        <f t="shared" si="90"/>
        <v/>
      </c>
      <c r="Y1981" s="642" t="str">
        <f t="shared" si="91"/>
        <v/>
      </c>
      <c r="Z1981" s="642" t="str">
        <f t="shared" si="92"/>
        <v/>
      </c>
    </row>
    <row r="1982" spans="1:26" s="127" customFormat="1" ht="25">
      <c r="A1982" s="636">
        <v>62973</v>
      </c>
      <c r="B1982" s="637" t="s">
        <v>33</v>
      </c>
      <c r="C1982" s="636" t="s">
        <v>2725</v>
      </c>
      <c r="D1982" s="637" t="s">
        <v>3081</v>
      </c>
      <c r="E1982" s="637" t="s">
        <v>3082</v>
      </c>
      <c r="F1982" s="636">
        <v>62819</v>
      </c>
      <c r="G1982" s="637" t="s">
        <v>81</v>
      </c>
      <c r="H1982" s="637" t="s">
        <v>1163</v>
      </c>
      <c r="I1982" s="637" t="s">
        <v>58</v>
      </c>
      <c r="J1982" s="636">
        <v>22</v>
      </c>
      <c r="K1982" s="636">
        <v>2</v>
      </c>
      <c r="L1982" s="637" t="s">
        <v>52</v>
      </c>
      <c r="M1982" s="637" t="s">
        <v>441</v>
      </c>
      <c r="N1982" s="637" t="s">
        <v>442</v>
      </c>
      <c r="O1982" s="637" t="s">
        <v>442</v>
      </c>
      <c r="P1982" s="637" t="s">
        <v>1156</v>
      </c>
      <c r="Q1982" s="638">
        <v>0</v>
      </c>
      <c r="R1982" s="638">
        <v>0</v>
      </c>
      <c r="S1982" s="638">
        <v>9863</v>
      </c>
      <c r="T1982" s="638">
        <v>9863</v>
      </c>
      <c r="U1982" s="638">
        <v>2890</v>
      </c>
      <c r="V1982" s="636">
        <v>2022</v>
      </c>
      <c r="W1982" s="640"/>
      <c r="X1982" s="641">
        <f t="shared" si="90"/>
        <v>3.41280276816609</v>
      </c>
      <c r="Y1982" s="642" t="str">
        <f t="shared" si="91"/>
        <v/>
      </c>
      <c r="Z1982" s="642" t="str">
        <f t="shared" si="92"/>
        <v/>
      </c>
    </row>
    <row r="1983" spans="1:26" s="127" customFormat="1" ht="25">
      <c r="A1983" s="636">
        <v>62974</v>
      </c>
      <c r="B1983" s="637" t="s">
        <v>33</v>
      </c>
      <c r="C1983" s="636" t="s">
        <v>2725</v>
      </c>
      <c r="D1983" s="637" t="s">
        <v>3652</v>
      </c>
      <c r="E1983" s="637" t="s">
        <v>3653</v>
      </c>
      <c r="F1983" s="636">
        <v>62820</v>
      </c>
      <c r="G1983" s="637" t="s">
        <v>81</v>
      </c>
      <c r="H1983" s="637" t="s">
        <v>1163</v>
      </c>
      <c r="I1983" s="637" t="s">
        <v>58</v>
      </c>
      <c r="J1983" s="636">
        <v>22</v>
      </c>
      <c r="K1983" s="636">
        <v>2</v>
      </c>
      <c r="L1983" s="637" t="s">
        <v>52</v>
      </c>
      <c r="M1983" s="637" t="s">
        <v>441</v>
      </c>
      <c r="N1983" s="637" t="s">
        <v>442</v>
      </c>
      <c r="O1983" s="637" t="s">
        <v>442</v>
      </c>
      <c r="P1983" s="637" t="s">
        <v>1156</v>
      </c>
      <c r="Q1983" s="638">
        <v>0</v>
      </c>
      <c r="R1983" s="638">
        <v>0</v>
      </c>
      <c r="S1983" s="638">
        <v>3702</v>
      </c>
      <c r="T1983" s="638">
        <v>3702</v>
      </c>
      <c r="U1983" s="638">
        <v>1085</v>
      </c>
      <c r="V1983" s="636">
        <v>2022</v>
      </c>
      <c r="W1983" s="640"/>
      <c r="X1983" s="641">
        <f t="shared" si="90"/>
        <v>3.4119815668202764</v>
      </c>
      <c r="Y1983" s="642" t="str">
        <f t="shared" si="91"/>
        <v/>
      </c>
      <c r="Z1983" s="642" t="str">
        <f t="shared" si="92"/>
        <v/>
      </c>
    </row>
    <row r="1984" spans="1:26" s="127" customFormat="1" ht="25">
      <c r="A1984" s="636">
        <v>62975</v>
      </c>
      <c r="B1984" s="637" t="s">
        <v>33</v>
      </c>
      <c r="C1984" s="636" t="s">
        <v>2725</v>
      </c>
      <c r="D1984" s="637" t="s">
        <v>2882</v>
      </c>
      <c r="E1984" s="637" t="s">
        <v>2883</v>
      </c>
      <c r="F1984" s="636">
        <v>62822</v>
      </c>
      <c r="G1984" s="637" t="s">
        <v>81</v>
      </c>
      <c r="H1984" s="637" t="s">
        <v>1163</v>
      </c>
      <c r="I1984" s="637" t="s">
        <v>58</v>
      </c>
      <c r="J1984" s="636">
        <v>22</v>
      </c>
      <c r="K1984" s="636">
        <v>2</v>
      </c>
      <c r="L1984" s="637" t="s">
        <v>52</v>
      </c>
      <c r="M1984" s="637" t="s">
        <v>1852</v>
      </c>
      <c r="N1984" s="637" t="s">
        <v>1035</v>
      </c>
      <c r="O1984" s="637" t="s">
        <v>82</v>
      </c>
      <c r="P1984" s="637" t="s">
        <v>2726</v>
      </c>
      <c r="Q1984" s="638">
        <v>1201</v>
      </c>
      <c r="R1984" s="638">
        <v>1201</v>
      </c>
      <c r="S1984" s="638">
        <v>0</v>
      </c>
      <c r="T1984" s="638">
        <v>0</v>
      </c>
      <c r="U1984" s="638">
        <v>-162</v>
      </c>
      <c r="V1984" s="636">
        <v>2022</v>
      </c>
      <c r="W1984" s="640"/>
      <c r="X1984" s="641" t="str">
        <f t="shared" si="90"/>
        <v/>
      </c>
      <c r="Y1984" s="642" t="str">
        <f t="shared" si="91"/>
        <v/>
      </c>
      <c r="Z1984" s="642" t="str">
        <f t="shared" si="92"/>
        <v/>
      </c>
    </row>
    <row r="1985" spans="1:26" s="127" customFormat="1" ht="25">
      <c r="A1985" s="636">
        <v>62975</v>
      </c>
      <c r="B1985" s="637" t="s">
        <v>33</v>
      </c>
      <c r="C1985" s="636" t="s">
        <v>2725</v>
      </c>
      <c r="D1985" s="637" t="s">
        <v>2882</v>
      </c>
      <c r="E1985" s="637" t="s">
        <v>2883</v>
      </c>
      <c r="F1985" s="636">
        <v>62822</v>
      </c>
      <c r="G1985" s="637" t="s">
        <v>81</v>
      </c>
      <c r="H1985" s="637" t="s">
        <v>1163</v>
      </c>
      <c r="I1985" s="637" t="s">
        <v>58</v>
      </c>
      <c r="J1985" s="636">
        <v>22</v>
      </c>
      <c r="K1985" s="636">
        <v>2</v>
      </c>
      <c r="L1985" s="637" t="s">
        <v>52</v>
      </c>
      <c r="M1985" s="637" t="s">
        <v>441</v>
      </c>
      <c r="N1985" s="637" t="s">
        <v>442</v>
      </c>
      <c r="O1985" s="637" t="s">
        <v>442</v>
      </c>
      <c r="P1985" s="637" t="s">
        <v>1156</v>
      </c>
      <c r="Q1985" s="638">
        <v>0</v>
      </c>
      <c r="R1985" s="638">
        <v>0</v>
      </c>
      <c r="S1985" s="638">
        <v>29778</v>
      </c>
      <c r="T1985" s="638">
        <v>29778</v>
      </c>
      <c r="U1985" s="638">
        <v>8728</v>
      </c>
      <c r="V1985" s="636">
        <v>2022</v>
      </c>
      <c r="W1985" s="640"/>
      <c r="X1985" s="641">
        <f t="shared" si="90"/>
        <v>3.4117781851512374</v>
      </c>
      <c r="Y1985" s="642" t="str">
        <f t="shared" si="91"/>
        <v/>
      </c>
      <c r="Z1985" s="642" t="str">
        <f t="shared" si="92"/>
        <v/>
      </c>
    </row>
    <row r="1986" spans="1:26" s="127" customFormat="1" ht="25">
      <c r="A1986" s="636">
        <v>62976</v>
      </c>
      <c r="B1986" s="637" t="s">
        <v>33</v>
      </c>
      <c r="C1986" s="636" t="s">
        <v>2725</v>
      </c>
      <c r="D1986" s="637" t="s">
        <v>3083</v>
      </c>
      <c r="E1986" s="637" t="s">
        <v>3084</v>
      </c>
      <c r="F1986" s="636">
        <v>62821</v>
      </c>
      <c r="G1986" s="637" t="s">
        <v>81</v>
      </c>
      <c r="H1986" s="637" t="s">
        <v>1163</v>
      </c>
      <c r="I1986" s="637" t="s">
        <v>58</v>
      </c>
      <c r="J1986" s="636">
        <v>22</v>
      </c>
      <c r="K1986" s="636">
        <v>2</v>
      </c>
      <c r="L1986" s="637" t="s">
        <v>52</v>
      </c>
      <c r="M1986" s="637" t="s">
        <v>1852</v>
      </c>
      <c r="N1986" s="637" t="s">
        <v>1035</v>
      </c>
      <c r="O1986" s="637" t="s">
        <v>82</v>
      </c>
      <c r="P1986" s="637" t="s">
        <v>2726</v>
      </c>
      <c r="Q1986" s="638">
        <v>671</v>
      </c>
      <c r="R1986" s="638">
        <v>671</v>
      </c>
      <c r="S1986" s="638">
        <v>0</v>
      </c>
      <c r="T1986" s="638">
        <v>0</v>
      </c>
      <c r="U1986" s="638">
        <v>-100</v>
      </c>
      <c r="V1986" s="636">
        <v>2022</v>
      </c>
      <c r="W1986" s="640"/>
      <c r="X1986" s="641" t="str">
        <f t="shared" si="90"/>
        <v/>
      </c>
      <c r="Y1986" s="642" t="str">
        <f t="shared" si="91"/>
        <v/>
      </c>
      <c r="Z1986" s="642" t="str">
        <f t="shared" si="92"/>
        <v/>
      </c>
    </row>
    <row r="1987" spans="1:26" s="127" customFormat="1" ht="25">
      <c r="A1987" s="636">
        <v>62976</v>
      </c>
      <c r="B1987" s="637" t="s">
        <v>33</v>
      </c>
      <c r="C1987" s="636" t="s">
        <v>2725</v>
      </c>
      <c r="D1987" s="637" t="s">
        <v>3083</v>
      </c>
      <c r="E1987" s="637" t="s">
        <v>3084</v>
      </c>
      <c r="F1987" s="636">
        <v>62821</v>
      </c>
      <c r="G1987" s="637" t="s">
        <v>81</v>
      </c>
      <c r="H1987" s="637" t="s">
        <v>1163</v>
      </c>
      <c r="I1987" s="637" t="s">
        <v>58</v>
      </c>
      <c r="J1987" s="636">
        <v>22</v>
      </c>
      <c r="K1987" s="636">
        <v>2</v>
      </c>
      <c r="L1987" s="637" t="s">
        <v>52</v>
      </c>
      <c r="M1987" s="637" t="s">
        <v>441</v>
      </c>
      <c r="N1987" s="637" t="s">
        <v>442</v>
      </c>
      <c r="O1987" s="637" t="s">
        <v>442</v>
      </c>
      <c r="P1987" s="637" t="s">
        <v>1156</v>
      </c>
      <c r="Q1987" s="638">
        <v>0</v>
      </c>
      <c r="R1987" s="638">
        <v>0</v>
      </c>
      <c r="S1987" s="638">
        <v>16850</v>
      </c>
      <c r="T1987" s="638">
        <v>16850</v>
      </c>
      <c r="U1987" s="638">
        <v>4938</v>
      </c>
      <c r="V1987" s="636">
        <v>2022</v>
      </c>
      <c r="W1987" s="640"/>
      <c r="X1987" s="641">
        <f t="shared" si="90"/>
        <v>3.4123126771972458</v>
      </c>
      <c r="Y1987" s="642" t="str">
        <f t="shared" si="91"/>
        <v/>
      </c>
      <c r="Z1987" s="642" t="str">
        <f t="shared" si="92"/>
        <v/>
      </c>
    </row>
    <row r="1988" spans="1:26" s="127" customFormat="1" ht="25">
      <c r="A1988" s="636">
        <v>62977</v>
      </c>
      <c r="B1988" s="637" t="s">
        <v>33</v>
      </c>
      <c r="C1988" s="636" t="s">
        <v>2725</v>
      </c>
      <c r="D1988" s="637" t="s">
        <v>3316</v>
      </c>
      <c r="E1988" s="637" t="s">
        <v>3317</v>
      </c>
      <c r="F1988" s="636">
        <v>62824</v>
      </c>
      <c r="G1988" s="637" t="s">
        <v>81</v>
      </c>
      <c r="H1988" s="637" t="s">
        <v>1163</v>
      </c>
      <c r="I1988" s="637" t="s">
        <v>58</v>
      </c>
      <c r="J1988" s="636">
        <v>22</v>
      </c>
      <c r="K1988" s="636">
        <v>2</v>
      </c>
      <c r="L1988" s="637" t="s">
        <v>52</v>
      </c>
      <c r="M1988" s="637" t="s">
        <v>1852</v>
      </c>
      <c r="N1988" s="637" t="s">
        <v>1035</v>
      </c>
      <c r="O1988" s="637" t="s">
        <v>82</v>
      </c>
      <c r="P1988" s="637" t="s">
        <v>2726</v>
      </c>
      <c r="Q1988" s="638">
        <v>0</v>
      </c>
      <c r="R1988" s="638">
        <v>0</v>
      </c>
      <c r="S1988" s="638">
        <v>0</v>
      </c>
      <c r="T1988" s="638">
        <v>0</v>
      </c>
      <c r="U1988" s="638">
        <v>0</v>
      </c>
      <c r="V1988" s="636">
        <v>2022</v>
      </c>
      <c r="W1988" s="640"/>
      <c r="X1988" s="641" t="str">
        <f t="shared" si="90"/>
        <v/>
      </c>
      <c r="Y1988" s="642" t="str">
        <f t="shared" si="91"/>
        <v/>
      </c>
      <c r="Z1988" s="642" t="str">
        <f t="shared" si="92"/>
        <v/>
      </c>
    </row>
    <row r="1989" spans="1:26" s="127" customFormat="1" ht="25">
      <c r="A1989" s="636">
        <v>62977</v>
      </c>
      <c r="B1989" s="637" t="s">
        <v>33</v>
      </c>
      <c r="C1989" s="636" t="s">
        <v>2725</v>
      </c>
      <c r="D1989" s="637" t="s">
        <v>3316</v>
      </c>
      <c r="E1989" s="637" t="s">
        <v>3317</v>
      </c>
      <c r="F1989" s="636">
        <v>62824</v>
      </c>
      <c r="G1989" s="637" t="s">
        <v>81</v>
      </c>
      <c r="H1989" s="637" t="s">
        <v>1163</v>
      </c>
      <c r="I1989" s="637" t="s">
        <v>58</v>
      </c>
      <c r="J1989" s="636">
        <v>22</v>
      </c>
      <c r="K1989" s="636">
        <v>2</v>
      </c>
      <c r="L1989" s="637" t="s">
        <v>52</v>
      </c>
      <c r="M1989" s="637" t="s">
        <v>441</v>
      </c>
      <c r="N1989" s="637" t="s">
        <v>442</v>
      </c>
      <c r="O1989" s="637" t="s">
        <v>442</v>
      </c>
      <c r="P1989" s="637" t="s">
        <v>1156</v>
      </c>
      <c r="Q1989" s="638">
        <v>0</v>
      </c>
      <c r="R1989" s="638">
        <v>0</v>
      </c>
      <c r="S1989" s="638">
        <v>26723</v>
      </c>
      <c r="T1989" s="638">
        <v>26723</v>
      </c>
      <c r="U1989" s="638">
        <v>7832</v>
      </c>
      <c r="V1989" s="636">
        <v>2022</v>
      </c>
      <c r="W1989" s="640"/>
      <c r="X1989" s="641">
        <f t="shared" si="90"/>
        <v>3.4120275791624106</v>
      </c>
      <c r="Y1989" s="642" t="str">
        <f t="shared" si="91"/>
        <v/>
      </c>
      <c r="Z1989" s="642" t="str">
        <f t="shared" si="92"/>
        <v/>
      </c>
    </row>
    <row r="1990" spans="1:26" s="127" customFormat="1" ht="25">
      <c r="A1990" s="636">
        <v>62978</v>
      </c>
      <c r="B1990" s="637" t="s">
        <v>33</v>
      </c>
      <c r="C1990" s="636" t="s">
        <v>2725</v>
      </c>
      <c r="D1990" s="637" t="s">
        <v>3318</v>
      </c>
      <c r="E1990" s="637" t="s">
        <v>3319</v>
      </c>
      <c r="F1990" s="636">
        <v>62825</v>
      </c>
      <c r="G1990" s="637" t="s">
        <v>81</v>
      </c>
      <c r="H1990" s="637" t="s">
        <v>1163</v>
      </c>
      <c r="I1990" s="637" t="s">
        <v>58</v>
      </c>
      <c r="J1990" s="636">
        <v>22</v>
      </c>
      <c r="K1990" s="636">
        <v>2</v>
      </c>
      <c r="L1990" s="637" t="s">
        <v>52</v>
      </c>
      <c r="M1990" s="637" t="s">
        <v>1852</v>
      </c>
      <c r="N1990" s="637" t="s">
        <v>1035</v>
      </c>
      <c r="O1990" s="637" t="s">
        <v>82</v>
      </c>
      <c r="P1990" s="637" t="s">
        <v>2726</v>
      </c>
      <c r="Q1990" s="638">
        <v>537</v>
      </c>
      <c r="R1990" s="638">
        <v>537</v>
      </c>
      <c r="S1990" s="638">
        <v>0</v>
      </c>
      <c r="T1990" s="638">
        <v>0</v>
      </c>
      <c r="U1990" s="638">
        <v>-96</v>
      </c>
      <c r="V1990" s="636">
        <v>2022</v>
      </c>
      <c r="W1990" s="640"/>
      <c r="X1990" s="641" t="str">
        <f t="shared" si="90"/>
        <v/>
      </c>
      <c r="Y1990" s="642" t="str">
        <f t="shared" si="91"/>
        <v/>
      </c>
      <c r="Z1990" s="642" t="str">
        <f t="shared" si="92"/>
        <v/>
      </c>
    </row>
    <row r="1991" spans="1:26" s="127" customFormat="1" ht="25">
      <c r="A1991" s="636">
        <v>62978</v>
      </c>
      <c r="B1991" s="637" t="s">
        <v>33</v>
      </c>
      <c r="C1991" s="636" t="s">
        <v>2725</v>
      </c>
      <c r="D1991" s="637" t="s">
        <v>3318</v>
      </c>
      <c r="E1991" s="637" t="s">
        <v>3319</v>
      </c>
      <c r="F1991" s="636">
        <v>62825</v>
      </c>
      <c r="G1991" s="637" t="s">
        <v>81</v>
      </c>
      <c r="H1991" s="637" t="s">
        <v>1163</v>
      </c>
      <c r="I1991" s="637" t="s">
        <v>58</v>
      </c>
      <c r="J1991" s="636">
        <v>22</v>
      </c>
      <c r="K1991" s="636">
        <v>2</v>
      </c>
      <c r="L1991" s="637" t="s">
        <v>52</v>
      </c>
      <c r="M1991" s="637" t="s">
        <v>441</v>
      </c>
      <c r="N1991" s="637" t="s">
        <v>442</v>
      </c>
      <c r="O1991" s="637" t="s">
        <v>442</v>
      </c>
      <c r="P1991" s="637" t="s">
        <v>1156</v>
      </c>
      <c r="Q1991" s="638">
        <v>0</v>
      </c>
      <c r="R1991" s="638">
        <v>0</v>
      </c>
      <c r="S1991" s="638">
        <v>28995</v>
      </c>
      <c r="T1991" s="638">
        <v>28995</v>
      </c>
      <c r="U1991" s="638">
        <v>8498</v>
      </c>
      <c r="V1991" s="636">
        <v>2022</v>
      </c>
      <c r="W1991" s="640"/>
      <c r="X1991" s="641">
        <f t="shared" si="90"/>
        <v>3.411979289244528</v>
      </c>
      <c r="Y1991" s="642" t="str">
        <f t="shared" si="91"/>
        <v/>
      </c>
      <c r="Z1991" s="642" t="str">
        <f t="shared" si="92"/>
        <v/>
      </c>
    </row>
    <row r="1992" spans="1:26" s="127" customFormat="1" ht="25">
      <c r="A1992" s="636">
        <v>62981</v>
      </c>
      <c r="B1992" s="637" t="s">
        <v>33</v>
      </c>
      <c r="C1992" s="636" t="s">
        <v>2725</v>
      </c>
      <c r="D1992" s="637" t="s">
        <v>2884</v>
      </c>
      <c r="E1992" s="637" t="s">
        <v>2885</v>
      </c>
      <c r="F1992" s="636">
        <v>56404</v>
      </c>
      <c r="G1992" s="637" t="s">
        <v>57</v>
      </c>
      <c r="H1992" s="637" t="s">
        <v>1162</v>
      </c>
      <c r="I1992" s="637" t="s">
        <v>58</v>
      </c>
      <c r="J1992" s="636">
        <v>22</v>
      </c>
      <c r="K1992" s="636">
        <v>1</v>
      </c>
      <c r="L1992" s="637" t="s">
        <v>34</v>
      </c>
      <c r="M1992" s="637" t="s">
        <v>1852</v>
      </c>
      <c r="N1992" s="637" t="s">
        <v>1035</v>
      </c>
      <c r="O1992" s="637" t="s">
        <v>82</v>
      </c>
      <c r="P1992" s="637" t="s">
        <v>2726</v>
      </c>
      <c r="Q1992" s="638">
        <v>126</v>
      </c>
      <c r="R1992" s="638">
        <v>126</v>
      </c>
      <c r="S1992" s="638">
        <v>0</v>
      </c>
      <c r="T1992" s="638">
        <v>0</v>
      </c>
      <c r="U1992" s="638">
        <v>-123</v>
      </c>
      <c r="V1992" s="636">
        <v>2022</v>
      </c>
      <c r="W1992" s="640"/>
      <c r="X1992" s="641" t="str">
        <f t="shared" ref="X1992:X2055" si="93">IF(OR(K1992&gt;3,T1992=0,NOT(U1992&gt;0)),"",T1992/U1992)</f>
        <v/>
      </c>
      <c r="Y1992" s="642" t="str">
        <f t="shared" ref="Y1992:Y2055" si="94">IF(AND($M1992=$Y$2,$N1992=$Y$3,NOT($Q1992=$R1992),NOT($U1992=0)),IF($K1992=5,$S1992/($U1992+(8/5)*$U1992),IF($K1992=7,$S1992/($U1992+(29/25)*$U1992),"")),"")</f>
        <v/>
      </c>
      <c r="Z1992" s="642" t="str">
        <f t="shared" si="92"/>
        <v/>
      </c>
    </row>
    <row r="1993" spans="1:26" s="127" customFormat="1" ht="25">
      <c r="A1993" s="636">
        <v>62992</v>
      </c>
      <c r="B1993" s="637" t="s">
        <v>33</v>
      </c>
      <c r="C1993" s="636" t="s">
        <v>2725</v>
      </c>
      <c r="D1993" s="637" t="s">
        <v>2886</v>
      </c>
      <c r="E1993" s="637" t="s">
        <v>2887</v>
      </c>
      <c r="F1993" s="636">
        <v>62838</v>
      </c>
      <c r="G1993" s="637" t="s">
        <v>81</v>
      </c>
      <c r="H1993" s="637" t="s">
        <v>1163</v>
      </c>
      <c r="I1993" s="637" t="s">
        <v>58</v>
      </c>
      <c r="J1993" s="636">
        <v>22</v>
      </c>
      <c r="K1993" s="636">
        <v>2</v>
      </c>
      <c r="L1993" s="637" t="s">
        <v>52</v>
      </c>
      <c r="M1993" s="637" t="s">
        <v>441</v>
      </c>
      <c r="N1993" s="637" t="s">
        <v>442</v>
      </c>
      <c r="O1993" s="637" t="s">
        <v>442</v>
      </c>
      <c r="P1993" s="637" t="s">
        <v>1156</v>
      </c>
      <c r="Q1993" s="638">
        <v>0</v>
      </c>
      <c r="R1993" s="638">
        <v>0</v>
      </c>
      <c r="S1993" s="638">
        <v>24486</v>
      </c>
      <c r="T1993" s="638">
        <v>24486</v>
      </c>
      <c r="U1993" s="638">
        <v>7176</v>
      </c>
      <c r="V1993" s="636">
        <v>2022</v>
      </c>
      <c r="W1993" s="640"/>
      <c r="X1993" s="641">
        <f t="shared" si="93"/>
        <v>3.4122073578595318</v>
      </c>
      <c r="Y1993" s="642" t="str">
        <f t="shared" si="94"/>
        <v/>
      </c>
      <c r="Z1993" s="642" t="str">
        <f t="shared" si="92"/>
        <v/>
      </c>
    </row>
    <row r="1994" spans="1:26" s="127" customFormat="1" ht="25">
      <c r="A1994" s="636">
        <v>62998</v>
      </c>
      <c r="B1994" s="637" t="s">
        <v>33</v>
      </c>
      <c r="C1994" s="636" t="s">
        <v>2725</v>
      </c>
      <c r="D1994" s="637" t="s">
        <v>2888</v>
      </c>
      <c r="E1994" s="637" t="s">
        <v>2166</v>
      </c>
      <c r="F1994" s="636">
        <v>61012</v>
      </c>
      <c r="G1994" s="637" t="s">
        <v>57</v>
      </c>
      <c r="H1994" s="637" t="s">
        <v>1162</v>
      </c>
      <c r="I1994" s="637" t="s">
        <v>58</v>
      </c>
      <c r="J1994" s="636">
        <v>22</v>
      </c>
      <c r="K1994" s="636">
        <v>2</v>
      </c>
      <c r="L1994" s="637" t="s">
        <v>52</v>
      </c>
      <c r="M1994" s="637" t="s">
        <v>441</v>
      </c>
      <c r="N1994" s="637" t="s">
        <v>442</v>
      </c>
      <c r="O1994" s="637" t="s">
        <v>442</v>
      </c>
      <c r="P1994" s="637" t="s">
        <v>1156</v>
      </c>
      <c r="Q1994" s="638">
        <v>0</v>
      </c>
      <c r="R1994" s="638">
        <v>0</v>
      </c>
      <c r="S1994" s="638">
        <v>21626</v>
      </c>
      <c r="T1994" s="638">
        <v>21626</v>
      </c>
      <c r="U1994" s="638">
        <v>6338</v>
      </c>
      <c r="V1994" s="636">
        <v>2022</v>
      </c>
      <c r="W1994" s="640"/>
      <c r="X1994" s="641">
        <f t="shared" si="93"/>
        <v>3.4121173871883874</v>
      </c>
      <c r="Y1994" s="642" t="str">
        <f t="shared" si="94"/>
        <v/>
      </c>
      <c r="Z1994" s="642" t="str">
        <f t="shared" si="92"/>
        <v/>
      </c>
    </row>
    <row r="1995" spans="1:26" s="127" customFormat="1" ht="25">
      <c r="A1995" s="636">
        <v>62999</v>
      </c>
      <c r="B1995" s="637" t="s">
        <v>33</v>
      </c>
      <c r="C1995" s="636" t="s">
        <v>2725</v>
      </c>
      <c r="D1995" s="637" t="s">
        <v>3085</v>
      </c>
      <c r="E1995" s="637" t="s">
        <v>2166</v>
      </c>
      <c r="F1995" s="636">
        <v>61012</v>
      </c>
      <c r="G1995" s="637" t="s">
        <v>57</v>
      </c>
      <c r="H1995" s="637" t="s">
        <v>1162</v>
      </c>
      <c r="I1995" s="637" t="s">
        <v>58</v>
      </c>
      <c r="J1995" s="636">
        <v>22</v>
      </c>
      <c r="K1995" s="636">
        <v>2</v>
      </c>
      <c r="L1995" s="637" t="s">
        <v>52</v>
      </c>
      <c r="M1995" s="637" t="s">
        <v>1852</v>
      </c>
      <c r="N1995" s="637" t="s">
        <v>1035</v>
      </c>
      <c r="O1995" s="637" t="s">
        <v>82</v>
      </c>
      <c r="P1995" s="637" t="s">
        <v>2726</v>
      </c>
      <c r="Q1995" s="638">
        <v>273</v>
      </c>
      <c r="R1995" s="638">
        <v>273</v>
      </c>
      <c r="S1995" s="638">
        <v>0</v>
      </c>
      <c r="T1995" s="638">
        <v>0</v>
      </c>
      <c r="U1995" s="638">
        <v>11</v>
      </c>
      <c r="V1995" s="636">
        <v>2022</v>
      </c>
      <c r="W1995" s="640"/>
      <c r="X1995" s="641" t="str">
        <f t="shared" si="93"/>
        <v/>
      </c>
      <c r="Y1995" s="642" t="str">
        <f t="shared" si="94"/>
        <v/>
      </c>
      <c r="Z1995" s="642" t="str">
        <f t="shared" si="92"/>
        <v/>
      </c>
    </row>
    <row r="1996" spans="1:26" s="127" customFormat="1" ht="25">
      <c r="A1996" s="636">
        <v>62999</v>
      </c>
      <c r="B1996" s="637" t="s">
        <v>33</v>
      </c>
      <c r="C1996" s="636" t="s">
        <v>2725</v>
      </c>
      <c r="D1996" s="637" t="s">
        <v>3085</v>
      </c>
      <c r="E1996" s="637" t="s">
        <v>2166</v>
      </c>
      <c r="F1996" s="636">
        <v>61012</v>
      </c>
      <c r="G1996" s="637" t="s">
        <v>57</v>
      </c>
      <c r="H1996" s="637" t="s">
        <v>1162</v>
      </c>
      <c r="I1996" s="637" t="s">
        <v>58</v>
      </c>
      <c r="J1996" s="636">
        <v>22</v>
      </c>
      <c r="K1996" s="636">
        <v>2</v>
      </c>
      <c r="L1996" s="637" t="s">
        <v>52</v>
      </c>
      <c r="M1996" s="637" t="s">
        <v>441</v>
      </c>
      <c r="N1996" s="637" t="s">
        <v>442</v>
      </c>
      <c r="O1996" s="637" t="s">
        <v>442</v>
      </c>
      <c r="P1996" s="637" t="s">
        <v>1156</v>
      </c>
      <c r="Q1996" s="638">
        <v>0</v>
      </c>
      <c r="R1996" s="638">
        <v>0</v>
      </c>
      <c r="S1996" s="638">
        <v>24300</v>
      </c>
      <c r="T1996" s="638">
        <v>24300</v>
      </c>
      <c r="U1996" s="638">
        <v>7122</v>
      </c>
      <c r="V1996" s="636">
        <v>2022</v>
      </c>
      <c r="W1996" s="640"/>
      <c r="X1996" s="641">
        <f t="shared" si="93"/>
        <v>3.4119629317607414</v>
      </c>
      <c r="Y1996" s="642" t="str">
        <f t="shared" si="94"/>
        <v/>
      </c>
      <c r="Z1996" s="642" t="str">
        <f t="shared" si="92"/>
        <v/>
      </c>
    </row>
    <row r="1997" spans="1:26" s="127" customFormat="1" ht="25">
      <c r="A1997" s="636">
        <v>63000</v>
      </c>
      <c r="B1997" s="637" t="s">
        <v>33</v>
      </c>
      <c r="C1997" s="636" t="s">
        <v>2725</v>
      </c>
      <c r="D1997" s="637" t="s">
        <v>2889</v>
      </c>
      <c r="E1997" s="637" t="s">
        <v>2166</v>
      </c>
      <c r="F1997" s="636">
        <v>61012</v>
      </c>
      <c r="G1997" s="637" t="s">
        <v>57</v>
      </c>
      <c r="H1997" s="637" t="s">
        <v>1162</v>
      </c>
      <c r="I1997" s="637" t="s">
        <v>58</v>
      </c>
      <c r="J1997" s="636">
        <v>22</v>
      </c>
      <c r="K1997" s="636">
        <v>2</v>
      </c>
      <c r="L1997" s="637" t="s">
        <v>52</v>
      </c>
      <c r="M1997" s="637" t="s">
        <v>1852</v>
      </c>
      <c r="N1997" s="637" t="s">
        <v>1035</v>
      </c>
      <c r="O1997" s="637" t="s">
        <v>82</v>
      </c>
      <c r="P1997" s="637" t="s">
        <v>2726</v>
      </c>
      <c r="Q1997" s="638">
        <v>154</v>
      </c>
      <c r="R1997" s="638">
        <v>154</v>
      </c>
      <c r="S1997" s="638">
        <v>0</v>
      </c>
      <c r="T1997" s="638">
        <v>0</v>
      </c>
      <c r="U1997" s="638">
        <v>249</v>
      </c>
      <c r="V1997" s="636">
        <v>2022</v>
      </c>
      <c r="W1997" s="640"/>
      <c r="X1997" s="641" t="str">
        <f t="shared" si="93"/>
        <v/>
      </c>
      <c r="Y1997" s="642" t="str">
        <f t="shared" si="94"/>
        <v/>
      </c>
      <c r="Z1997" s="642" t="str">
        <f t="shared" si="92"/>
        <v/>
      </c>
    </row>
    <row r="1998" spans="1:26" s="127" customFormat="1" ht="25">
      <c r="A1998" s="636">
        <v>63000</v>
      </c>
      <c r="B1998" s="637" t="s">
        <v>33</v>
      </c>
      <c r="C1998" s="636" t="s">
        <v>2725</v>
      </c>
      <c r="D1998" s="637" t="s">
        <v>2889</v>
      </c>
      <c r="E1998" s="637" t="s">
        <v>2166</v>
      </c>
      <c r="F1998" s="636">
        <v>61012</v>
      </c>
      <c r="G1998" s="637" t="s">
        <v>57</v>
      </c>
      <c r="H1998" s="637" t="s">
        <v>1162</v>
      </c>
      <c r="I1998" s="637" t="s">
        <v>58</v>
      </c>
      <c r="J1998" s="636">
        <v>22</v>
      </c>
      <c r="K1998" s="636">
        <v>2</v>
      </c>
      <c r="L1998" s="637" t="s">
        <v>52</v>
      </c>
      <c r="M1998" s="637" t="s">
        <v>441</v>
      </c>
      <c r="N1998" s="637" t="s">
        <v>442</v>
      </c>
      <c r="O1998" s="637" t="s">
        <v>442</v>
      </c>
      <c r="P1998" s="637" t="s">
        <v>1156</v>
      </c>
      <c r="Q1998" s="638">
        <v>0</v>
      </c>
      <c r="R1998" s="638">
        <v>0</v>
      </c>
      <c r="S1998" s="638">
        <v>24385</v>
      </c>
      <c r="T1998" s="638">
        <v>24385</v>
      </c>
      <c r="U1998" s="638">
        <v>7147</v>
      </c>
      <c r="V1998" s="636">
        <v>2022</v>
      </c>
      <c r="W1998" s="640"/>
      <c r="X1998" s="641">
        <f t="shared" si="93"/>
        <v>3.4119210857702531</v>
      </c>
      <c r="Y1998" s="642" t="str">
        <f t="shared" si="94"/>
        <v/>
      </c>
      <c r="Z1998" s="642" t="str">
        <f t="shared" si="92"/>
        <v/>
      </c>
    </row>
    <row r="1999" spans="1:26" s="127" customFormat="1" ht="25">
      <c r="A1999" s="636">
        <v>63011</v>
      </c>
      <c r="B1999" s="637" t="s">
        <v>33</v>
      </c>
      <c r="C1999" s="636" t="s">
        <v>2725</v>
      </c>
      <c r="D1999" s="637" t="s">
        <v>3086</v>
      </c>
      <c r="E1999" s="637" t="s">
        <v>2166</v>
      </c>
      <c r="F1999" s="636">
        <v>61012</v>
      </c>
      <c r="G1999" s="637" t="s">
        <v>81</v>
      </c>
      <c r="H1999" s="637" t="s">
        <v>1163</v>
      </c>
      <c r="I1999" s="637" t="s">
        <v>58</v>
      </c>
      <c r="J1999" s="636">
        <v>22</v>
      </c>
      <c r="K1999" s="636">
        <v>2</v>
      </c>
      <c r="L1999" s="637" t="s">
        <v>52</v>
      </c>
      <c r="M1999" s="637" t="s">
        <v>1852</v>
      </c>
      <c r="N1999" s="637" t="s">
        <v>1035</v>
      </c>
      <c r="O1999" s="637" t="s">
        <v>82</v>
      </c>
      <c r="P1999" s="637" t="s">
        <v>2726</v>
      </c>
      <c r="Q1999" s="638">
        <v>329</v>
      </c>
      <c r="R1999" s="638">
        <v>329</v>
      </c>
      <c r="S1999" s="638">
        <v>0</v>
      </c>
      <c r="T1999" s="638">
        <v>0</v>
      </c>
      <c r="U1999" s="638">
        <v>30</v>
      </c>
      <c r="V1999" s="636">
        <v>2022</v>
      </c>
      <c r="W1999" s="640"/>
      <c r="X1999" s="641" t="str">
        <f t="shared" si="93"/>
        <v/>
      </c>
      <c r="Y1999" s="642" t="str">
        <f t="shared" si="94"/>
        <v/>
      </c>
      <c r="Z1999" s="642" t="str">
        <f t="shared" si="92"/>
        <v/>
      </c>
    </row>
    <row r="2000" spans="1:26" s="127" customFormat="1" ht="25">
      <c r="A2000" s="636">
        <v>63011</v>
      </c>
      <c r="B2000" s="637" t="s">
        <v>33</v>
      </c>
      <c r="C2000" s="636" t="s">
        <v>2725</v>
      </c>
      <c r="D2000" s="637" t="s">
        <v>3086</v>
      </c>
      <c r="E2000" s="637" t="s">
        <v>2166</v>
      </c>
      <c r="F2000" s="636">
        <v>61012</v>
      </c>
      <c r="G2000" s="637" t="s">
        <v>81</v>
      </c>
      <c r="H2000" s="637" t="s">
        <v>1163</v>
      </c>
      <c r="I2000" s="637" t="s">
        <v>58</v>
      </c>
      <c r="J2000" s="636">
        <v>22</v>
      </c>
      <c r="K2000" s="636">
        <v>2</v>
      </c>
      <c r="L2000" s="637" t="s">
        <v>52</v>
      </c>
      <c r="M2000" s="637" t="s">
        <v>441</v>
      </c>
      <c r="N2000" s="637" t="s">
        <v>442</v>
      </c>
      <c r="O2000" s="637" t="s">
        <v>442</v>
      </c>
      <c r="P2000" s="637" t="s">
        <v>1156</v>
      </c>
      <c r="Q2000" s="638">
        <v>0</v>
      </c>
      <c r="R2000" s="638">
        <v>0</v>
      </c>
      <c r="S2000" s="638">
        <v>11679</v>
      </c>
      <c r="T2000" s="638">
        <v>11679</v>
      </c>
      <c r="U2000" s="638">
        <v>3423</v>
      </c>
      <c r="V2000" s="636">
        <v>2022</v>
      </c>
      <c r="W2000" s="640"/>
      <c r="X2000" s="641">
        <f t="shared" si="93"/>
        <v>3.4119193689745835</v>
      </c>
      <c r="Y2000" s="642" t="str">
        <f t="shared" si="94"/>
        <v/>
      </c>
      <c r="Z2000" s="642" t="str">
        <f t="shared" ref="Z2000:Z2063" si="95">IF(AND($M2000=$Y$2,$N2000=$Y$4,NOT($Q2000=$R2000),NOT($U2000=0)),IF($K2000=5,$S2000/($U2000+(8/5)*$U2000),IF($K2000=7,$S2000/($U2000+(29/25)*$U2000),"")),"")</f>
        <v/>
      </c>
    </row>
    <row r="2001" spans="1:26" s="127" customFormat="1" ht="25">
      <c r="A2001" s="636">
        <v>63012</v>
      </c>
      <c r="B2001" s="637" t="s">
        <v>33</v>
      </c>
      <c r="C2001" s="636" t="s">
        <v>2725</v>
      </c>
      <c r="D2001" s="637" t="s">
        <v>2890</v>
      </c>
      <c r="E2001" s="637" t="s">
        <v>2166</v>
      </c>
      <c r="F2001" s="636">
        <v>61012</v>
      </c>
      <c r="G2001" s="637" t="s">
        <v>57</v>
      </c>
      <c r="H2001" s="637" t="s">
        <v>1162</v>
      </c>
      <c r="I2001" s="637" t="s">
        <v>58</v>
      </c>
      <c r="J2001" s="636">
        <v>22</v>
      </c>
      <c r="K2001" s="636">
        <v>2</v>
      </c>
      <c r="L2001" s="637" t="s">
        <v>52</v>
      </c>
      <c r="M2001" s="637" t="s">
        <v>441</v>
      </c>
      <c r="N2001" s="637" t="s">
        <v>442</v>
      </c>
      <c r="O2001" s="637" t="s">
        <v>442</v>
      </c>
      <c r="P2001" s="637" t="s">
        <v>1156</v>
      </c>
      <c r="Q2001" s="638">
        <v>0</v>
      </c>
      <c r="R2001" s="638">
        <v>0</v>
      </c>
      <c r="S2001" s="638">
        <v>21489</v>
      </c>
      <c r="T2001" s="638">
        <v>21489</v>
      </c>
      <c r="U2001" s="638">
        <v>6298</v>
      </c>
      <c r="V2001" s="636">
        <v>2022</v>
      </c>
      <c r="W2001" s="640"/>
      <c r="X2001" s="641">
        <f t="shared" si="93"/>
        <v>3.412035566846618</v>
      </c>
      <c r="Y2001" s="642" t="str">
        <f t="shared" si="94"/>
        <v/>
      </c>
      <c r="Z2001" s="642" t="str">
        <f t="shared" si="95"/>
        <v/>
      </c>
    </row>
    <row r="2002" spans="1:26" s="127" customFormat="1" ht="25">
      <c r="A2002" s="636">
        <v>63013</v>
      </c>
      <c r="B2002" s="637" t="s">
        <v>33</v>
      </c>
      <c r="C2002" s="636" t="s">
        <v>2725</v>
      </c>
      <c r="D2002" s="637" t="s">
        <v>2891</v>
      </c>
      <c r="E2002" s="637" t="s">
        <v>2166</v>
      </c>
      <c r="F2002" s="636">
        <v>61012</v>
      </c>
      <c r="G2002" s="637" t="s">
        <v>57</v>
      </c>
      <c r="H2002" s="637" t="s">
        <v>1162</v>
      </c>
      <c r="I2002" s="637" t="s">
        <v>58</v>
      </c>
      <c r="J2002" s="636">
        <v>22</v>
      </c>
      <c r="K2002" s="636">
        <v>2</v>
      </c>
      <c r="L2002" s="637" t="s">
        <v>52</v>
      </c>
      <c r="M2002" s="637" t="s">
        <v>441</v>
      </c>
      <c r="N2002" s="637" t="s">
        <v>442</v>
      </c>
      <c r="O2002" s="637" t="s">
        <v>442</v>
      </c>
      <c r="P2002" s="637" t="s">
        <v>1156</v>
      </c>
      <c r="Q2002" s="638">
        <v>0</v>
      </c>
      <c r="R2002" s="638">
        <v>0</v>
      </c>
      <c r="S2002" s="638">
        <v>23154</v>
      </c>
      <c r="T2002" s="638">
        <v>23154</v>
      </c>
      <c r="U2002" s="638">
        <v>6786</v>
      </c>
      <c r="V2002" s="636">
        <v>2022</v>
      </c>
      <c r="W2002" s="640"/>
      <c r="X2002" s="641">
        <f t="shared" si="93"/>
        <v>3.4120247568523432</v>
      </c>
      <c r="Y2002" s="642" t="str">
        <f t="shared" si="94"/>
        <v/>
      </c>
      <c r="Z2002" s="642" t="str">
        <f t="shared" si="95"/>
        <v/>
      </c>
    </row>
    <row r="2003" spans="1:26" s="127" customFormat="1" ht="25">
      <c r="A2003" s="636">
        <v>63041</v>
      </c>
      <c r="B2003" s="637" t="s">
        <v>33</v>
      </c>
      <c r="C2003" s="636" t="s">
        <v>2725</v>
      </c>
      <c r="D2003" s="637" t="s">
        <v>3320</v>
      </c>
      <c r="E2003" s="637" t="s">
        <v>2166</v>
      </c>
      <c r="F2003" s="636">
        <v>61012</v>
      </c>
      <c r="G2003" s="637" t="s">
        <v>81</v>
      </c>
      <c r="H2003" s="637" t="s">
        <v>1163</v>
      </c>
      <c r="I2003" s="637" t="s">
        <v>58</v>
      </c>
      <c r="J2003" s="636">
        <v>22</v>
      </c>
      <c r="K2003" s="636">
        <v>2</v>
      </c>
      <c r="L2003" s="637" t="s">
        <v>52</v>
      </c>
      <c r="M2003" s="637" t="s">
        <v>441</v>
      </c>
      <c r="N2003" s="637" t="s">
        <v>442</v>
      </c>
      <c r="O2003" s="637" t="s">
        <v>442</v>
      </c>
      <c r="P2003" s="637" t="s">
        <v>1156</v>
      </c>
      <c r="Q2003" s="638">
        <v>0</v>
      </c>
      <c r="R2003" s="638">
        <v>0</v>
      </c>
      <c r="S2003" s="638">
        <v>8220</v>
      </c>
      <c r="T2003" s="638">
        <v>8220</v>
      </c>
      <c r="U2003" s="638">
        <v>2409</v>
      </c>
      <c r="V2003" s="636">
        <v>2022</v>
      </c>
      <c r="W2003" s="640"/>
      <c r="X2003" s="641">
        <f t="shared" si="93"/>
        <v>3.4122042341220422</v>
      </c>
      <c r="Y2003" s="642" t="str">
        <f t="shared" si="94"/>
        <v/>
      </c>
      <c r="Z2003" s="642" t="str">
        <f t="shared" si="95"/>
        <v/>
      </c>
    </row>
    <row r="2004" spans="1:26" s="127" customFormat="1" ht="25">
      <c r="A2004" s="636">
        <v>63044</v>
      </c>
      <c r="B2004" s="637" t="s">
        <v>33</v>
      </c>
      <c r="C2004" s="636" t="s">
        <v>2725</v>
      </c>
      <c r="D2004" s="637" t="s">
        <v>3321</v>
      </c>
      <c r="E2004" s="637" t="s">
        <v>2166</v>
      </c>
      <c r="F2004" s="636">
        <v>61012</v>
      </c>
      <c r="G2004" s="637" t="s">
        <v>81</v>
      </c>
      <c r="H2004" s="637" t="s">
        <v>1163</v>
      </c>
      <c r="I2004" s="637" t="s">
        <v>58</v>
      </c>
      <c r="J2004" s="636">
        <v>22</v>
      </c>
      <c r="K2004" s="636">
        <v>2</v>
      </c>
      <c r="L2004" s="637" t="s">
        <v>52</v>
      </c>
      <c r="M2004" s="637" t="s">
        <v>1852</v>
      </c>
      <c r="N2004" s="637" t="s">
        <v>1035</v>
      </c>
      <c r="O2004" s="637" t="s">
        <v>82</v>
      </c>
      <c r="P2004" s="637" t="s">
        <v>2726</v>
      </c>
      <c r="Q2004" s="638">
        <v>259</v>
      </c>
      <c r="R2004" s="638">
        <v>259</v>
      </c>
      <c r="S2004" s="638">
        <v>0</v>
      </c>
      <c r="T2004" s="638">
        <v>0</v>
      </c>
      <c r="U2004" s="638">
        <v>-23</v>
      </c>
      <c r="V2004" s="636">
        <v>2022</v>
      </c>
      <c r="W2004" s="640"/>
      <c r="X2004" s="641" t="str">
        <f t="shared" si="93"/>
        <v/>
      </c>
      <c r="Y2004" s="642" t="str">
        <f t="shared" si="94"/>
        <v/>
      </c>
      <c r="Z2004" s="642" t="str">
        <f t="shared" si="95"/>
        <v/>
      </c>
    </row>
    <row r="2005" spans="1:26" s="127" customFormat="1" ht="25">
      <c r="A2005" s="636">
        <v>63044</v>
      </c>
      <c r="B2005" s="637" t="s">
        <v>33</v>
      </c>
      <c r="C2005" s="636" t="s">
        <v>2725</v>
      </c>
      <c r="D2005" s="637" t="s">
        <v>3321</v>
      </c>
      <c r="E2005" s="637" t="s">
        <v>2166</v>
      </c>
      <c r="F2005" s="636">
        <v>61012</v>
      </c>
      <c r="G2005" s="637" t="s">
        <v>81</v>
      </c>
      <c r="H2005" s="637" t="s">
        <v>1163</v>
      </c>
      <c r="I2005" s="637" t="s">
        <v>58</v>
      </c>
      <c r="J2005" s="636">
        <v>22</v>
      </c>
      <c r="K2005" s="636">
        <v>2</v>
      </c>
      <c r="L2005" s="637" t="s">
        <v>52</v>
      </c>
      <c r="M2005" s="637" t="s">
        <v>441</v>
      </c>
      <c r="N2005" s="637" t="s">
        <v>442</v>
      </c>
      <c r="O2005" s="637" t="s">
        <v>442</v>
      </c>
      <c r="P2005" s="637" t="s">
        <v>1156</v>
      </c>
      <c r="Q2005" s="638">
        <v>0</v>
      </c>
      <c r="R2005" s="638">
        <v>0</v>
      </c>
      <c r="S2005" s="638">
        <v>13351</v>
      </c>
      <c r="T2005" s="638">
        <v>13351</v>
      </c>
      <c r="U2005" s="638">
        <v>3913</v>
      </c>
      <c r="V2005" s="636">
        <v>2022</v>
      </c>
      <c r="W2005" s="640"/>
      <c r="X2005" s="641">
        <f t="shared" si="93"/>
        <v>3.4119601328903655</v>
      </c>
      <c r="Y2005" s="642" t="str">
        <f t="shared" si="94"/>
        <v/>
      </c>
      <c r="Z2005" s="642" t="str">
        <f t="shared" si="95"/>
        <v/>
      </c>
    </row>
    <row r="2006" spans="1:26" s="127" customFormat="1" ht="25">
      <c r="A2006" s="636">
        <v>63047</v>
      </c>
      <c r="B2006" s="637" t="s">
        <v>33</v>
      </c>
      <c r="C2006" s="636" t="s">
        <v>2725</v>
      </c>
      <c r="D2006" s="637" t="s">
        <v>3322</v>
      </c>
      <c r="E2006" s="637" t="s">
        <v>2166</v>
      </c>
      <c r="F2006" s="636">
        <v>61012</v>
      </c>
      <c r="G2006" s="637" t="s">
        <v>81</v>
      </c>
      <c r="H2006" s="637" t="s">
        <v>1163</v>
      </c>
      <c r="I2006" s="637" t="s">
        <v>58</v>
      </c>
      <c r="J2006" s="636">
        <v>22</v>
      </c>
      <c r="K2006" s="636">
        <v>2</v>
      </c>
      <c r="L2006" s="637" t="s">
        <v>52</v>
      </c>
      <c r="M2006" s="637" t="s">
        <v>441</v>
      </c>
      <c r="N2006" s="637" t="s">
        <v>442</v>
      </c>
      <c r="O2006" s="637" t="s">
        <v>442</v>
      </c>
      <c r="P2006" s="637" t="s">
        <v>1156</v>
      </c>
      <c r="Q2006" s="638">
        <v>0</v>
      </c>
      <c r="R2006" s="638">
        <v>0</v>
      </c>
      <c r="S2006" s="638">
        <v>23954</v>
      </c>
      <c r="T2006" s="638">
        <v>23954</v>
      </c>
      <c r="U2006" s="638">
        <v>7021</v>
      </c>
      <c r="V2006" s="636">
        <v>2022</v>
      </c>
      <c r="W2006" s="640"/>
      <c r="X2006" s="641">
        <f t="shared" si="93"/>
        <v>3.4117647058823528</v>
      </c>
      <c r="Y2006" s="642" t="str">
        <f t="shared" si="94"/>
        <v/>
      </c>
      <c r="Z2006" s="642" t="str">
        <f t="shared" si="95"/>
        <v/>
      </c>
    </row>
    <row r="2007" spans="1:26" s="127" customFormat="1" ht="25">
      <c r="A2007" s="636">
        <v>63048</v>
      </c>
      <c r="B2007" s="637" t="s">
        <v>33</v>
      </c>
      <c r="C2007" s="636" t="s">
        <v>2725</v>
      </c>
      <c r="D2007" s="637" t="s">
        <v>3323</v>
      </c>
      <c r="E2007" s="637" t="s">
        <v>2166</v>
      </c>
      <c r="F2007" s="636">
        <v>61012</v>
      </c>
      <c r="G2007" s="637" t="s">
        <v>81</v>
      </c>
      <c r="H2007" s="637" t="s">
        <v>1163</v>
      </c>
      <c r="I2007" s="637" t="s">
        <v>58</v>
      </c>
      <c r="J2007" s="636">
        <v>22</v>
      </c>
      <c r="K2007" s="636">
        <v>2</v>
      </c>
      <c r="L2007" s="637" t="s">
        <v>52</v>
      </c>
      <c r="M2007" s="637" t="s">
        <v>441</v>
      </c>
      <c r="N2007" s="637" t="s">
        <v>442</v>
      </c>
      <c r="O2007" s="637" t="s">
        <v>442</v>
      </c>
      <c r="P2007" s="637" t="s">
        <v>1156</v>
      </c>
      <c r="Q2007" s="638">
        <v>0</v>
      </c>
      <c r="R2007" s="638">
        <v>0</v>
      </c>
      <c r="S2007" s="638">
        <v>28240</v>
      </c>
      <c r="T2007" s="638">
        <v>28240</v>
      </c>
      <c r="U2007" s="638">
        <v>8277</v>
      </c>
      <c r="V2007" s="636">
        <v>2022</v>
      </c>
      <c r="W2007" s="640"/>
      <c r="X2007" s="641">
        <f t="shared" si="93"/>
        <v>3.4118642020055576</v>
      </c>
      <c r="Y2007" s="642" t="str">
        <f t="shared" si="94"/>
        <v/>
      </c>
      <c r="Z2007" s="642" t="str">
        <f t="shared" si="95"/>
        <v/>
      </c>
    </row>
    <row r="2008" spans="1:26" s="127" customFormat="1" ht="25">
      <c r="A2008" s="636">
        <v>63051</v>
      </c>
      <c r="B2008" s="637" t="s">
        <v>33</v>
      </c>
      <c r="C2008" s="636" t="s">
        <v>2725</v>
      </c>
      <c r="D2008" s="637" t="s">
        <v>2892</v>
      </c>
      <c r="E2008" s="637" t="s">
        <v>2203</v>
      </c>
      <c r="F2008" s="636">
        <v>61227</v>
      </c>
      <c r="G2008" s="637" t="s">
        <v>57</v>
      </c>
      <c r="H2008" s="637" t="s">
        <v>1162</v>
      </c>
      <c r="I2008" s="637" t="s">
        <v>58</v>
      </c>
      <c r="J2008" s="636">
        <v>22</v>
      </c>
      <c r="K2008" s="636">
        <v>2</v>
      </c>
      <c r="L2008" s="637" t="s">
        <v>52</v>
      </c>
      <c r="M2008" s="637" t="s">
        <v>441</v>
      </c>
      <c r="N2008" s="637" t="s">
        <v>442</v>
      </c>
      <c r="O2008" s="637" t="s">
        <v>442</v>
      </c>
      <c r="P2008" s="637" t="s">
        <v>1156</v>
      </c>
      <c r="Q2008" s="638">
        <v>0</v>
      </c>
      <c r="R2008" s="638">
        <v>0</v>
      </c>
      <c r="S2008" s="638">
        <v>10896</v>
      </c>
      <c r="T2008" s="638">
        <v>10896</v>
      </c>
      <c r="U2008" s="638">
        <v>3193</v>
      </c>
      <c r="V2008" s="636">
        <v>2022</v>
      </c>
      <c r="W2008" s="640"/>
      <c r="X2008" s="641">
        <f t="shared" si="93"/>
        <v>3.4124647666771062</v>
      </c>
      <c r="Y2008" s="642" t="str">
        <f t="shared" si="94"/>
        <v/>
      </c>
      <c r="Z2008" s="642" t="str">
        <f t="shared" si="95"/>
        <v/>
      </c>
    </row>
    <row r="2009" spans="1:26" s="127" customFormat="1" ht="25">
      <c r="A2009" s="636">
        <v>63052</v>
      </c>
      <c r="B2009" s="637" t="s">
        <v>33</v>
      </c>
      <c r="C2009" s="636" t="s">
        <v>2725</v>
      </c>
      <c r="D2009" s="637" t="s">
        <v>2893</v>
      </c>
      <c r="E2009" s="637" t="s">
        <v>2203</v>
      </c>
      <c r="F2009" s="636">
        <v>61227</v>
      </c>
      <c r="G2009" s="637" t="s">
        <v>57</v>
      </c>
      <c r="H2009" s="637" t="s">
        <v>1162</v>
      </c>
      <c r="I2009" s="637" t="s">
        <v>58</v>
      </c>
      <c r="J2009" s="636">
        <v>22</v>
      </c>
      <c r="K2009" s="636">
        <v>2</v>
      </c>
      <c r="L2009" s="637" t="s">
        <v>52</v>
      </c>
      <c r="M2009" s="637" t="s">
        <v>441</v>
      </c>
      <c r="N2009" s="637" t="s">
        <v>442</v>
      </c>
      <c r="O2009" s="637" t="s">
        <v>442</v>
      </c>
      <c r="P2009" s="637" t="s">
        <v>1156</v>
      </c>
      <c r="Q2009" s="638">
        <v>0</v>
      </c>
      <c r="R2009" s="638">
        <v>0</v>
      </c>
      <c r="S2009" s="638">
        <v>12534</v>
      </c>
      <c r="T2009" s="638">
        <v>12534</v>
      </c>
      <c r="U2009" s="638">
        <v>3673</v>
      </c>
      <c r="V2009" s="636">
        <v>2022</v>
      </c>
      <c r="W2009" s="640"/>
      <c r="X2009" s="641">
        <f t="shared" si="93"/>
        <v>3.4124693710863054</v>
      </c>
      <c r="Y2009" s="642" t="str">
        <f t="shared" si="94"/>
        <v/>
      </c>
      <c r="Z2009" s="642" t="str">
        <f t="shared" si="95"/>
        <v/>
      </c>
    </row>
    <row r="2010" spans="1:26" s="127" customFormat="1" ht="25">
      <c r="A2010" s="636">
        <v>63055</v>
      </c>
      <c r="B2010" s="637" t="s">
        <v>33</v>
      </c>
      <c r="C2010" s="636" t="s">
        <v>2725</v>
      </c>
      <c r="D2010" s="637" t="s">
        <v>2894</v>
      </c>
      <c r="E2010" s="637" t="s">
        <v>2203</v>
      </c>
      <c r="F2010" s="636">
        <v>61227</v>
      </c>
      <c r="G2010" s="637" t="s">
        <v>57</v>
      </c>
      <c r="H2010" s="637" t="s">
        <v>1162</v>
      </c>
      <c r="I2010" s="637" t="s">
        <v>58</v>
      </c>
      <c r="J2010" s="636">
        <v>22</v>
      </c>
      <c r="K2010" s="636">
        <v>2</v>
      </c>
      <c r="L2010" s="637" t="s">
        <v>52</v>
      </c>
      <c r="M2010" s="637" t="s">
        <v>441</v>
      </c>
      <c r="N2010" s="637" t="s">
        <v>442</v>
      </c>
      <c r="O2010" s="637" t="s">
        <v>442</v>
      </c>
      <c r="P2010" s="637" t="s">
        <v>1156</v>
      </c>
      <c r="Q2010" s="638">
        <v>0</v>
      </c>
      <c r="R2010" s="638">
        <v>0</v>
      </c>
      <c r="S2010" s="638">
        <v>10877</v>
      </c>
      <c r="T2010" s="638">
        <v>10877</v>
      </c>
      <c r="U2010" s="638">
        <v>3188</v>
      </c>
      <c r="V2010" s="636">
        <v>2022</v>
      </c>
      <c r="W2010" s="640"/>
      <c r="X2010" s="641">
        <f t="shared" si="93"/>
        <v>3.411856963613551</v>
      </c>
      <c r="Y2010" s="642" t="str">
        <f t="shared" si="94"/>
        <v/>
      </c>
      <c r="Z2010" s="642" t="str">
        <f t="shared" si="95"/>
        <v/>
      </c>
    </row>
    <row r="2011" spans="1:26" s="127" customFormat="1" ht="25">
      <c r="A2011" s="636">
        <v>63056</v>
      </c>
      <c r="B2011" s="637" t="s">
        <v>33</v>
      </c>
      <c r="C2011" s="636" t="s">
        <v>2725</v>
      </c>
      <c r="D2011" s="637" t="s">
        <v>2895</v>
      </c>
      <c r="E2011" s="637" t="s">
        <v>2203</v>
      </c>
      <c r="F2011" s="636">
        <v>61227</v>
      </c>
      <c r="G2011" s="637" t="s">
        <v>57</v>
      </c>
      <c r="H2011" s="637" t="s">
        <v>1162</v>
      </c>
      <c r="I2011" s="637" t="s">
        <v>58</v>
      </c>
      <c r="J2011" s="636">
        <v>22</v>
      </c>
      <c r="K2011" s="636">
        <v>2</v>
      </c>
      <c r="L2011" s="637" t="s">
        <v>52</v>
      </c>
      <c r="M2011" s="637" t="s">
        <v>441</v>
      </c>
      <c r="N2011" s="637" t="s">
        <v>442</v>
      </c>
      <c r="O2011" s="637" t="s">
        <v>442</v>
      </c>
      <c r="P2011" s="637" t="s">
        <v>1156</v>
      </c>
      <c r="Q2011" s="638">
        <v>0</v>
      </c>
      <c r="R2011" s="638">
        <v>0</v>
      </c>
      <c r="S2011" s="638">
        <v>12344</v>
      </c>
      <c r="T2011" s="638">
        <v>12344</v>
      </c>
      <c r="U2011" s="638">
        <v>3618</v>
      </c>
      <c r="V2011" s="636">
        <v>2022</v>
      </c>
      <c r="W2011" s="640"/>
      <c r="X2011" s="641">
        <f t="shared" si="93"/>
        <v>3.4118297401879492</v>
      </c>
      <c r="Y2011" s="642" t="str">
        <f t="shared" si="94"/>
        <v/>
      </c>
      <c r="Z2011" s="642" t="str">
        <f t="shared" si="95"/>
        <v/>
      </c>
    </row>
    <row r="2012" spans="1:26" s="127" customFormat="1" ht="25">
      <c r="A2012" s="636">
        <v>63057</v>
      </c>
      <c r="B2012" s="637" t="s">
        <v>33</v>
      </c>
      <c r="C2012" s="636" t="s">
        <v>2725</v>
      </c>
      <c r="D2012" s="637" t="s">
        <v>2896</v>
      </c>
      <c r="E2012" s="637" t="s">
        <v>2203</v>
      </c>
      <c r="F2012" s="636">
        <v>61227</v>
      </c>
      <c r="G2012" s="637" t="s">
        <v>57</v>
      </c>
      <c r="H2012" s="637" t="s">
        <v>1162</v>
      </c>
      <c r="I2012" s="637" t="s">
        <v>58</v>
      </c>
      <c r="J2012" s="636">
        <v>22</v>
      </c>
      <c r="K2012" s="636">
        <v>2</v>
      </c>
      <c r="L2012" s="637" t="s">
        <v>52</v>
      </c>
      <c r="M2012" s="637" t="s">
        <v>441</v>
      </c>
      <c r="N2012" s="637" t="s">
        <v>442</v>
      </c>
      <c r="O2012" s="637" t="s">
        <v>442</v>
      </c>
      <c r="P2012" s="637" t="s">
        <v>1156</v>
      </c>
      <c r="Q2012" s="638">
        <v>0</v>
      </c>
      <c r="R2012" s="638">
        <v>0</v>
      </c>
      <c r="S2012" s="638">
        <v>12525</v>
      </c>
      <c r="T2012" s="638">
        <v>12525</v>
      </c>
      <c r="U2012" s="638">
        <v>3671</v>
      </c>
      <c r="V2012" s="636">
        <v>2022</v>
      </c>
      <c r="W2012" s="640"/>
      <c r="X2012" s="641">
        <f t="shared" si="93"/>
        <v>3.4118768727867068</v>
      </c>
      <c r="Y2012" s="642" t="str">
        <f t="shared" si="94"/>
        <v/>
      </c>
      <c r="Z2012" s="642" t="str">
        <f t="shared" si="95"/>
        <v/>
      </c>
    </row>
    <row r="2013" spans="1:26" s="127" customFormat="1" ht="25">
      <c r="A2013" s="636">
        <v>63058</v>
      </c>
      <c r="B2013" s="637" t="s">
        <v>33</v>
      </c>
      <c r="C2013" s="636" t="s">
        <v>2725</v>
      </c>
      <c r="D2013" s="637" t="s">
        <v>2897</v>
      </c>
      <c r="E2013" s="637" t="s">
        <v>2203</v>
      </c>
      <c r="F2013" s="636">
        <v>61227</v>
      </c>
      <c r="G2013" s="637" t="s">
        <v>57</v>
      </c>
      <c r="H2013" s="637" t="s">
        <v>1162</v>
      </c>
      <c r="I2013" s="637" t="s">
        <v>58</v>
      </c>
      <c r="J2013" s="636">
        <v>22</v>
      </c>
      <c r="K2013" s="636">
        <v>2</v>
      </c>
      <c r="L2013" s="637" t="s">
        <v>52</v>
      </c>
      <c r="M2013" s="637" t="s">
        <v>441</v>
      </c>
      <c r="N2013" s="637" t="s">
        <v>442</v>
      </c>
      <c r="O2013" s="637" t="s">
        <v>442</v>
      </c>
      <c r="P2013" s="637" t="s">
        <v>1156</v>
      </c>
      <c r="Q2013" s="638">
        <v>0</v>
      </c>
      <c r="R2013" s="638">
        <v>0</v>
      </c>
      <c r="S2013" s="638">
        <v>11472</v>
      </c>
      <c r="T2013" s="638">
        <v>11472</v>
      </c>
      <c r="U2013" s="638">
        <v>3362</v>
      </c>
      <c r="V2013" s="636">
        <v>2022</v>
      </c>
      <c r="W2013" s="640"/>
      <c r="X2013" s="641">
        <f t="shared" si="93"/>
        <v>3.4122546103509817</v>
      </c>
      <c r="Y2013" s="642" t="str">
        <f t="shared" si="94"/>
        <v/>
      </c>
      <c r="Z2013" s="642" t="str">
        <f t="shared" si="95"/>
        <v/>
      </c>
    </row>
    <row r="2014" spans="1:26" s="127" customFormat="1" ht="25">
      <c r="A2014" s="636">
        <v>63059</v>
      </c>
      <c r="B2014" s="637" t="s">
        <v>33</v>
      </c>
      <c r="C2014" s="636" t="s">
        <v>2725</v>
      </c>
      <c r="D2014" s="637" t="s">
        <v>2898</v>
      </c>
      <c r="E2014" s="637" t="s">
        <v>2203</v>
      </c>
      <c r="F2014" s="636">
        <v>61227</v>
      </c>
      <c r="G2014" s="637" t="s">
        <v>57</v>
      </c>
      <c r="H2014" s="637" t="s">
        <v>1162</v>
      </c>
      <c r="I2014" s="637" t="s">
        <v>58</v>
      </c>
      <c r="J2014" s="636">
        <v>22</v>
      </c>
      <c r="K2014" s="636">
        <v>2</v>
      </c>
      <c r="L2014" s="637" t="s">
        <v>52</v>
      </c>
      <c r="M2014" s="637" t="s">
        <v>441</v>
      </c>
      <c r="N2014" s="637" t="s">
        <v>442</v>
      </c>
      <c r="O2014" s="637" t="s">
        <v>442</v>
      </c>
      <c r="P2014" s="637" t="s">
        <v>1156</v>
      </c>
      <c r="Q2014" s="638">
        <v>0</v>
      </c>
      <c r="R2014" s="638">
        <v>0</v>
      </c>
      <c r="S2014" s="638">
        <v>11853</v>
      </c>
      <c r="T2014" s="638">
        <v>11853</v>
      </c>
      <c r="U2014" s="638">
        <v>3474</v>
      </c>
      <c r="V2014" s="636">
        <v>2022</v>
      </c>
      <c r="W2014" s="640"/>
      <c r="X2014" s="641">
        <f t="shared" si="93"/>
        <v>3.411917098445596</v>
      </c>
      <c r="Y2014" s="642" t="str">
        <f t="shared" si="94"/>
        <v/>
      </c>
      <c r="Z2014" s="642" t="str">
        <f t="shared" si="95"/>
        <v/>
      </c>
    </row>
    <row r="2015" spans="1:26" s="127" customFormat="1" ht="25">
      <c r="A2015" s="636">
        <v>63060</v>
      </c>
      <c r="B2015" s="637" t="s">
        <v>33</v>
      </c>
      <c r="C2015" s="636" t="s">
        <v>2725</v>
      </c>
      <c r="D2015" s="637" t="s">
        <v>2899</v>
      </c>
      <c r="E2015" s="637" t="s">
        <v>2203</v>
      </c>
      <c r="F2015" s="636">
        <v>61227</v>
      </c>
      <c r="G2015" s="637" t="s">
        <v>57</v>
      </c>
      <c r="H2015" s="637" t="s">
        <v>1162</v>
      </c>
      <c r="I2015" s="637" t="s">
        <v>58</v>
      </c>
      <c r="J2015" s="636">
        <v>22</v>
      </c>
      <c r="K2015" s="636">
        <v>2</v>
      </c>
      <c r="L2015" s="637" t="s">
        <v>52</v>
      </c>
      <c r="M2015" s="637" t="s">
        <v>441</v>
      </c>
      <c r="N2015" s="637" t="s">
        <v>442</v>
      </c>
      <c r="O2015" s="637" t="s">
        <v>442</v>
      </c>
      <c r="P2015" s="637" t="s">
        <v>1156</v>
      </c>
      <c r="Q2015" s="638">
        <v>0</v>
      </c>
      <c r="R2015" s="638">
        <v>0</v>
      </c>
      <c r="S2015" s="638">
        <v>11355</v>
      </c>
      <c r="T2015" s="638">
        <v>11355</v>
      </c>
      <c r="U2015" s="638">
        <v>3328</v>
      </c>
      <c r="V2015" s="636">
        <v>2022</v>
      </c>
      <c r="W2015" s="640"/>
      <c r="X2015" s="641">
        <f t="shared" si="93"/>
        <v>3.4119591346153846</v>
      </c>
      <c r="Y2015" s="642" t="str">
        <f t="shared" si="94"/>
        <v/>
      </c>
      <c r="Z2015" s="642" t="str">
        <f t="shared" si="95"/>
        <v/>
      </c>
    </row>
    <row r="2016" spans="1:26" s="127" customFormat="1" ht="25">
      <c r="A2016" s="636">
        <v>63079</v>
      </c>
      <c r="B2016" s="637" t="s">
        <v>33</v>
      </c>
      <c r="C2016" s="636" t="s">
        <v>2725</v>
      </c>
      <c r="D2016" s="637" t="s">
        <v>2900</v>
      </c>
      <c r="E2016" s="637" t="s">
        <v>2203</v>
      </c>
      <c r="F2016" s="636">
        <v>61227</v>
      </c>
      <c r="G2016" s="637" t="s">
        <v>57</v>
      </c>
      <c r="H2016" s="637" t="s">
        <v>1162</v>
      </c>
      <c r="I2016" s="637" t="s">
        <v>58</v>
      </c>
      <c r="J2016" s="636">
        <v>22</v>
      </c>
      <c r="K2016" s="636">
        <v>2</v>
      </c>
      <c r="L2016" s="637" t="s">
        <v>52</v>
      </c>
      <c r="M2016" s="637" t="s">
        <v>441</v>
      </c>
      <c r="N2016" s="637" t="s">
        <v>442</v>
      </c>
      <c r="O2016" s="637" t="s">
        <v>442</v>
      </c>
      <c r="P2016" s="637" t="s">
        <v>1156</v>
      </c>
      <c r="Q2016" s="638">
        <v>0</v>
      </c>
      <c r="R2016" s="638">
        <v>0</v>
      </c>
      <c r="S2016" s="638">
        <v>9323</v>
      </c>
      <c r="T2016" s="638">
        <v>9323</v>
      </c>
      <c r="U2016" s="638">
        <v>2733</v>
      </c>
      <c r="V2016" s="636">
        <v>2022</v>
      </c>
      <c r="W2016" s="640"/>
      <c r="X2016" s="641">
        <f t="shared" si="93"/>
        <v>3.4112696670325651</v>
      </c>
      <c r="Y2016" s="642" t="str">
        <f t="shared" si="94"/>
        <v/>
      </c>
      <c r="Z2016" s="642" t="str">
        <f t="shared" si="95"/>
        <v/>
      </c>
    </row>
    <row r="2017" spans="1:26" s="127" customFormat="1" ht="25">
      <c r="A2017" s="636">
        <v>63086</v>
      </c>
      <c r="B2017" s="637" t="s">
        <v>33</v>
      </c>
      <c r="C2017" s="636" t="s">
        <v>2725</v>
      </c>
      <c r="D2017" s="637" t="s">
        <v>2901</v>
      </c>
      <c r="E2017" s="637" t="s">
        <v>2203</v>
      </c>
      <c r="F2017" s="636">
        <v>61227</v>
      </c>
      <c r="G2017" s="637" t="s">
        <v>57</v>
      </c>
      <c r="H2017" s="637" t="s">
        <v>1162</v>
      </c>
      <c r="I2017" s="637" t="s">
        <v>58</v>
      </c>
      <c r="J2017" s="636">
        <v>22</v>
      </c>
      <c r="K2017" s="636">
        <v>2</v>
      </c>
      <c r="L2017" s="637" t="s">
        <v>52</v>
      </c>
      <c r="M2017" s="637" t="s">
        <v>441</v>
      </c>
      <c r="N2017" s="637" t="s">
        <v>442</v>
      </c>
      <c r="O2017" s="637" t="s">
        <v>442</v>
      </c>
      <c r="P2017" s="637" t="s">
        <v>1156</v>
      </c>
      <c r="Q2017" s="638">
        <v>0</v>
      </c>
      <c r="R2017" s="638">
        <v>0</v>
      </c>
      <c r="S2017" s="638">
        <v>12499</v>
      </c>
      <c r="T2017" s="638">
        <v>12499</v>
      </c>
      <c r="U2017" s="638">
        <v>3663</v>
      </c>
      <c r="V2017" s="636">
        <v>2022</v>
      </c>
      <c r="W2017" s="640"/>
      <c r="X2017" s="641">
        <f t="shared" si="93"/>
        <v>3.4122304122304121</v>
      </c>
      <c r="Y2017" s="642" t="str">
        <f t="shared" si="94"/>
        <v/>
      </c>
      <c r="Z2017" s="642" t="str">
        <f t="shared" si="95"/>
        <v/>
      </c>
    </row>
    <row r="2018" spans="1:26" s="127" customFormat="1" ht="25">
      <c r="A2018" s="636">
        <v>63106</v>
      </c>
      <c r="B2018" s="637" t="s">
        <v>33</v>
      </c>
      <c r="C2018" s="636" t="s">
        <v>2725</v>
      </c>
      <c r="D2018" s="637" t="s">
        <v>2902</v>
      </c>
      <c r="E2018" s="637" t="s">
        <v>2203</v>
      </c>
      <c r="F2018" s="636">
        <v>61227</v>
      </c>
      <c r="G2018" s="637" t="s">
        <v>57</v>
      </c>
      <c r="H2018" s="637" t="s">
        <v>1162</v>
      </c>
      <c r="I2018" s="637" t="s">
        <v>58</v>
      </c>
      <c r="J2018" s="636">
        <v>22</v>
      </c>
      <c r="K2018" s="636">
        <v>2</v>
      </c>
      <c r="L2018" s="637" t="s">
        <v>52</v>
      </c>
      <c r="M2018" s="637" t="s">
        <v>441</v>
      </c>
      <c r="N2018" s="637" t="s">
        <v>442</v>
      </c>
      <c r="O2018" s="637" t="s">
        <v>442</v>
      </c>
      <c r="P2018" s="637" t="s">
        <v>1156</v>
      </c>
      <c r="Q2018" s="638">
        <v>0</v>
      </c>
      <c r="R2018" s="638">
        <v>0</v>
      </c>
      <c r="S2018" s="638">
        <v>12993</v>
      </c>
      <c r="T2018" s="638">
        <v>12993</v>
      </c>
      <c r="U2018" s="638">
        <v>3808</v>
      </c>
      <c r="V2018" s="636">
        <v>2022</v>
      </c>
      <c r="W2018" s="640"/>
      <c r="X2018" s="641">
        <f t="shared" si="93"/>
        <v>3.4120273109243699</v>
      </c>
      <c r="Y2018" s="642" t="str">
        <f t="shared" si="94"/>
        <v/>
      </c>
      <c r="Z2018" s="642" t="str">
        <f t="shared" si="95"/>
        <v/>
      </c>
    </row>
    <row r="2019" spans="1:26" s="127" customFormat="1" ht="25">
      <c r="A2019" s="636">
        <v>63107</v>
      </c>
      <c r="B2019" s="637" t="s">
        <v>33</v>
      </c>
      <c r="C2019" s="636" t="s">
        <v>2725</v>
      </c>
      <c r="D2019" s="637" t="s">
        <v>3087</v>
      </c>
      <c r="E2019" s="637" t="s">
        <v>2203</v>
      </c>
      <c r="F2019" s="636">
        <v>61227</v>
      </c>
      <c r="G2019" s="637" t="s">
        <v>57</v>
      </c>
      <c r="H2019" s="637" t="s">
        <v>1162</v>
      </c>
      <c r="I2019" s="637" t="s">
        <v>58</v>
      </c>
      <c r="J2019" s="636">
        <v>22</v>
      </c>
      <c r="K2019" s="636">
        <v>2</v>
      </c>
      <c r="L2019" s="637" t="s">
        <v>52</v>
      </c>
      <c r="M2019" s="637" t="s">
        <v>441</v>
      </c>
      <c r="N2019" s="637" t="s">
        <v>442</v>
      </c>
      <c r="O2019" s="637" t="s">
        <v>442</v>
      </c>
      <c r="P2019" s="637" t="s">
        <v>1156</v>
      </c>
      <c r="Q2019" s="638">
        <v>0</v>
      </c>
      <c r="R2019" s="638">
        <v>0</v>
      </c>
      <c r="S2019" s="638">
        <v>7498</v>
      </c>
      <c r="T2019" s="638">
        <v>7498</v>
      </c>
      <c r="U2019" s="638">
        <v>2198</v>
      </c>
      <c r="V2019" s="636">
        <v>2022</v>
      </c>
      <c r="W2019" s="640"/>
      <c r="X2019" s="641">
        <f t="shared" si="93"/>
        <v>3.4112829845313923</v>
      </c>
      <c r="Y2019" s="642" t="str">
        <f t="shared" si="94"/>
        <v/>
      </c>
      <c r="Z2019" s="642" t="str">
        <f t="shared" si="95"/>
        <v/>
      </c>
    </row>
    <row r="2020" spans="1:26" s="127" customFormat="1" ht="25">
      <c r="A2020" s="636">
        <v>63108</v>
      </c>
      <c r="B2020" s="637" t="s">
        <v>33</v>
      </c>
      <c r="C2020" s="636" t="s">
        <v>2725</v>
      </c>
      <c r="D2020" s="637" t="s">
        <v>2903</v>
      </c>
      <c r="E2020" s="637" t="s">
        <v>2203</v>
      </c>
      <c r="F2020" s="636">
        <v>61227</v>
      </c>
      <c r="G2020" s="637" t="s">
        <v>57</v>
      </c>
      <c r="H2020" s="637" t="s">
        <v>1162</v>
      </c>
      <c r="I2020" s="637" t="s">
        <v>58</v>
      </c>
      <c r="J2020" s="636">
        <v>22</v>
      </c>
      <c r="K2020" s="636">
        <v>2</v>
      </c>
      <c r="L2020" s="637" t="s">
        <v>52</v>
      </c>
      <c r="M2020" s="637" t="s">
        <v>441</v>
      </c>
      <c r="N2020" s="637" t="s">
        <v>442</v>
      </c>
      <c r="O2020" s="637" t="s">
        <v>442</v>
      </c>
      <c r="P2020" s="637" t="s">
        <v>1156</v>
      </c>
      <c r="Q2020" s="638">
        <v>0</v>
      </c>
      <c r="R2020" s="638">
        <v>0</v>
      </c>
      <c r="S2020" s="638">
        <v>12296</v>
      </c>
      <c r="T2020" s="638">
        <v>12296</v>
      </c>
      <c r="U2020" s="638">
        <v>3604</v>
      </c>
      <c r="V2020" s="636">
        <v>2022</v>
      </c>
      <c r="W2020" s="640"/>
      <c r="X2020" s="641">
        <f t="shared" si="93"/>
        <v>3.4117647058823528</v>
      </c>
      <c r="Y2020" s="642" t="str">
        <f t="shared" si="94"/>
        <v/>
      </c>
      <c r="Z2020" s="642" t="str">
        <f t="shared" si="95"/>
        <v/>
      </c>
    </row>
    <row r="2021" spans="1:26" s="127" customFormat="1" ht="25">
      <c r="A2021" s="636">
        <v>63112</v>
      </c>
      <c r="B2021" s="637" t="s">
        <v>33</v>
      </c>
      <c r="C2021" s="636" t="s">
        <v>2725</v>
      </c>
      <c r="D2021" s="637" t="s">
        <v>2904</v>
      </c>
      <c r="E2021" s="637" t="s">
        <v>2203</v>
      </c>
      <c r="F2021" s="636">
        <v>61227</v>
      </c>
      <c r="G2021" s="637" t="s">
        <v>57</v>
      </c>
      <c r="H2021" s="637" t="s">
        <v>1162</v>
      </c>
      <c r="I2021" s="637" t="s">
        <v>58</v>
      </c>
      <c r="J2021" s="636">
        <v>22</v>
      </c>
      <c r="K2021" s="636">
        <v>2</v>
      </c>
      <c r="L2021" s="637" t="s">
        <v>52</v>
      </c>
      <c r="M2021" s="637" t="s">
        <v>441</v>
      </c>
      <c r="N2021" s="637" t="s">
        <v>442</v>
      </c>
      <c r="O2021" s="637" t="s">
        <v>442</v>
      </c>
      <c r="P2021" s="637" t="s">
        <v>1156</v>
      </c>
      <c r="Q2021" s="638">
        <v>0</v>
      </c>
      <c r="R2021" s="638">
        <v>0</v>
      </c>
      <c r="S2021" s="638">
        <v>13198</v>
      </c>
      <c r="T2021" s="638">
        <v>13198</v>
      </c>
      <c r="U2021" s="638">
        <v>3868</v>
      </c>
      <c r="V2021" s="636">
        <v>2022</v>
      </c>
      <c r="W2021" s="640"/>
      <c r="X2021" s="641">
        <f t="shared" si="93"/>
        <v>3.4120992761116855</v>
      </c>
      <c r="Y2021" s="642" t="str">
        <f t="shared" si="94"/>
        <v/>
      </c>
      <c r="Z2021" s="642" t="str">
        <f t="shared" si="95"/>
        <v/>
      </c>
    </row>
    <row r="2022" spans="1:26" s="127" customFormat="1" ht="25">
      <c r="A2022" s="636">
        <v>63129</v>
      </c>
      <c r="B2022" s="637" t="s">
        <v>33</v>
      </c>
      <c r="C2022" s="636" t="s">
        <v>2725</v>
      </c>
      <c r="D2022" s="637" t="s">
        <v>3088</v>
      </c>
      <c r="E2022" s="637" t="s">
        <v>2166</v>
      </c>
      <c r="F2022" s="636">
        <v>61012</v>
      </c>
      <c r="G2022" s="637" t="s">
        <v>57</v>
      </c>
      <c r="H2022" s="637" t="s">
        <v>1162</v>
      </c>
      <c r="I2022" s="637" t="s">
        <v>58</v>
      </c>
      <c r="J2022" s="636">
        <v>22</v>
      </c>
      <c r="K2022" s="636">
        <v>2</v>
      </c>
      <c r="L2022" s="637" t="s">
        <v>52</v>
      </c>
      <c r="M2022" s="637" t="s">
        <v>441</v>
      </c>
      <c r="N2022" s="637" t="s">
        <v>442</v>
      </c>
      <c r="O2022" s="637" t="s">
        <v>442</v>
      </c>
      <c r="P2022" s="637" t="s">
        <v>1156</v>
      </c>
      <c r="Q2022" s="638">
        <v>0</v>
      </c>
      <c r="R2022" s="638">
        <v>0</v>
      </c>
      <c r="S2022" s="638">
        <v>28043</v>
      </c>
      <c r="T2022" s="638">
        <v>28043</v>
      </c>
      <c r="U2022" s="638">
        <v>8219</v>
      </c>
      <c r="V2022" s="636">
        <v>2022</v>
      </c>
      <c r="W2022" s="640"/>
      <c r="X2022" s="641">
        <f t="shared" si="93"/>
        <v>3.4119722593989534</v>
      </c>
      <c r="Y2022" s="642" t="str">
        <f t="shared" si="94"/>
        <v/>
      </c>
      <c r="Z2022" s="642" t="str">
        <f t="shared" si="95"/>
        <v/>
      </c>
    </row>
    <row r="2023" spans="1:26" s="127" customFormat="1" ht="25">
      <c r="A2023" s="636">
        <v>63130</v>
      </c>
      <c r="B2023" s="637" t="s">
        <v>33</v>
      </c>
      <c r="C2023" s="636" t="s">
        <v>2725</v>
      </c>
      <c r="D2023" s="637" t="s">
        <v>3089</v>
      </c>
      <c r="E2023" s="637" t="s">
        <v>2166</v>
      </c>
      <c r="F2023" s="636">
        <v>61012</v>
      </c>
      <c r="G2023" s="637" t="s">
        <v>57</v>
      </c>
      <c r="H2023" s="637" t="s">
        <v>1162</v>
      </c>
      <c r="I2023" s="637" t="s">
        <v>58</v>
      </c>
      <c r="J2023" s="636">
        <v>22</v>
      </c>
      <c r="K2023" s="636">
        <v>2</v>
      </c>
      <c r="L2023" s="637" t="s">
        <v>52</v>
      </c>
      <c r="M2023" s="637" t="s">
        <v>441</v>
      </c>
      <c r="N2023" s="637" t="s">
        <v>442</v>
      </c>
      <c r="O2023" s="637" t="s">
        <v>442</v>
      </c>
      <c r="P2023" s="637" t="s">
        <v>1156</v>
      </c>
      <c r="Q2023" s="638">
        <v>0</v>
      </c>
      <c r="R2023" s="638">
        <v>0</v>
      </c>
      <c r="S2023" s="638">
        <v>18994</v>
      </c>
      <c r="T2023" s="638">
        <v>18994</v>
      </c>
      <c r="U2023" s="638">
        <v>5567</v>
      </c>
      <c r="V2023" s="636">
        <v>2022</v>
      </c>
      <c r="W2023" s="640"/>
      <c r="X2023" s="641">
        <f t="shared" si="93"/>
        <v>3.4118915035027841</v>
      </c>
      <c r="Y2023" s="642" t="str">
        <f t="shared" si="94"/>
        <v/>
      </c>
      <c r="Z2023" s="642" t="str">
        <f t="shared" si="95"/>
        <v/>
      </c>
    </row>
    <row r="2024" spans="1:26" s="127" customFormat="1" ht="25">
      <c r="A2024" s="636">
        <v>63131</v>
      </c>
      <c r="B2024" s="637" t="s">
        <v>33</v>
      </c>
      <c r="C2024" s="636" t="s">
        <v>2725</v>
      </c>
      <c r="D2024" s="637" t="s">
        <v>2905</v>
      </c>
      <c r="E2024" s="637" t="s">
        <v>2166</v>
      </c>
      <c r="F2024" s="636">
        <v>61012</v>
      </c>
      <c r="G2024" s="637" t="s">
        <v>81</v>
      </c>
      <c r="H2024" s="637" t="s">
        <v>1163</v>
      </c>
      <c r="I2024" s="637" t="s">
        <v>58</v>
      </c>
      <c r="J2024" s="636">
        <v>22</v>
      </c>
      <c r="K2024" s="636">
        <v>2</v>
      </c>
      <c r="L2024" s="637" t="s">
        <v>52</v>
      </c>
      <c r="M2024" s="637" t="s">
        <v>441</v>
      </c>
      <c r="N2024" s="637" t="s">
        <v>442</v>
      </c>
      <c r="O2024" s="637" t="s">
        <v>442</v>
      </c>
      <c r="P2024" s="637" t="s">
        <v>1156</v>
      </c>
      <c r="Q2024" s="638">
        <v>0</v>
      </c>
      <c r="R2024" s="638">
        <v>0</v>
      </c>
      <c r="S2024" s="638">
        <v>31284</v>
      </c>
      <c r="T2024" s="638">
        <v>31284</v>
      </c>
      <c r="U2024" s="638">
        <v>9169</v>
      </c>
      <c r="V2024" s="636">
        <v>2022</v>
      </c>
      <c r="W2024" s="640"/>
      <c r="X2024" s="641">
        <f t="shared" si="93"/>
        <v>3.4119315083433306</v>
      </c>
      <c r="Y2024" s="642" t="str">
        <f t="shared" si="94"/>
        <v/>
      </c>
      <c r="Z2024" s="642" t="str">
        <f t="shared" si="95"/>
        <v/>
      </c>
    </row>
    <row r="2025" spans="1:26" s="127" customFormat="1" ht="25">
      <c r="A2025" s="636">
        <v>63132</v>
      </c>
      <c r="B2025" s="637" t="s">
        <v>33</v>
      </c>
      <c r="C2025" s="636" t="s">
        <v>2725</v>
      </c>
      <c r="D2025" s="637" t="s">
        <v>3090</v>
      </c>
      <c r="E2025" s="637" t="s">
        <v>3091</v>
      </c>
      <c r="F2025" s="636">
        <v>61219</v>
      </c>
      <c r="G2025" s="637" t="s">
        <v>90</v>
      </c>
      <c r="H2025" s="637" t="s">
        <v>1163</v>
      </c>
      <c r="I2025" s="637" t="s">
        <v>58</v>
      </c>
      <c r="J2025" s="636">
        <v>22</v>
      </c>
      <c r="K2025" s="636">
        <v>2</v>
      </c>
      <c r="L2025" s="637" t="s">
        <v>52</v>
      </c>
      <c r="M2025" s="637" t="s">
        <v>71</v>
      </c>
      <c r="N2025" s="637" t="s">
        <v>72</v>
      </c>
      <c r="O2025" s="637" t="s">
        <v>72</v>
      </c>
      <c r="P2025" s="637" t="s">
        <v>1156</v>
      </c>
      <c r="Q2025" s="638">
        <v>0</v>
      </c>
      <c r="R2025" s="638">
        <v>0</v>
      </c>
      <c r="S2025" s="638">
        <v>761657</v>
      </c>
      <c r="T2025" s="638">
        <v>761657</v>
      </c>
      <c r="U2025" s="638">
        <v>223229</v>
      </c>
      <c r="V2025" s="636">
        <v>2022</v>
      </c>
      <c r="W2025" s="640"/>
      <c r="X2025" s="641">
        <f t="shared" si="93"/>
        <v>3.4119984410627651</v>
      </c>
      <c r="Y2025" s="642" t="str">
        <f t="shared" si="94"/>
        <v/>
      </c>
      <c r="Z2025" s="642" t="str">
        <f t="shared" si="95"/>
        <v/>
      </c>
    </row>
    <row r="2026" spans="1:26" s="127" customFormat="1" ht="25">
      <c r="A2026" s="636">
        <v>63136</v>
      </c>
      <c r="B2026" s="637" t="s">
        <v>33</v>
      </c>
      <c r="C2026" s="636" t="s">
        <v>2725</v>
      </c>
      <c r="D2026" s="637" t="s">
        <v>3092</v>
      </c>
      <c r="E2026" s="637" t="s">
        <v>2203</v>
      </c>
      <c r="F2026" s="636">
        <v>61227</v>
      </c>
      <c r="G2026" s="637" t="s">
        <v>130</v>
      </c>
      <c r="H2026" s="637" t="s">
        <v>1163</v>
      </c>
      <c r="I2026" s="637" t="s">
        <v>58</v>
      </c>
      <c r="J2026" s="636">
        <v>22</v>
      </c>
      <c r="K2026" s="636">
        <v>2</v>
      </c>
      <c r="L2026" s="637" t="s">
        <v>52</v>
      </c>
      <c r="M2026" s="637" t="s">
        <v>441</v>
      </c>
      <c r="N2026" s="637" t="s">
        <v>442</v>
      </c>
      <c r="O2026" s="637" t="s">
        <v>442</v>
      </c>
      <c r="P2026" s="637" t="s">
        <v>1156</v>
      </c>
      <c r="Q2026" s="638">
        <v>0</v>
      </c>
      <c r="R2026" s="638">
        <v>0</v>
      </c>
      <c r="S2026" s="638">
        <v>32465</v>
      </c>
      <c r="T2026" s="638">
        <v>32465</v>
      </c>
      <c r="U2026" s="638">
        <v>9515</v>
      </c>
      <c r="V2026" s="636">
        <v>2022</v>
      </c>
      <c r="W2026" s="640"/>
      <c r="X2026" s="641">
        <f t="shared" si="93"/>
        <v>3.4119810825013137</v>
      </c>
      <c r="Y2026" s="642" t="str">
        <f t="shared" si="94"/>
        <v/>
      </c>
      <c r="Z2026" s="642" t="str">
        <f t="shared" si="95"/>
        <v/>
      </c>
    </row>
    <row r="2027" spans="1:26" s="127" customFormat="1" ht="25">
      <c r="A2027" s="636">
        <v>63161</v>
      </c>
      <c r="B2027" s="637" t="s">
        <v>33</v>
      </c>
      <c r="C2027" s="636" t="s">
        <v>2725</v>
      </c>
      <c r="D2027" s="637" t="s">
        <v>3093</v>
      </c>
      <c r="E2027" s="637" t="s">
        <v>2166</v>
      </c>
      <c r="F2027" s="636">
        <v>61012</v>
      </c>
      <c r="G2027" s="637" t="s">
        <v>57</v>
      </c>
      <c r="H2027" s="637" t="s">
        <v>1162</v>
      </c>
      <c r="I2027" s="637" t="s">
        <v>58</v>
      </c>
      <c r="J2027" s="636">
        <v>22</v>
      </c>
      <c r="K2027" s="636">
        <v>2</v>
      </c>
      <c r="L2027" s="637" t="s">
        <v>52</v>
      </c>
      <c r="M2027" s="637" t="s">
        <v>441</v>
      </c>
      <c r="N2027" s="637" t="s">
        <v>442</v>
      </c>
      <c r="O2027" s="637" t="s">
        <v>442</v>
      </c>
      <c r="P2027" s="637" t="s">
        <v>1156</v>
      </c>
      <c r="Q2027" s="638">
        <v>0</v>
      </c>
      <c r="R2027" s="638">
        <v>0</v>
      </c>
      <c r="S2027" s="638">
        <v>10754</v>
      </c>
      <c r="T2027" s="638">
        <v>10754</v>
      </c>
      <c r="U2027" s="638">
        <v>3152</v>
      </c>
      <c r="V2027" s="636">
        <v>2022</v>
      </c>
      <c r="W2027" s="640"/>
      <c r="X2027" s="641">
        <f t="shared" si="93"/>
        <v>3.4118020304568528</v>
      </c>
      <c r="Y2027" s="642" t="str">
        <f t="shared" si="94"/>
        <v/>
      </c>
      <c r="Z2027" s="642" t="str">
        <f t="shared" si="95"/>
        <v/>
      </c>
    </row>
    <row r="2028" spans="1:26" s="127" customFormat="1" ht="25">
      <c r="A2028" s="636">
        <v>63191</v>
      </c>
      <c r="B2028" s="637" t="s">
        <v>33</v>
      </c>
      <c r="C2028" s="636" t="s">
        <v>2725</v>
      </c>
      <c r="D2028" s="637" t="s">
        <v>3094</v>
      </c>
      <c r="E2028" s="637" t="s">
        <v>3095</v>
      </c>
      <c r="F2028" s="636">
        <v>62701</v>
      </c>
      <c r="G2028" s="637" t="s">
        <v>130</v>
      </c>
      <c r="H2028" s="637" t="s">
        <v>1163</v>
      </c>
      <c r="I2028" s="637" t="s">
        <v>58</v>
      </c>
      <c r="J2028" s="636">
        <v>22</v>
      </c>
      <c r="K2028" s="636">
        <v>2</v>
      </c>
      <c r="L2028" s="637" t="s">
        <v>52</v>
      </c>
      <c r="M2028" s="637" t="s">
        <v>441</v>
      </c>
      <c r="N2028" s="637" t="s">
        <v>442</v>
      </c>
      <c r="O2028" s="637" t="s">
        <v>442</v>
      </c>
      <c r="P2028" s="637" t="s">
        <v>1156</v>
      </c>
      <c r="Q2028" s="638">
        <v>0</v>
      </c>
      <c r="R2028" s="638">
        <v>0</v>
      </c>
      <c r="S2028" s="638">
        <v>12397</v>
      </c>
      <c r="T2028" s="638">
        <v>12397</v>
      </c>
      <c r="U2028" s="638">
        <v>3633</v>
      </c>
      <c r="V2028" s="636">
        <v>2022</v>
      </c>
      <c r="W2028" s="640"/>
      <c r="X2028" s="641">
        <f t="shared" si="93"/>
        <v>3.4123314065510599</v>
      </c>
      <c r="Y2028" s="642" t="str">
        <f t="shared" si="94"/>
        <v/>
      </c>
      <c r="Z2028" s="642" t="str">
        <f t="shared" si="95"/>
        <v/>
      </c>
    </row>
    <row r="2029" spans="1:26" s="127" customFormat="1" ht="25">
      <c r="A2029" s="636">
        <v>63203</v>
      </c>
      <c r="B2029" s="637" t="s">
        <v>33</v>
      </c>
      <c r="C2029" s="636" t="s">
        <v>2725</v>
      </c>
      <c r="D2029" s="637" t="s">
        <v>2906</v>
      </c>
      <c r="E2029" s="637" t="s">
        <v>2907</v>
      </c>
      <c r="F2029" s="636">
        <v>19780</v>
      </c>
      <c r="G2029" s="637" t="s">
        <v>89</v>
      </c>
      <c r="H2029" s="637" t="s">
        <v>1163</v>
      </c>
      <c r="I2029" s="637" t="s">
        <v>58</v>
      </c>
      <c r="J2029" s="636">
        <v>22</v>
      </c>
      <c r="K2029" s="636">
        <v>1</v>
      </c>
      <c r="L2029" s="637" t="s">
        <v>34</v>
      </c>
      <c r="M2029" s="637" t="s">
        <v>50</v>
      </c>
      <c r="N2029" s="637" t="s">
        <v>46</v>
      </c>
      <c r="O2029" s="637" t="s">
        <v>46</v>
      </c>
      <c r="P2029" s="637" t="s">
        <v>47</v>
      </c>
      <c r="Q2029" s="638">
        <v>2695</v>
      </c>
      <c r="R2029" s="638">
        <v>2695</v>
      </c>
      <c r="S2029" s="638">
        <v>16170</v>
      </c>
      <c r="T2029" s="638">
        <v>16170</v>
      </c>
      <c r="U2029" s="638">
        <v>904</v>
      </c>
      <c r="V2029" s="636">
        <v>2022</v>
      </c>
      <c r="W2029" s="640"/>
      <c r="X2029" s="641">
        <f t="shared" si="93"/>
        <v>17.88716814159292</v>
      </c>
      <c r="Y2029" s="642" t="str">
        <f t="shared" si="94"/>
        <v/>
      </c>
      <c r="Z2029" s="642" t="str">
        <f t="shared" si="95"/>
        <v/>
      </c>
    </row>
    <row r="2030" spans="1:26" s="127" customFormat="1" ht="25">
      <c r="A2030" s="636">
        <v>63212</v>
      </c>
      <c r="B2030" s="637" t="s">
        <v>33</v>
      </c>
      <c r="C2030" s="636" t="s">
        <v>2725</v>
      </c>
      <c r="D2030" s="637" t="s">
        <v>2908</v>
      </c>
      <c r="E2030" s="637" t="s">
        <v>1926</v>
      </c>
      <c r="F2030" s="636">
        <v>58135</v>
      </c>
      <c r="G2030" s="637" t="s">
        <v>89</v>
      </c>
      <c r="H2030" s="637" t="s">
        <v>1163</v>
      </c>
      <c r="I2030" s="637" t="s">
        <v>58</v>
      </c>
      <c r="J2030" s="636">
        <v>22</v>
      </c>
      <c r="K2030" s="636">
        <v>2</v>
      </c>
      <c r="L2030" s="637" t="s">
        <v>52</v>
      </c>
      <c r="M2030" s="637" t="s">
        <v>441</v>
      </c>
      <c r="N2030" s="637" t="s">
        <v>442</v>
      </c>
      <c r="O2030" s="637" t="s">
        <v>442</v>
      </c>
      <c r="P2030" s="637" t="s">
        <v>1156</v>
      </c>
      <c r="Q2030" s="638">
        <v>0</v>
      </c>
      <c r="R2030" s="638">
        <v>0</v>
      </c>
      <c r="S2030" s="638">
        <v>12381</v>
      </c>
      <c r="T2030" s="638">
        <v>12381</v>
      </c>
      <c r="U2030" s="638">
        <v>3629</v>
      </c>
      <c r="V2030" s="636">
        <v>2022</v>
      </c>
      <c r="W2030" s="640"/>
      <c r="X2030" s="641">
        <f t="shared" si="93"/>
        <v>3.4116836594103059</v>
      </c>
      <c r="Y2030" s="642" t="str">
        <f t="shared" si="94"/>
        <v/>
      </c>
      <c r="Z2030" s="642" t="str">
        <f t="shared" si="95"/>
        <v/>
      </c>
    </row>
    <row r="2031" spans="1:26" s="127" customFormat="1" ht="25">
      <c r="A2031" s="636">
        <v>63214</v>
      </c>
      <c r="B2031" s="637" t="s">
        <v>33</v>
      </c>
      <c r="C2031" s="636" t="s">
        <v>2725</v>
      </c>
      <c r="D2031" s="637" t="s">
        <v>2909</v>
      </c>
      <c r="E2031" s="637" t="s">
        <v>2910</v>
      </c>
      <c r="F2031" s="636">
        <v>62950</v>
      </c>
      <c r="G2031" s="637" t="s">
        <v>81</v>
      </c>
      <c r="H2031" s="637" t="s">
        <v>1163</v>
      </c>
      <c r="I2031" s="637" t="s">
        <v>58</v>
      </c>
      <c r="J2031" s="636">
        <v>22</v>
      </c>
      <c r="K2031" s="636">
        <v>2</v>
      </c>
      <c r="L2031" s="637" t="s">
        <v>52</v>
      </c>
      <c r="M2031" s="637" t="s">
        <v>1852</v>
      </c>
      <c r="N2031" s="637" t="s">
        <v>1035</v>
      </c>
      <c r="O2031" s="637" t="s">
        <v>82</v>
      </c>
      <c r="P2031" s="637" t="s">
        <v>2726</v>
      </c>
      <c r="Q2031" s="638">
        <v>557</v>
      </c>
      <c r="R2031" s="638">
        <v>557</v>
      </c>
      <c r="S2031" s="638">
        <v>0</v>
      </c>
      <c r="T2031" s="638">
        <v>0</v>
      </c>
      <c r="U2031" s="638">
        <v>-85</v>
      </c>
      <c r="V2031" s="636">
        <v>2022</v>
      </c>
      <c r="W2031" s="640"/>
      <c r="X2031" s="641" t="str">
        <f t="shared" si="93"/>
        <v/>
      </c>
      <c r="Y2031" s="642" t="str">
        <f t="shared" si="94"/>
        <v/>
      </c>
      <c r="Z2031" s="642" t="str">
        <f t="shared" si="95"/>
        <v/>
      </c>
    </row>
    <row r="2032" spans="1:26" s="127" customFormat="1" ht="25">
      <c r="A2032" s="636">
        <v>63214</v>
      </c>
      <c r="B2032" s="637" t="s">
        <v>33</v>
      </c>
      <c r="C2032" s="636" t="s">
        <v>2725</v>
      </c>
      <c r="D2032" s="637" t="s">
        <v>2909</v>
      </c>
      <c r="E2032" s="637" t="s">
        <v>2910</v>
      </c>
      <c r="F2032" s="636">
        <v>62950</v>
      </c>
      <c r="G2032" s="637" t="s">
        <v>81</v>
      </c>
      <c r="H2032" s="637" t="s">
        <v>1163</v>
      </c>
      <c r="I2032" s="637" t="s">
        <v>58</v>
      </c>
      <c r="J2032" s="636">
        <v>22</v>
      </c>
      <c r="K2032" s="636">
        <v>2</v>
      </c>
      <c r="L2032" s="637" t="s">
        <v>52</v>
      </c>
      <c r="M2032" s="637" t="s">
        <v>441</v>
      </c>
      <c r="N2032" s="637" t="s">
        <v>442</v>
      </c>
      <c r="O2032" s="637" t="s">
        <v>442</v>
      </c>
      <c r="P2032" s="637" t="s">
        <v>1156</v>
      </c>
      <c r="Q2032" s="638">
        <v>0</v>
      </c>
      <c r="R2032" s="638">
        <v>0</v>
      </c>
      <c r="S2032" s="638">
        <v>27960</v>
      </c>
      <c r="T2032" s="638">
        <v>27960</v>
      </c>
      <c r="U2032" s="638">
        <v>8195</v>
      </c>
      <c r="V2032" s="636">
        <v>2022</v>
      </c>
      <c r="W2032" s="640"/>
      <c r="X2032" s="641">
        <f t="shared" si="93"/>
        <v>3.4118364856619889</v>
      </c>
      <c r="Y2032" s="642" t="str">
        <f t="shared" si="94"/>
        <v/>
      </c>
      <c r="Z2032" s="642" t="str">
        <f t="shared" si="95"/>
        <v/>
      </c>
    </row>
    <row r="2033" spans="1:26" s="127" customFormat="1" ht="25">
      <c r="A2033" s="636">
        <v>63224</v>
      </c>
      <c r="B2033" s="637" t="s">
        <v>33</v>
      </c>
      <c r="C2033" s="636" t="s">
        <v>2725</v>
      </c>
      <c r="D2033" s="637" t="s">
        <v>3096</v>
      </c>
      <c r="E2033" s="637" t="s">
        <v>2849</v>
      </c>
      <c r="F2033" s="636">
        <v>60531</v>
      </c>
      <c r="G2033" s="637" t="s">
        <v>57</v>
      </c>
      <c r="H2033" s="637" t="s">
        <v>1162</v>
      </c>
      <c r="I2033" s="637" t="s">
        <v>58</v>
      </c>
      <c r="J2033" s="636">
        <v>22</v>
      </c>
      <c r="K2033" s="636">
        <v>2</v>
      </c>
      <c r="L2033" s="637" t="s">
        <v>52</v>
      </c>
      <c r="M2033" s="637" t="s">
        <v>441</v>
      </c>
      <c r="N2033" s="637" t="s">
        <v>442</v>
      </c>
      <c r="O2033" s="637" t="s">
        <v>442</v>
      </c>
      <c r="P2033" s="637" t="s">
        <v>1156</v>
      </c>
      <c r="Q2033" s="638">
        <v>0</v>
      </c>
      <c r="R2033" s="638">
        <v>0</v>
      </c>
      <c r="S2033" s="638">
        <v>14439</v>
      </c>
      <c r="T2033" s="638">
        <v>14439</v>
      </c>
      <c r="U2033" s="638">
        <v>4232</v>
      </c>
      <c r="V2033" s="636">
        <v>2022</v>
      </c>
      <c r="W2033" s="640"/>
      <c r="X2033" s="641">
        <f t="shared" si="93"/>
        <v>3.4118620037807181</v>
      </c>
      <c r="Y2033" s="642" t="str">
        <f t="shared" si="94"/>
        <v/>
      </c>
      <c r="Z2033" s="642" t="str">
        <f t="shared" si="95"/>
        <v/>
      </c>
    </row>
    <row r="2034" spans="1:26" s="127" customFormat="1" ht="37.5" hidden="1">
      <c r="A2034" s="636">
        <v>63230</v>
      </c>
      <c r="B2034" s="637" t="s">
        <v>33</v>
      </c>
      <c r="C2034" s="636" t="s">
        <v>2725</v>
      </c>
      <c r="D2034" s="637" t="s">
        <v>2911</v>
      </c>
      <c r="E2034" s="637" t="s">
        <v>2912</v>
      </c>
      <c r="F2034" s="636">
        <v>62994</v>
      </c>
      <c r="G2034" s="637" t="s">
        <v>57</v>
      </c>
      <c r="H2034" s="637" t="s">
        <v>1162</v>
      </c>
      <c r="I2034" s="637" t="s">
        <v>58</v>
      </c>
      <c r="J2034" s="636">
        <v>111</v>
      </c>
      <c r="K2034" s="636">
        <v>6</v>
      </c>
      <c r="L2034" s="637" t="s">
        <v>404</v>
      </c>
      <c r="M2034" s="637" t="s">
        <v>441</v>
      </c>
      <c r="N2034" s="637" t="s">
        <v>442</v>
      </c>
      <c r="O2034" s="637" t="s">
        <v>442</v>
      </c>
      <c r="P2034" s="637" t="s">
        <v>1156</v>
      </c>
      <c r="Q2034" s="638">
        <v>0</v>
      </c>
      <c r="R2034" s="638">
        <v>0</v>
      </c>
      <c r="S2034" s="638">
        <v>24880</v>
      </c>
      <c r="T2034" s="638">
        <v>24880</v>
      </c>
      <c r="U2034" s="638">
        <v>7292</v>
      </c>
      <c r="V2034" s="636">
        <v>2022</v>
      </c>
      <c r="W2034" s="640"/>
      <c r="X2034" s="641" t="str">
        <f t="shared" si="93"/>
        <v/>
      </c>
      <c r="Y2034" s="642" t="str">
        <f t="shared" si="94"/>
        <v/>
      </c>
      <c r="Z2034" s="642" t="str">
        <f t="shared" si="95"/>
        <v/>
      </c>
    </row>
    <row r="2035" spans="1:26" s="127" customFormat="1" ht="37.5" hidden="1">
      <c r="A2035" s="636">
        <v>63232</v>
      </c>
      <c r="B2035" s="637" t="s">
        <v>33</v>
      </c>
      <c r="C2035" s="636" t="s">
        <v>2725</v>
      </c>
      <c r="D2035" s="637" t="s">
        <v>2913</v>
      </c>
      <c r="E2035" s="637" t="s">
        <v>2912</v>
      </c>
      <c r="F2035" s="636">
        <v>62994</v>
      </c>
      <c r="G2035" s="637" t="s">
        <v>81</v>
      </c>
      <c r="H2035" s="637" t="s">
        <v>1163</v>
      </c>
      <c r="I2035" s="637" t="s">
        <v>58</v>
      </c>
      <c r="J2035" s="636">
        <v>335</v>
      </c>
      <c r="K2035" s="636">
        <v>6</v>
      </c>
      <c r="L2035" s="637" t="s">
        <v>404</v>
      </c>
      <c r="M2035" s="637" t="s">
        <v>441</v>
      </c>
      <c r="N2035" s="637" t="s">
        <v>442</v>
      </c>
      <c r="O2035" s="637" t="s">
        <v>442</v>
      </c>
      <c r="P2035" s="637" t="s">
        <v>1156</v>
      </c>
      <c r="Q2035" s="638">
        <v>0</v>
      </c>
      <c r="R2035" s="638">
        <v>0</v>
      </c>
      <c r="S2035" s="638">
        <v>7161</v>
      </c>
      <c r="T2035" s="638">
        <v>7161</v>
      </c>
      <c r="U2035" s="638">
        <v>2099</v>
      </c>
      <c r="V2035" s="636">
        <v>2022</v>
      </c>
      <c r="W2035" s="640"/>
      <c r="X2035" s="641" t="str">
        <f t="shared" si="93"/>
        <v/>
      </c>
      <c r="Y2035" s="642" t="str">
        <f t="shared" si="94"/>
        <v/>
      </c>
      <c r="Z2035" s="642" t="str">
        <f t="shared" si="95"/>
        <v/>
      </c>
    </row>
    <row r="2036" spans="1:26" s="127" customFormat="1" ht="37.5" hidden="1">
      <c r="A2036" s="636">
        <v>63236</v>
      </c>
      <c r="B2036" s="637" t="s">
        <v>54</v>
      </c>
      <c r="C2036" s="636" t="s">
        <v>2725</v>
      </c>
      <c r="D2036" s="637" t="s">
        <v>2914</v>
      </c>
      <c r="E2036" s="637" t="s">
        <v>2915</v>
      </c>
      <c r="F2036" s="636">
        <v>62997</v>
      </c>
      <c r="G2036" s="637" t="s">
        <v>57</v>
      </c>
      <c r="H2036" s="637" t="s">
        <v>1162</v>
      </c>
      <c r="I2036" s="637" t="s">
        <v>58</v>
      </c>
      <c r="J2036" s="636">
        <v>441</v>
      </c>
      <c r="K2036" s="636">
        <v>5</v>
      </c>
      <c r="L2036" s="637" t="s">
        <v>407</v>
      </c>
      <c r="M2036" s="637" t="s">
        <v>51</v>
      </c>
      <c r="N2036" s="637" t="s">
        <v>39</v>
      </c>
      <c r="O2036" s="637" t="s">
        <v>39</v>
      </c>
      <c r="P2036" s="637" t="s">
        <v>1020</v>
      </c>
      <c r="Q2036" s="638">
        <v>159783</v>
      </c>
      <c r="R2036" s="638">
        <v>84831</v>
      </c>
      <c r="S2036" s="638">
        <v>181514</v>
      </c>
      <c r="T2036" s="638">
        <v>96367</v>
      </c>
      <c r="U2036" s="638">
        <v>8473</v>
      </c>
      <c r="V2036" s="636">
        <v>2022</v>
      </c>
      <c r="W2036" s="640"/>
      <c r="X2036" s="641" t="str">
        <f t="shared" si="93"/>
        <v/>
      </c>
      <c r="Y2036" s="642" t="str">
        <f t="shared" si="94"/>
        <v/>
      </c>
      <c r="Z2036" s="642" t="str">
        <f t="shared" si="95"/>
        <v/>
      </c>
    </row>
    <row r="2037" spans="1:26" s="127" customFormat="1" ht="25">
      <c r="A2037" s="636">
        <v>63239</v>
      </c>
      <c r="B2037" s="637" t="s">
        <v>33</v>
      </c>
      <c r="C2037" s="636" t="s">
        <v>2725</v>
      </c>
      <c r="D2037" s="637" t="s">
        <v>2916</v>
      </c>
      <c r="E2037" s="637" t="s">
        <v>1926</v>
      </c>
      <c r="F2037" s="636">
        <v>58135</v>
      </c>
      <c r="G2037" s="637" t="s">
        <v>41</v>
      </c>
      <c r="H2037" s="637" t="s">
        <v>1163</v>
      </c>
      <c r="I2037" s="637" t="s">
        <v>58</v>
      </c>
      <c r="J2037" s="636">
        <v>22</v>
      </c>
      <c r="K2037" s="636">
        <v>2</v>
      </c>
      <c r="L2037" s="637" t="s">
        <v>52</v>
      </c>
      <c r="M2037" s="637" t="s">
        <v>441</v>
      </c>
      <c r="N2037" s="637" t="s">
        <v>442</v>
      </c>
      <c r="O2037" s="637" t="s">
        <v>442</v>
      </c>
      <c r="P2037" s="637" t="s">
        <v>1156</v>
      </c>
      <c r="Q2037" s="638">
        <v>0</v>
      </c>
      <c r="R2037" s="638">
        <v>0</v>
      </c>
      <c r="S2037" s="638">
        <v>5353</v>
      </c>
      <c r="T2037" s="638">
        <v>5353</v>
      </c>
      <c r="U2037" s="638">
        <v>1569</v>
      </c>
      <c r="V2037" s="636">
        <v>2022</v>
      </c>
      <c r="W2037" s="640"/>
      <c r="X2037" s="641">
        <f t="shared" si="93"/>
        <v>3.4117272147864881</v>
      </c>
      <c r="Y2037" s="642" t="str">
        <f t="shared" si="94"/>
        <v/>
      </c>
      <c r="Z2037" s="642" t="str">
        <f t="shared" si="95"/>
        <v/>
      </c>
    </row>
    <row r="2038" spans="1:26" s="127" customFormat="1" ht="25">
      <c r="A2038" s="636">
        <v>63240</v>
      </c>
      <c r="B2038" s="637" t="s">
        <v>33</v>
      </c>
      <c r="C2038" s="636" t="s">
        <v>2725</v>
      </c>
      <c r="D2038" s="637" t="s">
        <v>2917</v>
      </c>
      <c r="E2038" s="637" t="s">
        <v>1926</v>
      </c>
      <c r="F2038" s="636">
        <v>58135</v>
      </c>
      <c r="G2038" s="637" t="s">
        <v>41</v>
      </c>
      <c r="H2038" s="637" t="s">
        <v>1163</v>
      </c>
      <c r="I2038" s="637" t="s">
        <v>58</v>
      </c>
      <c r="J2038" s="636">
        <v>22</v>
      </c>
      <c r="K2038" s="636">
        <v>2</v>
      </c>
      <c r="L2038" s="637" t="s">
        <v>52</v>
      </c>
      <c r="M2038" s="637" t="s">
        <v>441</v>
      </c>
      <c r="N2038" s="637" t="s">
        <v>442</v>
      </c>
      <c r="O2038" s="637" t="s">
        <v>442</v>
      </c>
      <c r="P2038" s="637" t="s">
        <v>1156</v>
      </c>
      <c r="Q2038" s="638">
        <v>0</v>
      </c>
      <c r="R2038" s="638">
        <v>0</v>
      </c>
      <c r="S2038" s="638">
        <v>5353</v>
      </c>
      <c r="T2038" s="638">
        <v>5353</v>
      </c>
      <c r="U2038" s="638">
        <v>1569</v>
      </c>
      <c r="V2038" s="636">
        <v>2022</v>
      </c>
      <c r="W2038" s="640"/>
      <c r="X2038" s="641">
        <f t="shared" si="93"/>
        <v>3.4117272147864881</v>
      </c>
      <c r="Y2038" s="642" t="str">
        <f t="shared" si="94"/>
        <v/>
      </c>
      <c r="Z2038" s="642" t="str">
        <f t="shared" si="95"/>
        <v/>
      </c>
    </row>
    <row r="2039" spans="1:26" s="127" customFormat="1" ht="25">
      <c r="A2039" s="636">
        <v>63244</v>
      </c>
      <c r="B2039" s="637" t="s">
        <v>33</v>
      </c>
      <c r="C2039" s="636" t="s">
        <v>2725</v>
      </c>
      <c r="D2039" s="637" t="s">
        <v>3097</v>
      </c>
      <c r="E2039" s="637" t="s">
        <v>1926</v>
      </c>
      <c r="F2039" s="636">
        <v>58135</v>
      </c>
      <c r="G2039" s="637" t="s">
        <v>41</v>
      </c>
      <c r="H2039" s="637" t="s">
        <v>1163</v>
      </c>
      <c r="I2039" s="637" t="s">
        <v>58</v>
      </c>
      <c r="J2039" s="636">
        <v>22</v>
      </c>
      <c r="K2039" s="636">
        <v>2</v>
      </c>
      <c r="L2039" s="637" t="s">
        <v>52</v>
      </c>
      <c r="M2039" s="637" t="s">
        <v>441</v>
      </c>
      <c r="N2039" s="637" t="s">
        <v>442</v>
      </c>
      <c r="O2039" s="637" t="s">
        <v>442</v>
      </c>
      <c r="P2039" s="637" t="s">
        <v>1156</v>
      </c>
      <c r="Q2039" s="638">
        <v>0</v>
      </c>
      <c r="R2039" s="638">
        <v>0</v>
      </c>
      <c r="S2039" s="638">
        <v>9860</v>
      </c>
      <c r="T2039" s="638">
        <v>9860</v>
      </c>
      <c r="U2039" s="638">
        <v>2890</v>
      </c>
      <c r="V2039" s="636">
        <v>2022</v>
      </c>
      <c r="W2039" s="640"/>
      <c r="X2039" s="641">
        <f t="shared" si="93"/>
        <v>3.4117647058823528</v>
      </c>
      <c r="Y2039" s="642" t="str">
        <f t="shared" si="94"/>
        <v/>
      </c>
      <c r="Z2039" s="642" t="str">
        <f t="shared" si="95"/>
        <v/>
      </c>
    </row>
    <row r="2040" spans="1:26" s="127" customFormat="1" ht="25">
      <c r="A2040" s="636">
        <v>63245</v>
      </c>
      <c r="B2040" s="637" t="s">
        <v>33</v>
      </c>
      <c r="C2040" s="636" t="s">
        <v>2725</v>
      </c>
      <c r="D2040" s="637" t="s">
        <v>3098</v>
      </c>
      <c r="E2040" s="637" t="s">
        <v>1926</v>
      </c>
      <c r="F2040" s="636">
        <v>58135</v>
      </c>
      <c r="G2040" s="637" t="s">
        <v>41</v>
      </c>
      <c r="H2040" s="637" t="s">
        <v>1163</v>
      </c>
      <c r="I2040" s="637" t="s">
        <v>58</v>
      </c>
      <c r="J2040" s="636">
        <v>22</v>
      </c>
      <c r="K2040" s="636">
        <v>2</v>
      </c>
      <c r="L2040" s="637" t="s">
        <v>52</v>
      </c>
      <c r="M2040" s="637" t="s">
        <v>441</v>
      </c>
      <c r="N2040" s="637" t="s">
        <v>442</v>
      </c>
      <c r="O2040" s="637" t="s">
        <v>442</v>
      </c>
      <c r="P2040" s="637" t="s">
        <v>1156</v>
      </c>
      <c r="Q2040" s="638">
        <v>0</v>
      </c>
      <c r="R2040" s="638">
        <v>0</v>
      </c>
      <c r="S2040" s="638">
        <v>9864</v>
      </c>
      <c r="T2040" s="638">
        <v>9864</v>
      </c>
      <c r="U2040" s="638">
        <v>2891</v>
      </c>
      <c r="V2040" s="636">
        <v>2022</v>
      </c>
      <c r="W2040" s="640"/>
      <c r="X2040" s="641">
        <f t="shared" si="93"/>
        <v>3.411968177101349</v>
      </c>
      <c r="Y2040" s="642" t="str">
        <f t="shared" si="94"/>
        <v/>
      </c>
      <c r="Z2040" s="642" t="str">
        <f t="shared" si="95"/>
        <v/>
      </c>
    </row>
    <row r="2041" spans="1:26" s="127" customFormat="1" ht="25">
      <c r="A2041" s="636">
        <v>63262</v>
      </c>
      <c r="B2041" s="637" t="s">
        <v>33</v>
      </c>
      <c r="C2041" s="636" t="s">
        <v>2725</v>
      </c>
      <c r="D2041" s="637" t="s">
        <v>2918</v>
      </c>
      <c r="E2041" s="637" t="s">
        <v>2919</v>
      </c>
      <c r="F2041" s="636">
        <v>63058</v>
      </c>
      <c r="G2041" s="637" t="s">
        <v>41</v>
      </c>
      <c r="H2041" s="637" t="s">
        <v>1163</v>
      </c>
      <c r="I2041" s="637" t="s">
        <v>58</v>
      </c>
      <c r="J2041" s="636">
        <v>22</v>
      </c>
      <c r="K2041" s="636">
        <v>2</v>
      </c>
      <c r="L2041" s="637" t="s">
        <v>52</v>
      </c>
      <c r="M2041" s="637" t="s">
        <v>441</v>
      </c>
      <c r="N2041" s="637" t="s">
        <v>442</v>
      </c>
      <c r="O2041" s="637" t="s">
        <v>442</v>
      </c>
      <c r="P2041" s="637" t="s">
        <v>1156</v>
      </c>
      <c r="Q2041" s="638">
        <v>0</v>
      </c>
      <c r="R2041" s="638">
        <v>0</v>
      </c>
      <c r="S2041" s="638">
        <v>11919</v>
      </c>
      <c r="T2041" s="638">
        <v>11919</v>
      </c>
      <c r="U2041" s="638">
        <v>3493</v>
      </c>
      <c r="V2041" s="636">
        <v>2022</v>
      </c>
      <c r="W2041" s="640"/>
      <c r="X2041" s="641">
        <f t="shared" si="93"/>
        <v>3.4122530775837387</v>
      </c>
      <c r="Y2041" s="642" t="str">
        <f t="shared" si="94"/>
        <v/>
      </c>
      <c r="Z2041" s="642" t="str">
        <f t="shared" si="95"/>
        <v/>
      </c>
    </row>
    <row r="2042" spans="1:26" s="127" customFormat="1" ht="25">
      <c r="A2042" s="636">
        <v>63263</v>
      </c>
      <c r="B2042" s="637" t="s">
        <v>33</v>
      </c>
      <c r="C2042" s="636" t="s">
        <v>2725</v>
      </c>
      <c r="D2042" s="637" t="s">
        <v>3099</v>
      </c>
      <c r="E2042" s="637" t="s">
        <v>1926</v>
      </c>
      <c r="F2042" s="636">
        <v>58135</v>
      </c>
      <c r="G2042" s="637" t="s">
        <v>41</v>
      </c>
      <c r="H2042" s="637" t="s">
        <v>1163</v>
      </c>
      <c r="I2042" s="637" t="s">
        <v>58</v>
      </c>
      <c r="J2042" s="636">
        <v>22</v>
      </c>
      <c r="K2042" s="636">
        <v>2</v>
      </c>
      <c r="L2042" s="637" t="s">
        <v>52</v>
      </c>
      <c r="M2042" s="637" t="s">
        <v>441</v>
      </c>
      <c r="N2042" s="637" t="s">
        <v>442</v>
      </c>
      <c r="O2042" s="637" t="s">
        <v>442</v>
      </c>
      <c r="P2042" s="637" t="s">
        <v>1156</v>
      </c>
      <c r="Q2042" s="638">
        <v>0</v>
      </c>
      <c r="R2042" s="638">
        <v>0</v>
      </c>
      <c r="S2042" s="638">
        <v>5188</v>
      </c>
      <c r="T2042" s="638">
        <v>5188</v>
      </c>
      <c r="U2042" s="638">
        <v>1521</v>
      </c>
      <c r="V2042" s="636">
        <v>2022</v>
      </c>
      <c r="W2042" s="640"/>
      <c r="X2042" s="641">
        <f t="shared" si="93"/>
        <v>3.4109138724523338</v>
      </c>
      <c r="Y2042" s="642" t="str">
        <f t="shared" si="94"/>
        <v/>
      </c>
      <c r="Z2042" s="642" t="str">
        <f t="shared" si="95"/>
        <v/>
      </c>
    </row>
    <row r="2043" spans="1:26" s="127" customFormat="1" ht="25">
      <c r="A2043" s="636">
        <v>63264</v>
      </c>
      <c r="B2043" s="637" t="s">
        <v>33</v>
      </c>
      <c r="C2043" s="636" t="s">
        <v>2725</v>
      </c>
      <c r="D2043" s="637" t="s">
        <v>3100</v>
      </c>
      <c r="E2043" s="637" t="s">
        <v>2166</v>
      </c>
      <c r="F2043" s="636">
        <v>61012</v>
      </c>
      <c r="G2043" s="637" t="s">
        <v>81</v>
      </c>
      <c r="H2043" s="637" t="s">
        <v>1163</v>
      </c>
      <c r="I2043" s="637" t="s">
        <v>58</v>
      </c>
      <c r="J2043" s="636">
        <v>22</v>
      </c>
      <c r="K2043" s="636">
        <v>2</v>
      </c>
      <c r="L2043" s="637" t="s">
        <v>52</v>
      </c>
      <c r="M2043" s="637" t="s">
        <v>1852</v>
      </c>
      <c r="N2043" s="637" t="s">
        <v>1035</v>
      </c>
      <c r="O2043" s="637" t="s">
        <v>82</v>
      </c>
      <c r="P2043" s="637" t="s">
        <v>2726</v>
      </c>
      <c r="Q2043" s="638">
        <v>364</v>
      </c>
      <c r="R2043" s="638">
        <v>364</v>
      </c>
      <c r="S2043" s="638">
        <v>0</v>
      </c>
      <c r="T2043" s="638">
        <v>0</v>
      </c>
      <c r="U2043" s="638">
        <v>-64</v>
      </c>
      <c r="V2043" s="636">
        <v>2022</v>
      </c>
      <c r="W2043" s="640"/>
      <c r="X2043" s="641" t="str">
        <f t="shared" si="93"/>
        <v/>
      </c>
      <c r="Y2043" s="642" t="str">
        <f t="shared" si="94"/>
        <v/>
      </c>
      <c r="Z2043" s="642" t="str">
        <f t="shared" si="95"/>
        <v/>
      </c>
    </row>
    <row r="2044" spans="1:26" s="127" customFormat="1" ht="25">
      <c r="A2044" s="636">
        <v>63264</v>
      </c>
      <c r="B2044" s="637" t="s">
        <v>33</v>
      </c>
      <c r="C2044" s="636" t="s">
        <v>2725</v>
      </c>
      <c r="D2044" s="637" t="s">
        <v>3100</v>
      </c>
      <c r="E2044" s="637" t="s">
        <v>2166</v>
      </c>
      <c r="F2044" s="636">
        <v>61012</v>
      </c>
      <c r="G2044" s="637" t="s">
        <v>81</v>
      </c>
      <c r="H2044" s="637" t="s">
        <v>1163</v>
      </c>
      <c r="I2044" s="637" t="s">
        <v>58</v>
      </c>
      <c r="J2044" s="636">
        <v>22</v>
      </c>
      <c r="K2044" s="636">
        <v>2</v>
      </c>
      <c r="L2044" s="637" t="s">
        <v>52</v>
      </c>
      <c r="M2044" s="637" t="s">
        <v>441</v>
      </c>
      <c r="N2044" s="637" t="s">
        <v>442</v>
      </c>
      <c r="O2044" s="637" t="s">
        <v>442</v>
      </c>
      <c r="P2044" s="637" t="s">
        <v>1156</v>
      </c>
      <c r="Q2044" s="638">
        <v>0</v>
      </c>
      <c r="R2044" s="638">
        <v>0</v>
      </c>
      <c r="S2044" s="638">
        <v>11361</v>
      </c>
      <c r="T2044" s="638">
        <v>11361</v>
      </c>
      <c r="U2044" s="638">
        <v>3330</v>
      </c>
      <c r="V2044" s="636">
        <v>2022</v>
      </c>
      <c r="W2044" s="640"/>
      <c r="X2044" s="641">
        <f t="shared" si="93"/>
        <v>3.4117117117117117</v>
      </c>
      <c r="Y2044" s="642" t="str">
        <f t="shared" si="94"/>
        <v/>
      </c>
      <c r="Z2044" s="642" t="str">
        <f t="shared" si="95"/>
        <v/>
      </c>
    </row>
    <row r="2045" spans="1:26" s="127" customFormat="1" ht="25">
      <c r="A2045" s="636">
        <v>63279</v>
      </c>
      <c r="B2045" s="637" t="s">
        <v>33</v>
      </c>
      <c r="C2045" s="636" t="s">
        <v>2725</v>
      </c>
      <c r="D2045" s="637" t="s">
        <v>2920</v>
      </c>
      <c r="E2045" s="637" t="s">
        <v>1626</v>
      </c>
      <c r="F2045" s="636">
        <v>58871</v>
      </c>
      <c r="G2045" s="637" t="s">
        <v>57</v>
      </c>
      <c r="H2045" s="637" t="s">
        <v>1162</v>
      </c>
      <c r="I2045" s="637" t="s">
        <v>58</v>
      </c>
      <c r="J2045" s="636">
        <v>22</v>
      </c>
      <c r="K2045" s="636">
        <v>2</v>
      </c>
      <c r="L2045" s="637" t="s">
        <v>52</v>
      </c>
      <c r="M2045" s="637" t="s">
        <v>441</v>
      </c>
      <c r="N2045" s="637" t="s">
        <v>442</v>
      </c>
      <c r="O2045" s="637" t="s">
        <v>442</v>
      </c>
      <c r="P2045" s="637" t="s">
        <v>1156</v>
      </c>
      <c r="Q2045" s="638">
        <v>0</v>
      </c>
      <c r="R2045" s="638">
        <v>0</v>
      </c>
      <c r="S2045" s="638">
        <v>5019</v>
      </c>
      <c r="T2045" s="638">
        <v>5019</v>
      </c>
      <c r="U2045" s="638">
        <v>1471</v>
      </c>
      <c r="V2045" s="636">
        <v>2022</v>
      </c>
      <c r="W2045" s="640"/>
      <c r="X2045" s="641">
        <f t="shared" si="93"/>
        <v>3.4119646498980285</v>
      </c>
      <c r="Y2045" s="642" t="str">
        <f t="shared" si="94"/>
        <v/>
      </c>
      <c r="Z2045" s="642" t="str">
        <f t="shared" si="95"/>
        <v/>
      </c>
    </row>
    <row r="2046" spans="1:26" s="127" customFormat="1" ht="37.5" hidden="1">
      <c r="A2046" s="636">
        <v>63290</v>
      </c>
      <c r="B2046" s="637" t="s">
        <v>33</v>
      </c>
      <c r="C2046" s="636" t="s">
        <v>2725</v>
      </c>
      <c r="D2046" s="637" t="s">
        <v>2921</v>
      </c>
      <c r="E2046" s="637" t="s">
        <v>2921</v>
      </c>
      <c r="F2046" s="636">
        <v>63061</v>
      </c>
      <c r="G2046" s="637" t="s">
        <v>81</v>
      </c>
      <c r="H2046" s="637" t="s">
        <v>1163</v>
      </c>
      <c r="I2046" s="637" t="s">
        <v>58</v>
      </c>
      <c r="J2046" s="636">
        <v>441</v>
      </c>
      <c r="K2046" s="636">
        <v>4</v>
      </c>
      <c r="L2046" s="637" t="s">
        <v>406</v>
      </c>
      <c r="M2046" s="637" t="s">
        <v>441</v>
      </c>
      <c r="N2046" s="637" t="s">
        <v>442</v>
      </c>
      <c r="O2046" s="637" t="s">
        <v>442</v>
      </c>
      <c r="P2046" s="637" t="s">
        <v>1156</v>
      </c>
      <c r="Q2046" s="638">
        <v>0</v>
      </c>
      <c r="R2046" s="638">
        <v>0</v>
      </c>
      <c r="S2046" s="638">
        <v>8005</v>
      </c>
      <c r="T2046" s="638">
        <v>8005</v>
      </c>
      <c r="U2046" s="638">
        <v>2346</v>
      </c>
      <c r="V2046" s="636">
        <v>2022</v>
      </c>
      <c r="W2046" s="640"/>
      <c r="X2046" s="641" t="str">
        <f t="shared" si="93"/>
        <v/>
      </c>
      <c r="Y2046" s="642" t="str">
        <f t="shared" si="94"/>
        <v/>
      </c>
      <c r="Z2046" s="642" t="str">
        <f t="shared" si="95"/>
        <v/>
      </c>
    </row>
    <row r="2047" spans="1:26" s="127" customFormat="1" ht="37.5" hidden="1">
      <c r="A2047" s="636">
        <v>63291</v>
      </c>
      <c r="B2047" s="637" t="s">
        <v>33</v>
      </c>
      <c r="C2047" s="636" t="s">
        <v>2725</v>
      </c>
      <c r="D2047" s="637" t="s">
        <v>2922</v>
      </c>
      <c r="E2047" s="637" t="s">
        <v>2923</v>
      </c>
      <c r="F2047" s="636">
        <v>63059</v>
      </c>
      <c r="G2047" s="637" t="s">
        <v>57</v>
      </c>
      <c r="H2047" s="637" t="s">
        <v>1162</v>
      </c>
      <c r="I2047" s="637" t="s">
        <v>58</v>
      </c>
      <c r="J2047" s="636">
        <v>441</v>
      </c>
      <c r="K2047" s="636">
        <v>4</v>
      </c>
      <c r="L2047" s="637" t="s">
        <v>406</v>
      </c>
      <c r="M2047" s="637" t="s">
        <v>441</v>
      </c>
      <c r="N2047" s="637" t="s">
        <v>442</v>
      </c>
      <c r="O2047" s="637" t="s">
        <v>442</v>
      </c>
      <c r="P2047" s="637" t="s">
        <v>1156</v>
      </c>
      <c r="Q2047" s="638">
        <v>0</v>
      </c>
      <c r="R2047" s="638">
        <v>0</v>
      </c>
      <c r="S2047" s="638">
        <v>2169</v>
      </c>
      <c r="T2047" s="638">
        <v>2169</v>
      </c>
      <c r="U2047" s="638">
        <v>635</v>
      </c>
      <c r="V2047" s="636">
        <v>2022</v>
      </c>
      <c r="W2047" s="640"/>
      <c r="X2047" s="641" t="str">
        <f t="shared" si="93"/>
        <v/>
      </c>
      <c r="Y2047" s="642" t="str">
        <f t="shared" si="94"/>
        <v/>
      </c>
      <c r="Z2047" s="642" t="str">
        <f t="shared" si="95"/>
        <v/>
      </c>
    </row>
    <row r="2048" spans="1:26" s="127" customFormat="1" ht="37.5" hidden="1">
      <c r="A2048" s="636">
        <v>63292</v>
      </c>
      <c r="B2048" s="637" t="s">
        <v>33</v>
      </c>
      <c r="C2048" s="636" t="s">
        <v>2725</v>
      </c>
      <c r="D2048" s="637" t="s">
        <v>2924</v>
      </c>
      <c r="E2048" s="637" t="s">
        <v>2923</v>
      </c>
      <c r="F2048" s="636">
        <v>63059</v>
      </c>
      <c r="G2048" s="637" t="s">
        <v>57</v>
      </c>
      <c r="H2048" s="637" t="s">
        <v>1162</v>
      </c>
      <c r="I2048" s="637" t="s">
        <v>58</v>
      </c>
      <c r="J2048" s="636">
        <v>441</v>
      </c>
      <c r="K2048" s="636">
        <v>4</v>
      </c>
      <c r="L2048" s="637" t="s">
        <v>406</v>
      </c>
      <c r="M2048" s="637" t="s">
        <v>441</v>
      </c>
      <c r="N2048" s="637" t="s">
        <v>442</v>
      </c>
      <c r="O2048" s="637" t="s">
        <v>442</v>
      </c>
      <c r="P2048" s="637" t="s">
        <v>1156</v>
      </c>
      <c r="Q2048" s="638">
        <v>0</v>
      </c>
      <c r="R2048" s="638">
        <v>0</v>
      </c>
      <c r="S2048" s="638">
        <v>7517</v>
      </c>
      <c r="T2048" s="638">
        <v>7517</v>
      </c>
      <c r="U2048" s="638">
        <v>2203</v>
      </c>
      <c r="V2048" s="636">
        <v>2022</v>
      </c>
      <c r="W2048" s="640"/>
      <c r="X2048" s="641" t="str">
        <f t="shared" si="93"/>
        <v/>
      </c>
      <c r="Y2048" s="642" t="str">
        <f t="shared" si="94"/>
        <v/>
      </c>
      <c r="Z2048" s="642" t="str">
        <f t="shared" si="95"/>
        <v/>
      </c>
    </row>
    <row r="2049" spans="1:26" s="127" customFormat="1" ht="37.5" hidden="1">
      <c r="A2049" s="636">
        <v>63297</v>
      </c>
      <c r="B2049" s="637" t="s">
        <v>33</v>
      </c>
      <c r="C2049" s="636" t="s">
        <v>2725</v>
      </c>
      <c r="D2049" s="637" t="s">
        <v>2925</v>
      </c>
      <c r="E2049" s="637" t="s">
        <v>2912</v>
      </c>
      <c r="F2049" s="636">
        <v>62994</v>
      </c>
      <c r="G2049" s="637" t="s">
        <v>57</v>
      </c>
      <c r="H2049" s="637" t="s">
        <v>1162</v>
      </c>
      <c r="I2049" s="637" t="s">
        <v>58</v>
      </c>
      <c r="J2049" s="636">
        <v>611</v>
      </c>
      <c r="K2049" s="636">
        <v>4</v>
      </c>
      <c r="L2049" s="637" t="s">
        <v>406</v>
      </c>
      <c r="M2049" s="637" t="s">
        <v>441</v>
      </c>
      <c r="N2049" s="637" t="s">
        <v>442</v>
      </c>
      <c r="O2049" s="637" t="s">
        <v>442</v>
      </c>
      <c r="P2049" s="637" t="s">
        <v>1156</v>
      </c>
      <c r="Q2049" s="638">
        <v>0</v>
      </c>
      <c r="R2049" s="638">
        <v>0</v>
      </c>
      <c r="S2049" s="638">
        <v>10126</v>
      </c>
      <c r="T2049" s="638">
        <v>10126</v>
      </c>
      <c r="U2049" s="638">
        <v>2968</v>
      </c>
      <c r="V2049" s="636">
        <v>2022</v>
      </c>
      <c r="W2049" s="640"/>
      <c r="X2049" s="641" t="str">
        <f t="shared" si="93"/>
        <v/>
      </c>
      <c r="Y2049" s="642" t="str">
        <f t="shared" si="94"/>
        <v/>
      </c>
      <c r="Z2049" s="642" t="str">
        <f t="shared" si="95"/>
        <v/>
      </c>
    </row>
    <row r="2050" spans="1:26" s="127" customFormat="1" ht="25">
      <c r="A2050" s="636">
        <v>63302</v>
      </c>
      <c r="B2050" s="637" t="s">
        <v>33</v>
      </c>
      <c r="C2050" s="636" t="s">
        <v>2725</v>
      </c>
      <c r="D2050" s="637" t="s">
        <v>3101</v>
      </c>
      <c r="E2050" s="637" t="s">
        <v>3102</v>
      </c>
      <c r="F2050" s="636">
        <v>62971</v>
      </c>
      <c r="G2050" s="637" t="s">
        <v>41</v>
      </c>
      <c r="H2050" s="637" t="s">
        <v>1163</v>
      </c>
      <c r="I2050" s="637" t="s">
        <v>1135</v>
      </c>
      <c r="J2050" s="636">
        <v>22</v>
      </c>
      <c r="K2050" s="636">
        <v>2</v>
      </c>
      <c r="L2050" s="637" t="s">
        <v>52</v>
      </c>
      <c r="M2050" s="637" t="s">
        <v>1232</v>
      </c>
      <c r="N2050" s="637" t="s">
        <v>39</v>
      </c>
      <c r="O2050" s="637" t="s">
        <v>39</v>
      </c>
      <c r="P2050" s="637" t="s">
        <v>1020</v>
      </c>
      <c r="Q2050" s="638">
        <v>365848</v>
      </c>
      <c r="R2050" s="638">
        <v>365848</v>
      </c>
      <c r="S2050" s="638">
        <v>375728</v>
      </c>
      <c r="T2050" s="638">
        <v>375728</v>
      </c>
      <c r="U2050" s="638">
        <v>40433</v>
      </c>
      <c r="V2050" s="636">
        <v>2022</v>
      </c>
      <c r="W2050" s="640"/>
      <c r="X2050" s="641">
        <f t="shared" si="93"/>
        <v>9.292607523557491</v>
      </c>
      <c r="Y2050" s="642" t="str">
        <f t="shared" si="94"/>
        <v/>
      </c>
      <c r="Z2050" s="642" t="str">
        <f t="shared" si="95"/>
        <v/>
      </c>
    </row>
    <row r="2051" spans="1:26" s="127" customFormat="1" ht="25">
      <c r="A2051" s="636">
        <v>63336</v>
      </c>
      <c r="B2051" s="637" t="s">
        <v>33</v>
      </c>
      <c r="C2051" s="636" t="s">
        <v>2725</v>
      </c>
      <c r="D2051" s="637" t="s">
        <v>3103</v>
      </c>
      <c r="E2051" s="637" t="s">
        <v>3104</v>
      </c>
      <c r="F2051" s="636">
        <v>63106</v>
      </c>
      <c r="G2051" s="637" t="s">
        <v>81</v>
      </c>
      <c r="H2051" s="637" t="s">
        <v>1163</v>
      </c>
      <c r="I2051" s="637" t="s">
        <v>58</v>
      </c>
      <c r="J2051" s="636">
        <v>22</v>
      </c>
      <c r="K2051" s="636">
        <v>2</v>
      </c>
      <c r="L2051" s="637" t="s">
        <v>52</v>
      </c>
      <c r="M2051" s="637" t="s">
        <v>441</v>
      </c>
      <c r="N2051" s="637" t="s">
        <v>442</v>
      </c>
      <c r="O2051" s="637" t="s">
        <v>442</v>
      </c>
      <c r="P2051" s="637" t="s">
        <v>1156</v>
      </c>
      <c r="Q2051" s="638">
        <v>0</v>
      </c>
      <c r="R2051" s="638">
        <v>0</v>
      </c>
      <c r="S2051" s="638">
        <v>14636</v>
      </c>
      <c r="T2051" s="638">
        <v>14636</v>
      </c>
      <c r="U2051" s="638">
        <v>4290</v>
      </c>
      <c r="V2051" s="636">
        <v>2022</v>
      </c>
      <c r="W2051" s="640"/>
      <c r="X2051" s="641">
        <f t="shared" si="93"/>
        <v>3.4116550116550117</v>
      </c>
      <c r="Y2051" s="642" t="str">
        <f t="shared" si="94"/>
        <v/>
      </c>
      <c r="Z2051" s="642" t="str">
        <f t="shared" si="95"/>
        <v/>
      </c>
    </row>
    <row r="2052" spans="1:26" s="127" customFormat="1" ht="25">
      <c r="A2052" s="636">
        <v>63337</v>
      </c>
      <c r="B2052" s="637" t="s">
        <v>33</v>
      </c>
      <c r="C2052" s="636" t="s">
        <v>2725</v>
      </c>
      <c r="D2052" s="637" t="s">
        <v>3105</v>
      </c>
      <c r="E2052" s="637" t="s">
        <v>3105</v>
      </c>
      <c r="F2052" s="636">
        <v>63107</v>
      </c>
      <c r="G2052" s="637" t="s">
        <v>57</v>
      </c>
      <c r="H2052" s="637" t="s">
        <v>1162</v>
      </c>
      <c r="I2052" s="637" t="s">
        <v>58</v>
      </c>
      <c r="J2052" s="636">
        <v>22</v>
      </c>
      <c r="K2052" s="636">
        <v>2</v>
      </c>
      <c r="L2052" s="637" t="s">
        <v>52</v>
      </c>
      <c r="M2052" s="637" t="s">
        <v>1852</v>
      </c>
      <c r="N2052" s="637" t="s">
        <v>1035</v>
      </c>
      <c r="O2052" s="637" t="s">
        <v>82</v>
      </c>
      <c r="P2052" s="637" t="s">
        <v>2726</v>
      </c>
      <c r="Q2052" s="638">
        <v>0</v>
      </c>
      <c r="R2052" s="638">
        <v>0</v>
      </c>
      <c r="S2052" s="638">
        <v>0</v>
      </c>
      <c r="T2052" s="638">
        <v>0</v>
      </c>
      <c r="U2052" s="638">
        <v>0</v>
      </c>
      <c r="V2052" s="636">
        <v>2022</v>
      </c>
      <c r="W2052" s="640"/>
      <c r="X2052" s="641" t="str">
        <f t="shared" si="93"/>
        <v/>
      </c>
      <c r="Y2052" s="642" t="str">
        <f t="shared" si="94"/>
        <v/>
      </c>
      <c r="Z2052" s="642" t="str">
        <f t="shared" si="95"/>
        <v/>
      </c>
    </row>
    <row r="2053" spans="1:26" s="127" customFormat="1" ht="25">
      <c r="A2053" s="636">
        <v>63337</v>
      </c>
      <c r="B2053" s="637" t="s">
        <v>33</v>
      </c>
      <c r="C2053" s="636" t="s">
        <v>2725</v>
      </c>
      <c r="D2053" s="637" t="s">
        <v>3105</v>
      </c>
      <c r="E2053" s="637" t="s">
        <v>3105</v>
      </c>
      <c r="F2053" s="636">
        <v>63107</v>
      </c>
      <c r="G2053" s="637" t="s">
        <v>57</v>
      </c>
      <c r="H2053" s="637" t="s">
        <v>1162</v>
      </c>
      <c r="I2053" s="637" t="s">
        <v>58</v>
      </c>
      <c r="J2053" s="636">
        <v>22</v>
      </c>
      <c r="K2053" s="636">
        <v>2</v>
      </c>
      <c r="L2053" s="637" t="s">
        <v>52</v>
      </c>
      <c r="M2053" s="637" t="s">
        <v>441</v>
      </c>
      <c r="N2053" s="637" t="s">
        <v>442</v>
      </c>
      <c r="O2053" s="637" t="s">
        <v>442</v>
      </c>
      <c r="P2053" s="637" t="s">
        <v>1156</v>
      </c>
      <c r="Q2053" s="638">
        <v>0</v>
      </c>
      <c r="R2053" s="638">
        <v>0</v>
      </c>
      <c r="S2053" s="638">
        <v>15789</v>
      </c>
      <c r="T2053" s="638">
        <v>15789</v>
      </c>
      <c r="U2053" s="638">
        <v>4628</v>
      </c>
      <c r="V2053" s="636">
        <v>2022</v>
      </c>
      <c r="W2053" s="640"/>
      <c r="X2053" s="641">
        <f t="shared" si="93"/>
        <v>3.4116248919619707</v>
      </c>
      <c r="Y2053" s="642" t="str">
        <f t="shared" si="94"/>
        <v/>
      </c>
      <c r="Z2053" s="642" t="str">
        <f t="shared" si="95"/>
        <v/>
      </c>
    </row>
    <row r="2054" spans="1:26" s="127" customFormat="1" ht="25">
      <c r="A2054" s="636">
        <v>63338</v>
      </c>
      <c r="B2054" s="637" t="s">
        <v>33</v>
      </c>
      <c r="C2054" s="636" t="s">
        <v>2725</v>
      </c>
      <c r="D2054" s="637" t="s">
        <v>3324</v>
      </c>
      <c r="E2054" s="637" t="s">
        <v>3325</v>
      </c>
      <c r="F2054" s="636">
        <v>63108</v>
      </c>
      <c r="G2054" s="637" t="s">
        <v>81</v>
      </c>
      <c r="H2054" s="637" t="s">
        <v>1163</v>
      </c>
      <c r="I2054" s="637" t="s">
        <v>58</v>
      </c>
      <c r="J2054" s="636">
        <v>22</v>
      </c>
      <c r="K2054" s="636">
        <v>2</v>
      </c>
      <c r="L2054" s="637" t="s">
        <v>52</v>
      </c>
      <c r="M2054" s="637" t="s">
        <v>1852</v>
      </c>
      <c r="N2054" s="637" t="s">
        <v>1035</v>
      </c>
      <c r="O2054" s="637" t="s">
        <v>82</v>
      </c>
      <c r="P2054" s="637" t="s">
        <v>2726</v>
      </c>
      <c r="Q2054" s="638">
        <v>0</v>
      </c>
      <c r="R2054" s="638">
        <v>0</v>
      </c>
      <c r="S2054" s="638">
        <v>0</v>
      </c>
      <c r="T2054" s="638">
        <v>0</v>
      </c>
      <c r="U2054" s="638">
        <v>0</v>
      </c>
      <c r="V2054" s="636">
        <v>2022</v>
      </c>
      <c r="W2054" s="640"/>
      <c r="X2054" s="641" t="str">
        <f t="shared" si="93"/>
        <v/>
      </c>
      <c r="Y2054" s="642" t="str">
        <f t="shared" si="94"/>
        <v/>
      </c>
      <c r="Z2054" s="642" t="str">
        <f t="shared" si="95"/>
        <v/>
      </c>
    </row>
    <row r="2055" spans="1:26" s="127" customFormat="1" ht="25">
      <c r="A2055" s="636">
        <v>63338</v>
      </c>
      <c r="B2055" s="637" t="s">
        <v>33</v>
      </c>
      <c r="C2055" s="636" t="s">
        <v>2725</v>
      </c>
      <c r="D2055" s="637" t="s">
        <v>3324</v>
      </c>
      <c r="E2055" s="637" t="s">
        <v>3325</v>
      </c>
      <c r="F2055" s="636">
        <v>63108</v>
      </c>
      <c r="G2055" s="637" t="s">
        <v>81</v>
      </c>
      <c r="H2055" s="637" t="s">
        <v>1163</v>
      </c>
      <c r="I2055" s="637" t="s">
        <v>58</v>
      </c>
      <c r="J2055" s="636">
        <v>22</v>
      </c>
      <c r="K2055" s="636">
        <v>2</v>
      </c>
      <c r="L2055" s="637" t="s">
        <v>52</v>
      </c>
      <c r="M2055" s="637" t="s">
        <v>441</v>
      </c>
      <c r="N2055" s="637" t="s">
        <v>442</v>
      </c>
      <c r="O2055" s="637" t="s">
        <v>442</v>
      </c>
      <c r="P2055" s="637" t="s">
        <v>1156</v>
      </c>
      <c r="Q2055" s="638">
        <v>0</v>
      </c>
      <c r="R2055" s="638">
        <v>0</v>
      </c>
      <c r="S2055" s="638">
        <v>19034</v>
      </c>
      <c r="T2055" s="638">
        <v>19034</v>
      </c>
      <c r="U2055" s="638">
        <v>5579</v>
      </c>
      <c r="V2055" s="636">
        <v>2022</v>
      </c>
      <c r="W2055" s="640"/>
      <c r="X2055" s="641">
        <f t="shared" si="93"/>
        <v>3.4117225309195196</v>
      </c>
      <c r="Y2055" s="642" t="str">
        <f t="shared" si="94"/>
        <v/>
      </c>
      <c r="Z2055" s="642" t="str">
        <f t="shared" si="95"/>
        <v/>
      </c>
    </row>
    <row r="2056" spans="1:26" s="127" customFormat="1" ht="25">
      <c r="A2056" s="636">
        <v>63339</v>
      </c>
      <c r="B2056" s="637" t="s">
        <v>33</v>
      </c>
      <c r="C2056" s="636" t="s">
        <v>2725</v>
      </c>
      <c r="D2056" s="637" t="s">
        <v>3106</v>
      </c>
      <c r="E2056" s="637" t="s">
        <v>3106</v>
      </c>
      <c r="F2056" s="636">
        <v>63109</v>
      </c>
      <c r="G2056" s="637" t="s">
        <v>57</v>
      </c>
      <c r="H2056" s="637" t="s">
        <v>1162</v>
      </c>
      <c r="I2056" s="637" t="s">
        <v>58</v>
      </c>
      <c r="J2056" s="636">
        <v>22</v>
      </c>
      <c r="K2056" s="636">
        <v>2</v>
      </c>
      <c r="L2056" s="637" t="s">
        <v>52</v>
      </c>
      <c r="M2056" s="637" t="s">
        <v>441</v>
      </c>
      <c r="N2056" s="637" t="s">
        <v>442</v>
      </c>
      <c r="O2056" s="637" t="s">
        <v>442</v>
      </c>
      <c r="P2056" s="637" t="s">
        <v>1156</v>
      </c>
      <c r="Q2056" s="638">
        <v>0</v>
      </c>
      <c r="R2056" s="638">
        <v>0</v>
      </c>
      <c r="S2056" s="638">
        <v>17531</v>
      </c>
      <c r="T2056" s="638">
        <v>17531</v>
      </c>
      <c r="U2056" s="638">
        <v>5138</v>
      </c>
      <c r="V2056" s="636">
        <v>2022</v>
      </c>
      <c r="W2056" s="640"/>
      <c r="X2056" s="641">
        <f t="shared" ref="X2056:X2119" si="96">IF(OR(K2056&gt;3,T2056=0,NOT(U2056&gt;0)),"",T2056/U2056)</f>
        <v>3.4120280264694434</v>
      </c>
      <c r="Y2056" s="642" t="str">
        <f t="shared" ref="Y2056:Y2119" si="97">IF(AND($M2056=$Y$2,$N2056=$Y$3,NOT($Q2056=$R2056),NOT($U2056=0)),IF($K2056=5,$S2056/($U2056+(8/5)*$U2056),IF($K2056=7,$S2056/($U2056+(29/25)*$U2056),"")),"")</f>
        <v/>
      </c>
      <c r="Z2056" s="642" t="str">
        <f t="shared" si="95"/>
        <v/>
      </c>
    </row>
    <row r="2057" spans="1:26" s="127" customFormat="1" ht="25">
      <c r="A2057" s="636">
        <v>63340</v>
      </c>
      <c r="B2057" s="637" t="s">
        <v>33</v>
      </c>
      <c r="C2057" s="636" t="s">
        <v>2725</v>
      </c>
      <c r="D2057" s="637" t="s">
        <v>3107</v>
      </c>
      <c r="E2057" s="637" t="s">
        <v>3107</v>
      </c>
      <c r="F2057" s="636">
        <v>63110</v>
      </c>
      <c r="G2057" s="637" t="s">
        <v>57</v>
      </c>
      <c r="H2057" s="637" t="s">
        <v>1162</v>
      </c>
      <c r="I2057" s="637" t="s">
        <v>58</v>
      </c>
      <c r="J2057" s="636">
        <v>22</v>
      </c>
      <c r="K2057" s="636">
        <v>2</v>
      </c>
      <c r="L2057" s="637" t="s">
        <v>52</v>
      </c>
      <c r="M2057" s="637" t="s">
        <v>1852</v>
      </c>
      <c r="N2057" s="637" t="s">
        <v>1035</v>
      </c>
      <c r="O2057" s="637" t="s">
        <v>82</v>
      </c>
      <c r="P2057" s="637" t="s">
        <v>2726</v>
      </c>
      <c r="Q2057" s="638">
        <v>0</v>
      </c>
      <c r="R2057" s="638">
        <v>0</v>
      </c>
      <c r="S2057" s="638">
        <v>0</v>
      </c>
      <c r="T2057" s="638">
        <v>0</v>
      </c>
      <c r="U2057" s="638">
        <v>0</v>
      </c>
      <c r="V2057" s="636">
        <v>2022</v>
      </c>
      <c r="W2057" s="640"/>
      <c r="X2057" s="641" t="str">
        <f t="shared" si="96"/>
        <v/>
      </c>
      <c r="Y2057" s="642" t="str">
        <f t="shared" si="97"/>
        <v/>
      </c>
      <c r="Z2057" s="642" t="str">
        <f t="shared" si="95"/>
        <v/>
      </c>
    </row>
    <row r="2058" spans="1:26" s="127" customFormat="1" ht="25">
      <c r="A2058" s="636">
        <v>63340</v>
      </c>
      <c r="B2058" s="637" t="s">
        <v>33</v>
      </c>
      <c r="C2058" s="636" t="s">
        <v>2725</v>
      </c>
      <c r="D2058" s="637" t="s">
        <v>3107</v>
      </c>
      <c r="E2058" s="637" t="s">
        <v>3107</v>
      </c>
      <c r="F2058" s="636">
        <v>63110</v>
      </c>
      <c r="G2058" s="637" t="s">
        <v>57</v>
      </c>
      <c r="H2058" s="637" t="s">
        <v>1162</v>
      </c>
      <c r="I2058" s="637" t="s">
        <v>58</v>
      </c>
      <c r="J2058" s="636">
        <v>22</v>
      </c>
      <c r="K2058" s="636">
        <v>2</v>
      </c>
      <c r="L2058" s="637" t="s">
        <v>52</v>
      </c>
      <c r="M2058" s="637" t="s">
        <v>441</v>
      </c>
      <c r="N2058" s="637" t="s">
        <v>442</v>
      </c>
      <c r="O2058" s="637" t="s">
        <v>442</v>
      </c>
      <c r="P2058" s="637" t="s">
        <v>1156</v>
      </c>
      <c r="Q2058" s="638">
        <v>0</v>
      </c>
      <c r="R2058" s="638">
        <v>0</v>
      </c>
      <c r="S2058" s="638">
        <v>21122</v>
      </c>
      <c r="T2058" s="638">
        <v>21122</v>
      </c>
      <c r="U2058" s="638">
        <v>6190</v>
      </c>
      <c r="V2058" s="636">
        <v>2022</v>
      </c>
      <c r="W2058" s="640"/>
      <c r="X2058" s="641">
        <f t="shared" si="96"/>
        <v>3.4122778675282714</v>
      </c>
      <c r="Y2058" s="642" t="str">
        <f t="shared" si="97"/>
        <v/>
      </c>
      <c r="Z2058" s="642" t="str">
        <f t="shared" si="95"/>
        <v/>
      </c>
    </row>
    <row r="2059" spans="1:26" s="127" customFormat="1" ht="25">
      <c r="A2059" s="636">
        <v>63341</v>
      </c>
      <c r="B2059" s="637" t="s">
        <v>33</v>
      </c>
      <c r="C2059" s="636" t="s">
        <v>2725</v>
      </c>
      <c r="D2059" s="637" t="s">
        <v>3108</v>
      </c>
      <c r="E2059" s="637" t="s">
        <v>3108</v>
      </c>
      <c r="F2059" s="636">
        <v>63111</v>
      </c>
      <c r="G2059" s="637" t="s">
        <v>57</v>
      </c>
      <c r="H2059" s="637" t="s">
        <v>1162</v>
      </c>
      <c r="I2059" s="637" t="s">
        <v>58</v>
      </c>
      <c r="J2059" s="636">
        <v>22</v>
      </c>
      <c r="K2059" s="636">
        <v>2</v>
      </c>
      <c r="L2059" s="637" t="s">
        <v>52</v>
      </c>
      <c r="M2059" s="637" t="s">
        <v>1852</v>
      </c>
      <c r="N2059" s="637" t="s">
        <v>1035</v>
      </c>
      <c r="O2059" s="637" t="s">
        <v>82</v>
      </c>
      <c r="P2059" s="637" t="s">
        <v>2726</v>
      </c>
      <c r="Q2059" s="638">
        <v>0</v>
      </c>
      <c r="R2059" s="638">
        <v>0</v>
      </c>
      <c r="S2059" s="638">
        <v>0</v>
      </c>
      <c r="T2059" s="638">
        <v>0</v>
      </c>
      <c r="U2059" s="638">
        <v>0</v>
      </c>
      <c r="V2059" s="636">
        <v>2022</v>
      </c>
      <c r="W2059" s="640"/>
      <c r="X2059" s="641" t="str">
        <f t="shared" si="96"/>
        <v/>
      </c>
      <c r="Y2059" s="642" t="str">
        <f t="shared" si="97"/>
        <v/>
      </c>
      <c r="Z2059" s="642" t="str">
        <f t="shared" si="95"/>
        <v/>
      </c>
    </row>
    <row r="2060" spans="1:26" s="127" customFormat="1" ht="25">
      <c r="A2060" s="636">
        <v>63341</v>
      </c>
      <c r="B2060" s="637" t="s">
        <v>33</v>
      </c>
      <c r="C2060" s="636" t="s">
        <v>2725</v>
      </c>
      <c r="D2060" s="637" t="s">
        <v>3108</v>
      </c>
      <c r="E2060" s="637" t="s">
        <v>3108</v>
      </c>
      <c r="F2060" s="636">
        <v>63111</v>
      </c>
      <c r="G2060" s="637" t="s">
        <v>57</v>
      </c>
      <c r="H2060" s="637" t="s">
        <v>1162</v>
      </c>
      <c r="I2060" s="637" t="s">
        <v>58</v>
      </c>
      <c r="J2060" s="636">
        <v>22</v>
      </c>
      <c r="K2060" s="636">
        <v>2</v>
      </c>
      <c r="L2060" s="637" t="s">
        <v>52</v>
      </c>
      <c r="M2060" s="637" t="s">
        <v>441</v>
      </c>
      <c r="N2060" s="637" t="s">
        <v>442</v>
      </c>
      <c r="O2060" s="637" t="s">
        <v>442</v>
      </c>
      <c r="P2060" s="637" t="s">
        <v>1156</v>
      </c>
      <c r="Q2060" s="638">
        <v>0</v>
      </c>
      <c r="R2060" s="638">
        <v>0</v>
      </c>
      <c r="S2060" s="638">
        <v>18697</v>
      </c>
      <c r="T2060" s="638">
        <v>18697</v>
      </c>
      <c r="U2060" s="638">
        <v>5480</v>
      </c>
      <c r="V2060" s="636">
        <v>2022</v>
      </c>
      <c r="W2060" s="640"/>
      <c r="X2060" s="641">
        <f t="shared" si="96"/>
        <v>3.4118613138686134</v>
      </c>
      <c r="Y2060" s="642" t="str">
        <f t="shared" si="97"/>
        <v/>
      </c>
      <c r="Z2060" s="642" t="str">
        <f t="shared" si="95"/>
        <v/>
      </c>
    </row>
    <row r="2061" spans="1:26" s="127" customFormat="1" ht="25">
      <c r="A2061" s="636">
        <v>63354</v>
      </c>
      <c r="B2061" s="637" t="s">
        <v>33</v>
      </c>
      <c r="C2061" s="636" t="s">
        <v>2725</v>
      </c>
      <c r="D2061" s="637" t="s">
        <v>2926</v>
      </c>
      <c r="E2061" s="637" t="s">
        <v>2444</v>
      </c>
      <c r="F2061" s="636">
        <v>62067</v>
      </c>
      <c r="G2061" s="637" t="s">
        <v>41</v>
      </c>
      <c r="H2061" s="637" t="s">
        <v>1163</v>
      </c>
      <c r="I2061" s="637" t="s">
        <v>58</v>
      </c>
      <c r="J2061" s="636">
        <v>22</v>
      </c>
      <c r="K2061" s="636">
        <v>2</v>
      </c>
      <c r="L2061" s="637" t="s">
        <v>52</v>
      </c>
      <c r="M2061" s="637" t="s">
        <v>441</v>
      </c>
      <c r="N2061" s="637" t="s">
        <v>442</v>
      </c>
      <c r="O2061" s="637" t="s">
        <v>442</v>
      </c>
      <c r="P2061" s="637" t="s">
        <v>1156</v>
      </c>
      <c r="Q2061" s="638">
        <v>0</v>
      </c>
      <c r="R2061" s="638">
        <v>0</v>
      </c>
      <c r="S2061" s="638">
        <v>5527</v>
      </c>
      <c r="T2061" s="638">
        <v>5527</v>
      </c>
      <c r="U2061" s="638">
        <v>1620</v>
      </c>
      <c r="V2061" s="636">
        <v>2022</v>
      </c>
      <c r="W2061" s="640"/>
      <c r="X2061" s="641">
        <f t="shared" si="96"/>
        <v>3.4117283950617283</v>
      </c>
      <c r="Y2061" s="642" t="str">
        <f t="shared" si="97"/>
        <v/>
      </c>
      <c r="Z2061" s="642" t="str">
        <f t="shared" si="95"/>
        <v/>
      </c>
    </row>
    <row r="2062" spans="1:26" s="127" customFormat="1" ht="25">
      <c r="A2062" s="636">
        <v>63358</v>
      </c>
      <c r="B2062" s="637" t="s">
        <v>33</v>
      </c>
      <c r="C2062" s="636" t="s">
        <v>2725</v>
      </c>
      <c r="D2062" s="637" t="s">
        <v>2927</v>
      </c>
      <c r="E2062" s="637" t="s">
        <v>2444</v>
      </c>
      <c r="F2062" s="636">
        <v>62067</v>
      </c>
      <c r="G2062" s="637" t="s">
        <v>41</v>
      </c>
      <c r="H2062" s="637" t="s">
        <v>1163</v>
      </c>
      <c r="I2062" s="637" t="s">
        <v>58</v>
      </c>
      <c r="J2062" s="636">
        <v>22</v>
      </c>
      <c r="K2062" s="636">
        <v>2</v>
      </c>
      <c r="L2062" s="637" t="s">
        <v>52</v>
      </c>
      <c r="M2062" s="637" t="s">
        <v>441</v>
      </c>
      <c r="N2062" s="637" t="s">
        <v>442</v>
      </c>
      <c r="O2062" s="637" t="s">
        <v>442</v>
      </c>
      <c r="P2062" s="637" t="s">
        <v>1156</v>
      </c>
      <c r="Q2062" s="638">
        <v>0</v>
      </c>
      <c r="R2062" s="638">
        <v>0</v>
      </c>
      <c r="S2062" s="638">
        <v>6121</v>
      </c>
      <c r="T2062" s="638">
        <v>6121</v>
      </c>
      <c r="U2062" s="638">
        <v>1794</v>
      </c>
      <c r="V2062" s="636">
        <v>2022</v>
      </c>
      <c r="W2062" s="640"/>
      <c r="X2062" s="641">
        <f t="shared" si="96"/>
        <v>3.4119286510590858</v>
      </c>
      <c r="Y2062" s="642" t="str">
        <f t="shared" si="97"/>
        <v/>
      </c>
      <c r="Z2062" s="642" t="str">
        <f t="shared" si="95"/>
        <v/>
      </c>
    </row>
    <row r="2063" spans="1:26" s="127" customFormat="1" ht="25">
      <c r="A2063" s="636">
        <v>63368</v>
      </c>
      <c r="B2063" s="637" t="s">
        <v>33</v>
      </c>
      <c r="C2063" s="636" t="s">
        <v>2725</v>
      </c>
      <c r="D2063" s="637" t="s">
        <v>2928</v>
      </c>
      <c r="E2063" s="637" t="s">
        <v>2862</v>
      </c>
      <c r="F2063" s="636">
        <v>62719</v>
      </c>
      <c r="G2063" s="637" t="s">
        <v>89</v>
      </c>
      <c r="H2063" s="637" t="s">
        <v>1163</v>
      </c>
      <c r="I2063" s="637" t="s">
        <v>58</v>
      </c>
      <c r="J2063" s="636">
        <v>22</v>
      </c>
      <c r="K2063" s="636">
        <v>2</v>
      </c>
      <c r="L2063" s="637" t="s">
        <v>52</v>
      </c>
      <c r="M2063" s="637" t="s">
        <v>441</v>
      </c>
      <c r="N2063" s="637" t="s">
        <v>442</v>
      </c>
      <c r="O2063" s="637" t="s">
        <v>442</v>
      </c>
      <c r="P2063" s="637" t="s">
        <v>1156</v>
      </c>
      <c r="Q2063" s="638">
        <v>0</v>
      </c>
      <c r="R2063" s="638">
        <v>0</v>
      </c>
      <c r="S2063" s="638">
        <v>11512</v>
      </c>
      <c r="T2063" s="638">
        <v>11512</v>
      </c>
      <c r="U2063" s="638">
        <v>3374</v>
      </c>
      <c r="V2063" s="636">
        <v>2022</v>
      </c>
      <c r="W2063" s="640"/>
      <c r="X2063" s="641">
        <f t="shared" si="96"/>
        <v>3.4119739181979845</v>
      </c>
      <c r="Y2063" s="642" t="str">
        <f t="shared" si="97"/>
        <v/>
      </c>
      <c r="Z2063" s="642" t="str">
        <f t="shared" si="95"/>
        <v/>
      </c>
    </row>
    <row r="2064" spans="1:26" s="127" customFormat="1" ht="25">
      <c r="A2064" s="636">
        <v>63369</v>
      </c>
      <c r="B2064" s="637" t="s">
        <v>33</v>
      </c>
      <c r="C2064" s="636" t="s">
        <v>2725</v>
      </c>
      <c r="D2064" s="637" t="s">
        <v>2929</v>
      </c>
      <c r="E2064" s="637" t="s">
        <v>2862</v>
      </c>
      <c r="F2064" s="636">
        <v>62719</v>
      </c>
      <c r="G2064" s="637" t="s">
        <v>57</v>
      </c>
      <c r="H2064" s="637" t="s">
        <v>1162</v>
      </c>
      <c r="I2064" s="637" t="s">
        <v>58</v>
      </c>
      <c r="J2064" s="636">
        <v>22</v>
      </c>
      <c r="K2064" s="636">
        <v>2</v>
      </c>
      <c r="L2064" s="637" t="s">
        <v>52</v>
      </c>
      <c r="M2064" s="637" t="s">
        <v>441</v>
      </c>
      <c r="N2064" s="637" t="s">
        <v>442</v>
      </c>
      <c r="O2064" s="637" t="s">
        <v>442</v>
      </c>
      <c r="P2064" s="637" t="s">
        <v>1156</v>
      </c>
      <c r="Q2064" s="638">
        <v>0</v>
      </c>
      <c r="R2064" s="638">
        <v>0</v>
      </c>
      <c r="S2064" s="638">
        <v>23362</v>
      </c>
      <c r="T2064" s="638">
        <v>23362</v>
      </c>
      <c r="U2064" s="638">
        <v>6847</v>
      </c>
      <c r="V2064" s="636">
        <v>2022</v>
      </c>
      <c r="W2064" s="640"/>
      <c r="X2064" s="641">
        <f t="shared" si="96"/>
        <v>3.4120052577771287</v>
      </c>
      <c r="Y2064" s="642" t="str">
        <f t="shared" si="97"/>
        <v/>
      </c>
      <c r="Z2064" s="642" t="str">
        <f t="shared" ref="Z2064:Z2127" si="98">IF(AND($M2064=$Y$2,$N2064=$Y$4,NOT($Q2064=$R2064),NOT($U2064=0)),IF($K2064=5,$S2064/($U2064+(8/5)*$U2064),IF($K2064=7,$S2064/($U2064+(29/25)*$U2064),"")),"")</f>
        <v/>
      </c>
    </row>
    <row r="2065" spans="1:26" s="127" customFormat="1" ht="25">
      <c r="A2065" s="636">
        <v>63371</v>
      </c>
      <c r="B2065" s="637" t="s">
        <v>33</v>
      </c>
      <c r="C2065" s="636" t="s">
        <v>2725</v>
      </c>
      <c r="D2065" s="637" t="s">
        <v>2930</v>
      </c>
      <c r="E2065" s="637" t="s">
        <v>2862</v>
      </c>
      <c r="F2065" s="636">
        <v>62719</v>
      </c>
      <c r="G2065" s="637" t="s">
        <v>57</v>
      </c>
      <c r="H2065" s="637" t="s">
        <v>1162</v>
      </c>
      <c r="I2065" s="637" t="s">
        <v>58</v>
      </c>
      <c r="J2065" s="636">
        <v>22</v>
      </c>
      <c r="K2065" s="636">
        <v>2</v>
      </c>
      <c r="L2065" s="637" t="s">
        <v>52</v>
      </c>
      <c r="M2065" s="637" t="s">
        <v>441</v>
      </c>
      <c r="N2065" s="637" t="s">
        <v>442</v>
      </c>
      <c r="O2065" s="637" t="s">
        <v>442</v>
      </c>
      <c r="P2065" s="637" t="s">
        <v>1156</v>
      </c>
      <c r="Q2065" s="638">
        <v>0</v>
      </c>
      <c r="R2065" s="638">
        <v>0</v>
      </c>
      <c r="S2065" s="638">
        <v>11494</v>
      </c>
      <c r="T2065" s="638">
        <v>11494</v>
      </c>
      <c r="U2065" s="638">
        <v>3369</v>
      </c>
      <c r="V2065" s="636">
        <v>2022</v>
      </c>
      <c r="W2065" s="640"/>
      <c r="X2065" s="641">
        <f t="shared" si="96"/>
        <v>3.4116948649450878</v>
      </c>
      <c r="Y2065" s="642" t="str">
        <f t="shared" si="97"/>
        <v/>
      </c>
      <c r="Z2065" s="642" t="str">
        <f t="shared" si="98"/>
        <v/>
      </c>
    </row>
    <row r="2066" spans="1:26" s="127" customFormat="1" ht="25">
      <c r="A2066" s="636">
        <v>63372</v>
      </c>
      <c r="B2066" s="637" t="s">
        <v>33</v>
      </c>
      <c r="C2066" s="636" t="s">
        <v>2725</v>
      </c>
      <c r="D2066" s="637" t="s">
        <v>2931</v>
      </c>
      <c r="E2066" s="637" t="s">
        <v>2862</v>
      </c>
      <c r="F2066" s="636">
        <v>62719</v>
      </c>
      <c r="G2066" s="637" t="s">
        <v>57</v>
      </c>
      <c r="H2066" s="637" t="s">
        <v>1162</v>
      </c>
      <c r="I2066" s="637" t="s">
        <v>58</v>
      </c>
      <c r="J2066" s="636">
        <v>22</v>
      </c>
      <c r="K2066" s="636">
        <v>2</v>
      </c>
      <c r="L2066" s="637" t="s">
        <v>52</v>
      </c>
      <c r="M2066" s="637" t="s">
        <v>441</v>
      </c>
      <c r="N2066" s="637" t="s">
        <v>442</v>
      </c>
      <c r="O2066" s="637" t="s">
        <v>442</v>
      </c>
      <c r="P2066" s="637" t="s">
        <v>1156</v>
      </c>
      <c r="Q2066" s="638">
        <v>0</v>
      </c>
      <c r="R2066" s="638">
        <v>0</v>
      </c>
      <c r="S2066" s="638">
        <v>24286</v>
      </c>
      <c r="T2066" s="638">
        <v>24286</v>
      </c>
      <c r="U2066" s="638">
        <v>7118</v>
      </c>
      <c r="V2066" s="636">
        <v>2022</v>
      </c>
      <c r="W2066" s="640"/>
      <c r="X2066" s="641">
        <f t="shared" si="96"/>
        <v>3.4119134588367519</v>
      </c>
      <c r="Y2066" s="642" t="str">
        <f t="shared" si="97"/>
        <v/>
      </c>
      <c r="Z2066" s="642" t="str">
        <f t="shared" si="98"/>
        <v/>
      </c>
    </row>
    <row r="2067" spans="1:26" s="127" customFormat="1" ht="25">
      <c r="A2067" s="636">
        <v>63373</v>
      </c>
      <c r="B2067" s="637" t="s">
        <v>33</v>
      </c>
      <c r="C2067" s="636" t="s">
        <v>2725</v>
      </c>
      <c r="D2067" s="637" t="s">
        <v>2932</v>
      </c>
      <c r="E2067" s="637" t="s">
        <v>2862</v>
      </c>
      <c r="F2067" s="636">
        <v>62719</v>
      </c>
      <c r="G2067" s="637" t="s">
        <v>57</v>
      </c>
      <c r="H2067" s="637" t="s">
        <v>1162</v>
      </c>
      <c r="I2067" s="637" t="s">
        <v>58</v>
      </c>
      <c r="J2067" s="636">
        <v>22</v>
      </c>
      <c r="K2067" s="636">
        <v>2</v>
      </c>
      <c r="L2067" s="637" t="s">
        <v>52</v>
      </c>
      <c r="M2067" s="637" t="s">
        <v>441</v>
      </c>
      <c r="N2067" s="637" t="s">
        <v>442</v>
      </c>
      <c r="O2067" s="637" t="s">
        <v>442</v>
      </c>
      <c r="P2067" s="637" t="s">
        <v>1156</v>
      </c>
      <c r="Q2067" s="638">
        <v>0</v>
      </c>
      <c r="R2067" s="638">
        <v>0</v>
      </c>
      <c r="S2067" s="638">
        <v>26627</v>
      </c>
      <c r="T2067" s="638">
        <v>26627</v>
      </c>
      <c r="U2067" s="638">
        <v>7804</v>
      </c>
      <c r="V2067" s="636">
        <v>2022</v>
      </c>
      <c r="W2067" s="640"/>
      <c r="X2067" s="641">
        <f t="shared" si="96"/>
        <v>3.4119682214249103</v>
      </c>
      <c r="Y2067" s="642" t="str">
        <f t="shared" si="97"/>
        <v/>
      </c>
      <c r="Z2067" s="642" t="str">
        <f t="shared" si="98"/>
        <v/>
      </c>
    </row>
    <row r="2068" spans="1:26" s="127" customFormat="1" ht="25">
      <c r="A2068" s="636">
        <v>63374</v>
      </c>
      <c r="B2068" s="637" t="s">
        <v>33</v>
      </c>
      <c r="C2068" s="636" t="s">
        <v>2725</v>
      </c>
      <c r="D2068" s="637" t="s">
        <v>2933</v>
      </c>
      <c r="E2068" s="637" t="s">
        <v>2862</v>
      </c>
      <c r="F2068" s="636">
        <v>62719</v>
      </c>
      <c r="G2068" s="637" t="s">
        <v>41</v>
      </c>
      <c r="H2068" s="637" t="s">
        <v>1163</v>
      </c>
      <c r="I2068" s="637" t="s">
        <v>58</v>
      </c>
      <c r="J2068" s="636">
        <v>22</v>
      </c>
      <c r="K2068" s="636">
        <v>2</v>
      </c>
      <c r="L2068" s="637" t="s">
        <v>52</v>
      </c>
      <c r="M2068" s="637" t="s">
        <v>441</v>
      </c>
      <c r="N2068" s="637" t="s">
        <v>442</v>
      </c>
      <c r="O2068" s="637" t="s">
        <v>442</v>
      </c>
      <c r="P2068" s="637" t="s">
        <v>1156</v>
      </c>
      <c r="Q2068" s="638">
        <v>0</v>
      </c>
      <c r="R2068" s="638">
        <v>0</v>
      </c>
      <c r="S2068" s="638">
        <v>6140</v>
      </c>
      <c r="T2068" s="638">
        <v>6140</v>
      </c>
      <c r="U2068" s="638">
        <v>1800</v>
      </c>
      <c r="V2068" s="636">
        <v>2022</v>
      </c>
      <c r="W2068" s="640"/>
      <c r="X2068" s="641">
        <f t="shared" si="96"/>
        <v>3.411111111111111</v>
      </c>
      <c r="Y2068" s="642" t="str">
        <f t="shared" si="97"/>
        <v/>
      </c>
      <c r="Z2068" s="642" t="str">
        <f t="shared" si="98"/>
        <v/>
      </c>
    </row>
    <row r="2069" spans="1:26" s="127" customFormat="1" ht="25">
      <c r="A2069" s="636">
        <v>63375</v>
      </c>
      <c r="B2069" s="637" t="s">
        <v>33</v>
      </c>
      <c r="C2069" s="636" t="s">
        <v>2725</v>
      </c>
      <c r="D2069" s="637" t="s">
        <v>2934</v>
      </c>
      <c r="E2069" s="637" t="s">
        <v>2862</v>
      </c>
      <c r="F2069" s="636">
        <v>62719</v>
      </c>
      <c r="G2069" s="637" t="s">
        <v>41</v>
      </c>
      <c r="H2069" s="637" t="s">
        <v>1163</v>
      </c>
      <c r="I2069" s="637" t="s">
        <v>58</v>
      </c>
      <c r="J2069" s="636">
        <v>22</v>
      </c>
      <c r="K2069" s="636">
        <v>2</v>
      </c>
      <c r="L2069" s="637" t="s">
        <v>52</v>
      </c>
      <c r="M2069" s="637" t="s">
        <v>441</v>
      </c>
      <c r="N2069" s="637" t="s">
        <v>442</v>
      </c>
      <c r="O2069" s="637" t="s">
        <v>442</v>
      </c>
      <c r="P2069" s="637" t="s">
        <v>1156</v>
      </c>
      <c r="Q2069" s="638">
        <v>0</v>
      </c>
      <c r="R2069" s="638">
        <v>0</v>
      </c>
      <c r="S2069" s="638">
        <v>6084</v>
      </c>
      <c r="T2069" s="638">
        <v>6084</v>
      </c>
      <c r="U2069" s="638">
        <v>1783</v>
      </c>
      <c r="V2069" s="636">
        <v>2022</v>
      </c>
      <c r="W2069" s="640"/>
      <c r="X2069" s="641">
        <f t="shared" si="96"/>
        <v>3.4122265844083004</v>
      </c>
      <c r="Y2069" s="642" t="str">
        <f t="shared" si="97"/>
        <v/>
      </c>
      <c r="Z2069" s="642" t="str">
        <f t="shared" si="98"/>
        <v/>
      </c>
    </row>
    <row r="2070" spans="1:26" s="127" customFormat="1" ht="25">
      <c r="A2070" s="636">
        <v>63398</v>
      </c>
      <c r="B2070" s="637" t="s">
        <v>33</v>
      </c>
      <c r="C2070" s="636" t="s">
        <v>2725</v>
      </c>
      <c r="D2070" s="637" t="s">
        <v>2935</v>
      </c>
      <c r="E2070" s="637" t="s">
        <v>2936</v>
      </c>
      <c r="F2070" s="636">
        <v>63163</v>
      </c>
      <c r="G2070" s="637" t="s">
        <v>81</v>
      </c>
      <c r="H2070" s="637" t="s">
        <v>1163</v>
      </c>
      <c r="I2070" s="637" t="s">
        <v>58</v>
      </c>
      <c r="J2070" s="636">
        <v>22</v>
      </c>
      <c r="K2070" s="636">
        <v>2</v>
      </c>
      <c r="L2070" s="637" t="s">
        <v>52</v>
      </c>
      <c r="M2070" s="637" t="s">
        <v>1852</v>
      </c>
      <c r="N2070" s="637" t="s">
        <v>1035</v>
      </c>
      <c r="O2070" s="637" t="s">
        <v>82</v>
      </c>
      <c r="P2070" s="637" t="s">
        <v>2726</v>
      </c>
      <c r="Q2070" s="638">
        <v>1042</v>
      </c>
      <c r="R2070" s="638">
        <v>1042</v>
      </c>
      <c r="S2070" s="638">
        <v>0</v>
      </c>
      <c r="T2070" s="638">
        <v>0</v>
      </c>
      <c r="U2070" s="638">
        <v>-134</v>
      </c>
      <c r="V2070" s="636">
        <v>2022</v>
      </c>
      <c r="W2070" s="640"/>
      <c r="X2070" s="641" t="str">
        <f t="shared" si="96"/>
        <v/>
      </c>
      <c r="Y2070" s="642" t="str">
        <f t="shared" si="97"/>
        <v/>
      </c>
      <c r="Z2070" s="642" t="str">
        <f t="shared" si="98"/>
        <v/>
      </c>
    </row>
    <row r="2071" spans="1:26" s="127" customFormat="1" ht="25">
      <c r="A2071" s="636">
        <v>63398</v>
      </c>
      <c r="B2071" s="637" t="s">
        <v>33</v>
      </c>
      <c r="C2071" s="636" t="s">
        <v>2725</v>
      </c>
      <c r="D2071" s="637" t="s">
        <v>2935</v>
      </c>
      <c r="E2071" s="637" t="s">
        <v>2936</v>
      </c>
      <c r="F2071" s="636">
        <v>63163</v>
      </c>
      <c r="G2071" s="637" t="s">
        <v>81</v>
      </c>
      <c r="H2071" s="637" t="s">
        <v>1163</v>
      </c>
      <c r="I2071" s="637" t="s">
        <v>58</v>
      </c>
      <c r="J2071" s="636">
        <v>22</v>
      </c>
      <c r="K2071" s="636">
        <v>2</v>
      </c>
      <c r="L2071" s="637" t="s">
        <v>52</v>
      </c>
      <c r="M2071" s="637" t="s">
        <v>441</v>
      </c>
      <c r="N2071" s="637" t="s">
        <v>442</v>
      </c>
      <c r="O2071" s="637" t="s">
        <v>442</v>
      </c>
      <c r="P2071" s="637" t="s">
        <v>1156</v>
      </c>
      <c r="Q2071" s="638">
        <v>0</v>
      </c>
      <c r="R2071" s="638">
        <v>0</v>
      </c>
      <c r="S2071" s="638">
        <v>19946</v>
      </c>
      <c r="T2071" s="638">
        <v>19946</v>
      </c>
      <c r="U2071" s="638">
        <v>5846</v>
      </c>
      <c r="V2071" s="636">
        <v>2022</v>
      </c>
      <c r="W2071" s="640"/>
      <c r="X2071" s="641">
        <f t="shared" si="96"/>
        <v>3.4119055764625386</v>
      </c>
      <c r="Y2071" s="642" t="str">
        <f t="shared" si="97"/>
        <v/>
      </c>
      <c r="Z2071" s="642" t="str">
        <f t="shared" si="98"/>
        <v/>
      </c>
    </row>
    <row r="2072" spans="1:26" s="127" customFormat="1" ht="25">
      <c r="A2072" s="636">
        <v>63405</v>
      </c>
      <c r="B2072" s="637" t="s">
        <v>33</v>
      </c>
      <c r="C2072" s="636" t="s">
        <v>2725</v>
      </c>
      <c r="D2072" s="637" t="s">
        <v>2937</v>
      </c>
      <c r="E2072" s="637" t="s">
        <v>2203</v>
      </c>
      <c r="F2072" s="636">
        <v>61227</v>
      </c>
      <c r="G2072" s="637" t="s">
        <v>57</v>
      </c>
      <c r="H2072" s="637" t="s">
        <v>1162</v>
      </c>
      <c r="I2072" s="637" t="s">
        <v>58</v>
      </c>
      <c r="J2072" s="636">
        <v>22</v>
      </c>
      <c r="K2072" s="636">
        <v>2</v>
      </c>
      <c r="L2072" s="637" t="s">
        <v>52</v>
      </c>
      <c r="M2072" s="637" t="s">
        <v>441</v>
      </c>
      <c r="N2072" s="637" t="s">
        <v>442</v>
      </c>
      <c r="O2072" s="637" t="s">
        <v>442</v>
      </c>
      <c r="P2072" s="637" t="s">
        <v>1156</v>
      </c>
      <c r="Q2072" s="638">
        <v>0</v>
      </c>
      <c r="R2072" s="638">
        <v>0</v>
      </c>
      <c r="S2072" s="638">
        <v>11008</v>
      </c>
      <c r="T2072" s="638">
        <v>11008</v>
      </c>
      <c r="U2072" s="638">
        <v>3227</v>
      </c>
      <c r="V2072" s="636">
        <v>2022</v>
      </c>
      <c r="W2072" s="640"/>
      <c r="X2072" s="641">
        <f t="shared" si="96"/>
        <v>3.4112178493957237</v>
      </c>
      <c r="Y2072" s="642" t="str">
        <f t="shared" si="97"/>
        <v/>
      </c>
      <c r="Z2072" s="642" t="str">
        <f t="shared" si="98"/>
        <v/>
      </c>
    </row>
    <row r="2073" spans="1:26" s="127" customFormat="1" ht="25">
      <c r="A2073" s="636">
        <v>63407</v>
      </c>
      <c r="B2073" s="637" t="s">
        <v>33</v>
      </c>
      <c r="C2073" s="636" t="s">
        <v>2725</v>
      </c>
      <c r="D2073" s="637" t="s">
        <v>2938</v>
      </c>
      <c r="E2073" s="637" t="s">
        <v>3109</v>
      </c>
      <c r="F2073" s="636">
        <v>62923</v>
      </c>
      <c r="G2073" s="637" t="s">
        <v>57</v>
      </c>
      <c r="H2073" s="637" t="s">
        <v>1162</v>
      </c>
      <c r="I2073" s="637" t="s">
        <v>58</v>
      </c>
      <c r="J2073" s="636">
        <v>22</v>
      </c>
      <c r="K2073" s="636">
        <v>2</v>
      </c>
      <c r="L2073" s="637" t="s">
        <v>52</v>
      </c>
      <c r="M2073" s="637" t="s">
        <v>441</v>
      </c>
      <c r="N2073" s="637" t="s">
        <v>442</v>
      </c>
      <c r="O2073" s="637" t="s">
        <v>442</v>
      </c>
      <c r="P2073" s="637" t="s">
        <v>1156</v>
      </c>
      <c r="Q2073" s="638">
        <v>0</v>
      </c>
      <c r="R2073" s="638">
        <v>0</v>
      </c>
      <c r="S2073" s="638">
        <v>8585</v>
      </c>
      <c r="T2073" s="638">
        <v>8585</v>
      </c>
      <c r="U2073" s="638">
        <v>2516</v>
      </c>
      <c r="V2073" s="636">
        <v>2022</v>
      </c>
      <c r="W2073" s="640"/>
      <c r="X2073" s="641">
        <f t="shared" si="96"/>
        <v>3.4121621621621623</v>
      </c>
      <c r="Y2073" s="642" t="str">
        <f t="shared" si="97"/>
        <v/>
      </c>
      <c r="Z2073" s="642" t="str">
        <f t="shared" si="98"/>
        <v/>
      </c>
    </row>
    <row r="2074" spans="1:26" s="127" customFormat="1" ht="25">
      <c r="A2074" s="636">
        <v>63408</v>
      </c>
      <c r="B2074" s="637" t="s">
        <v>33</v>
      </c>
      <c r="C2074" s="636" t="s">
        <v>2725</v>
      </c>
      <c r="D2074" s="637" t="s">
        <v>2939</v>
      </c>
      <c r="E2074" s="637" t="s">
        <v>3109</v>
      </c>
      <c r="F2074" s="636">
        <v>62923</v>
      </c>
      <c r="G2074" s="637" t="s">
        <v>57</v>
      </c>
      <c r="H2074" s="637" t="s">
        <v>1162</v>
      </c>
      <c r="I2074" s="637" t="s">
        <v>58</v>
      </c>
      <c r="J2074" s="636">
        <v>22</v>
      </c>
      <c r="K2074" s="636">
        <v>2</v>
      </c>
      <c r="L2074" s="637" t="s">
        <v>52</v>
      </c>
      <c r="M2074" s="637" t="s">
        <v>441</v>
      </c>
      <c r="N2074" s="637" t="s">
        <v>442</v>
      </c>
      <c r="O2074" s="637" t="s">
        <v>442</v>
      </c>
      <c r="P2074" s="637" t="s">
        <v>1156</v>
      </c>
      <c r="Q2074" s="638">
        <v>0</v>
      </c>
      <c r="R2074" s="638">
        <v>0</v>
      </c>
      <c r="S2074" s="638">
        <v>8900</v>
      </c>
      <c r="T2074" s="638">
        <v>8900</v>
      </c>
      <c r="U2074" s="638">
        <v>2608</v>
      </c>
      <c r="V2074" s="636">
        <v>2022</v>
      </c>
      <c r="W2074" s="640"/>
      <c r="X2074" s="641">
        <f t="shared" si="96"/>
        <v>3.4125766871165646</v>
      </c>
      <c r="Y2074" s="642" t="str">
        <f t="shared" si="97"/>
        <v/>
      </c>
      <c r="Z2074" s="642" t="str">
        <f t="shared" si="98"/>
        <v/>
      </c>
    </row>
    <row r="2075" spans="1:26" s="127" customFormat="1" ht="25">
      <c r="A2075" s="636">
        <v>63409</v>
      </c>
      <c r="B2075" s="637" t="s">
        <v>33</v>
      </c>
      <c r="C2075" s="636" t="s">
        <v>2725</v>
      </c>
      <c r="D2075" s="637" t="s">
        <v>2940</v>
      </c>
      <c r="E2075" s="637" t="s">
        <v>3109</v>
      </c>
      <c r="F2075" s="636">
        <v>62923</v>
      </c>
      <c r="G2075" s="637" t="s">
        <v>57</v>
      </c>
      <c r="H2075" s="637" t="s">
        <v>1162</v>
      </c>
      <c r="I2075" s="637" t="s">
        <v>58</v>
      </c>
      <c r="J2075" s="636">
        <v>22</v>
      </c>
      <c r="K2075" s="636">
        <v>2</v>
      </c>
      <c r="L2075" s="637" t="s">
        <v>52</v>
      </c>
      <c r="M2075" s="637" t="s">
        <v>441</v>
      </c>
      <c r="N2075" s="637" t="s">
        <v>442</v>
      </c>
      <c r="O2075" s="637" t="s">
        <v>442</v>
      </c>
      <c r="P2075" s="637" t="s">
        <v>1156</v>
      </c>
      <c r="Q2075" s="638">
        <v>0</v>
      </c>
      <c r="R2075" s="638">
        <v>0</v>
      </c>
      <c r="S2075" s="638">
        <v>6176</v>
      </c>
      <c r="T2075" s="638">
        <v>6176</v>
      </c>
      <c r="U2075" s="638">
        <v>1810</v>
      </c>
      <c r="V2075" s="636">
        <v>2022</v>
      </c>
      <c r="W2075" s="640"/>
      <c r="X2075" s="641">
        <f t="shared" si="96"/>
        <v>3.4121546961325966</v>
      </c>
      <c r="Y2075" s="642" t="str">
        <f t="shared" si="97"/>
        <v/>
      </c>
      <c r="Z2075" s="642" t="str">
        <f t="shared" si="98"/>
        <v/>
      </c>
    </row>
    <row r="2076" spans="1:26" s="127" customFormat="1" ht="25">
      <c r="A2076" s="636">
        <v>63410</v>
      </c>
      <c r="B2076" s="637" t="s">
        <v>33</v>
      </c>
      <c r="C2076" s="636" t="s">
        <v>2725</v>
      </c>
      <c r="D2076" s="637" t="s">
        <v>2941</v>
      </c>
      <c r="E2076" s="637" t="s">
        <v>3109</v>
      </c>
      <c r="F2076" s="636">
        <v>62923</v>
      </c>
      <c r="G2076" s="637" t="s">
        <v>57</v>
      </c>
      <c r="H2076" s="637" t="s">
        <v>1162</v>
      </c>
      <c r="I2076" s="637" t="s">
        <v>58</v>
      </c>
      <c r="J2076" s="636">
        <v>22</v>
      </c>
      <c r="K2076" s="636">
        <v>2</v>
      </c>
      <c r="L2076" s="637" t="s">
        <v>52</v>
      </c>
      <c r="M2076" s="637" t="s">
        <v>441</v>
      </c>
      <c r="N2076" s="637" t="s">
        <v>442</v>
      </c>
      <c r="O2076" s="637" t="s">
        <v>442</v>
      </c>
      <c r="P2076" s="637" t="s">
        <v>1156</v>
      </c>
      <c r="Q2076" s="638">
        <v>0</v>
      </c>
      <c r="R2076" s="638">
        <v>0</v>
      </c>
      <c r="S2076" s="638">
        <v>5960</v>
      </c>
      <c r="T2076" s="638">
        <v>5960</v>
      </c>
      <c r="U2076" s="638">
        <v>1747</v>
      </c>
      <c r="V2076" s="636">
        <v>2022</v>
      </c>
      <c r="W2076" s="640"/>
      <c r="X2076" s="641">
        <f t="shared" si="96"/>
        <v>3.4115626788780768</v>
      </c>
      <c r="Y2076" s="642" t="str">
        <f t="shared" si="97"/>
        <v/>
      </c>
      <c r="Z2076" s="642" t="str">
        <f t="shared" si="98"/>
        <v/>
      </c>
    </row>
    <row r="2077" spans="1:26" s="127" customFormat="1" ht="25">
      <c r="A2077" s="636">
        <v>63411</v>
      </c>
      <c r="B2077" s="637" t="s">
        <v>33</v>
      </c>
      <c r="C2077" s="636" t="s">
        <v>2725</v>
      </c>
      <c r="D2077" s="637" t="s">
        <v>3110</v>
      </c>
      <c r="E2077" s="637" t="s">
        <v>2166</v>
      </c>
      <c r="F2077" s="636">
        <v>61012</v>
      </c>
      <c r="G2077" s="637" t="s">
        <v>57</v>
      </c>
      <c r="H2077" s="637" t="s">
        <v>1162</v>
      </c>
      <c r="I2077" s="637" t="s">
        <v>58</v>
      </c>
      <c r="J2077" s="636">
        <v>22</v>
      </c>
      <c r="K2077" s="636">
        <v>2</v>
      </c>
      <c r="L2077" s="637" t="s">
        <v>52</v>
      </c>
      <c r="M2077" s="637" t="s">
        <v>441</v>
      </c>
      <c r="N2077" s="637" t="s">
        <v>442</v>
      </c>
      <c r="O2077" s="637" t="s">
        <v>442</v>
      </c>
      <c r="P2077" s="637" t="s">
        <v>1156</v>
      </c>
      <c r="Q2077" s="638">
        <v>0</v>
      </c>
      <c r="R2077" s="638">
        <v>0</v>
      </c>
      <c r="S2077" s="638">
        <v>28681</v>
      </c>
      <c r="T2077" s="638">
        <v>28681</v>
      </c>
      <c r="U2077" s="638">
        <v>8406</v>
      </c>
      <c r="V2077" s="636">
        <v>2022</v>
      </c>
      <c r="W2077" s="640"/>
      <c r="X2077" s="641">
        <f t="shared" si="96"/>
        <v>3.4119676421603615</v>
      </c>
      <c r="Y2077" s="642" t="str">
        <f t="shared" si="97"/>
        <v/>
      </c>
      <c r="Z2077" s="642" t="str">
        <f t="shared" si="98"/>
        <v/>
      </c>
    </row>
    <row r="2078" spans="1:26" s="127" customFormat="1" ht="25">
      <c r="A2078" s="636">
        <v>63415</v>
      </c>
      <c r="B2078" s="637" t="s">
        <v>33</v>
      </c>
      <c r="C2078" s="636" t="s">
        <v>2725</v>
      </c>
      <c r="D2078" s="637" t="s">
        <v>3111</v>
      </c>
      <c r="E2078" s="637" t="s">
        <v>2166</v>
      </c>
      <c r="F2078" s="636">
        <v>61012</v>
      </c>
      <c r="G2078" s="637" t="s">
        <v>57</v>
      </c>
      <c r="H2078" s="637" t="s">
        <v>1162</v>
      </c>
      <c r="I2078" s="637" t="s">
        <v>58</v>
      </c>
      <c r="J2078" s="636">
        <v>22</v>
      </c>
      <c r="K2078" s="636">
        <v>2</v>
      </c>
      <c r="L2078" s="637" t="s">
        <v>52</v>
      </c>
      <c r="M2078" s="637" t="s">
        <v>1852</v>
      </c>
      <c r="N2078" s="637" t="s">
        <v>1035</v>
      </c>
      <c r="O2078" s="637" t="s">
        <v>82</v>
      </c>
      <c r="P2078" s="637" t="s">
        <v>2726</v>
      </c>
      <c r="Q2078" s="638">
        <v>434</v>
      </c>
      <c r="R2078" s="638">
        <v>434</v>
      </c>
      <c r="S2078" s="638">
        <v>0</v>
      </c>
      <c r="T2078" s="638">
        <v>0</v>
      </c>
      <c r="U2078" s="638">
        <v>-73</v>
      </c>
      <c r="V2078" s="636">
        <v>2022</v>
      </c>
      <c r="W2078" s="640"/>
      <c r="X2078" s="641" t="str">
        <f t="shared" si="96"/>
        <v/>
      </c>
      <c r="Y2078" s="642" t="str">
        <f t="shared" si="97"/>
        <v/>
      </c>
      <c r="Z2078" s="642" t="str">
        <f t="shared" si="98"/>
        <v/>
      </c>
    </row>
    <row r="2079" spans="1:26" s="127" customFormat="1" ht="25">
      <c r="A2079" s="636">
        <v>63415</v>
      </c>
      <c r="B2079" s="637" t="s">
        <v>33</v>
      </c>
      <c r="C2079" s="636" t="s">
        <v>2725</v>
      </c>
      <c r="D2079" s="637" t="s">
        <v>3111</v>
      </c>
      <c r="E2079" s="637" t="s">
        <v>2166</v>
      </c>
      <c r="F2079" s="636">
        <v>61012</v>
      </c>
      <c r="G2079" s="637" t="s">
        <v>57</v>
      </c>
      <c r="H2079" s="637" t="s">
        <v>1162</v>
      </c>
      <c r="I2079" s="637" t="s">
        <v>58</v>
      </c>
      <c r="J2079" s="636">
        <v>22</v>
      </c>
      <c r="K2079" s="636">
        <v>2</v>
      </c>
      <c r="L2079" s="637" t="s">
        <v>52</v>
      </c>
      <c r="M2079" s="637" t="s">
        <v>441</v>
      </c>
      <c r="N2079" s="637" t="s">
        <v>442</v>
      </c>
      <c r="O2079" s="637" t="s">
        <v>442</v>
      </c>
      <c r="P2079" s="637" t="s">
        <v>1156</v>
      </c>
      <c r="Q2079" s="638">
        <v>0</v>
      </c>
      <c r="R2079" s="638">
        <v>0</v>
      </c>
      <c r="S2079" s="638">
        <v>10686</v>
      </c>
      <c r="T2079" s="638">
        <v>10686</v>
      </c>
      <c r="U2079" s="638">
        <v>3132</v>
      </c>
      <c r="V2079" s="636">
        <v>2022</v>
      </c>
      <c r="W2079" s="640"/>
      <c r="X2079" s="641">
        <f t="shared" si="96"/>
        <v>3.4118773946360155</v>
      </c>
      <c r="Y2079" s="642" t="str">
        <f t="shared" si="97"/>
        <v/>
      </c>
      <c r="Z2079" s="642" t="str">
        <f t="shared" si="98"/>
        <v/>
      </c>
    </row>
    <row r="2080" spans="1:26" s="127" customFormat="1" ht="25">
      <c r="A2080" s="636">
        <v>63438</v>
      </c>
      <c r="B2080" s="637" t="s">
        <v>54</v>
      </c>
      <c r="C2080" s="636" t="s">
        <v>2725</v>
      </c>
      <c r="D2080" s="637" t="s">
        <v>2942</v>
      </c>
      <c r="E2080" s="637" t="s">
        <v>2942</v>
      </c>
      <c r="F2080" s="636">
        <v>65296</v>
      </c>
      <c r="G2080" s="637" t="s">
        <v>41</v>
      </c>
      <c r="H2080" s="637" t="s">
        <v>1163</v>
      </c>
      <c r="I2080" s="637" t="s">
        <v>58</v>
      </c>
      <c r="J2080" s="636">
        <v>22</v>
      </c>
      <c r="K2080" s="636">
        <v>3</v>
      </c>
      <c r="L2080" s="637" t="s">
        <v>55</v>
      </c>
      <c r="M2080" s="637" t="s">
        <v>1232</v>
      </c>
      <c r="N2080" s="637" t="s">
        <v>39</v>
      </c>
      <c r="O2080" s="637" t="s">
        <v>39</v>
      </c>
      <c r="P2080" s="637" t="s">
        <v>1020</v>
      </c>
      <c r="Q2080" s="638">
        <v>78257</v>
      </c>
      <c r="R2080" s="638">
        <v>78257</v>
      </c>
      <c r="S2080" s="638">
        <v>101735</v>
      </c>
      <c r="T2080" s="638">
        <v>101735</v>
      </c>
      <c r="U2080" s="638">
        <v>10865</v>
      </c>
      <c r="V2080" s="636">
        <v>2022</v>
      </c>
      <c r="W2080" s="640"/>
      <c r="X2080" s="641">
        <f t="shared" si="96"/>
        <v>9.3635526921306944</v>
      </c>
      <c r="Y2080" s="642" t="str">
        <f t="shared" si="97"/>
        <v/>
      </c>
      <c r="Z2080" s="642" t="str">
        <f t="shared" si="98"/>
        <v/>
      </c>
    </row>
    <row r="2081" spans="1:26" s="127" customFormat="1" ht="25">
      <c r="A2081" s="636">
        <v>63450</v>
      </c>
      <c r="B2081" s="637" t="s">
        <v>33</v>
      </c>
      <c r="C2081" s="636" t="s">
        <v>2725</v>
      </c>
      <c r="D2081" s="637" t="s">
        <v>2943</v>
      </c>
      <c r="E2081" s="637" t="s">
        <v>1626</v>
      </c>
      <c r="F2081" s="636">
        <v>58871</v>
      </c>
      <c r="G2081" s="637" t="s">
        <v>57</v>
      </c>
      <c r="H2081" s="637" t="s">
        <v>1162</v>
      </c>
      <c r="I2081" s="637" t="s">
        <v>58</v>
      </c>
      <c r="J2081" s="636">
        <v>22</v>
      </c>
      <c r="K2081" s="636">
        <v>2</v>
      </c>
      <c r="L2081" s="637" t="s">
        <v>52</v>
      </c>
      <c r="M2081" s="637" t="s">
        <v>441</v>
      </c>
      <c r="N2081" s="637" t="s">
        <v>442</v>
      </c>
      <c r="O2081" s="637" t="s">
        <v>442</v>
      </c>
      <c r="P2081" s="637" t="s">
        <v>1156</v>
      </c>
      <c r="Q2081" s="638">
        <v>0</v>
      </c>
      <c r="R2081" s="638">
        <v>0</v>
      </c>
      <c r="S2081" s="638">
        <v>22580</v>
      </c>
      <c r="T2081" s="638">
        <v>22580</v>
      </c>
      <c r="U2081" s="638">
        <v>6618</v>
      </c>
      <c r="V2081" s="636">
        <v>2022</v>
      </c>
      <c r="W2081" s="640"/>
      <c r="X2081" s="641">
        <f t="shared" si="96"/>
        <v>3.4119069205197947</v>
      </c>
      <c r="Y2081" s="642" t="str">
        <f t="shared" si="97"/>
        <v/>
      </c>
      <c r="Z2081" s="642" t="str">
        <f t="shared" si="98"/>
        <v/>
      </c>
    </row>
    <row r="2082" spans="1:26" s="127" customFormat="1" ht="25">
      <c r="A2082" s="636">
        <v>63468</v>
      </c>
      <c r="B2082" s="637" t="s">
        <v>33</v>
      </c>
      <c r="C2082" s="636" t="s">
        <v>2725</v>
      </c>
      <c r="D2082" s="637" t="s">
        <v>3112</v>
      </c>
      <c r="E2082" s="637" t="s">
        <v>2166</v>
      </c>
      <c r="F2082" s="636">
        <v>61012</v>
      </c>
      <c r="G2082" s="637" t="s">
        <v>81</v>
      </c>
      <c r="H2082" s="637" t="s">
        <v>1163</v>
      </c>
      <c r="I2082" s="637" t="s">
        <v>58</v>
      </c>
      <c r="J2082" s="636">
        <v>22</v>
      </c>
      <c r="K2082" s="636">
        <v>2</v>
      </c>
      <c r="L2082" s="637" t="s">
        <v>52</v>
      </c>
      <c r="M2082" s="637" t="s">
        <v>1852</v>
      </c>
      <c r="N2082" s="637" t="s">
        <v>1035</v>
      </c>
      <c r="O2082" s="637" t="s">
        <v>82</v>
      </c>
      <c r="P2082" s="637" t="s">
        <v>2726</v>
      </c>
      <c r="Q2082" s="638">
        <v>307</v>
      </c>
      <c r="R2082" s="638">
        <v>307</v>
      </c>
      <c r="S2082" s="638">
        <v>0</v>
      </c>
      <c r="T2082" s="638">
        <v>0</v>
      </c>
      <c r="U2082" s="638">
        <v>-17</v>
      </c>
      <c r="V2082" s="636">
        <v>2022</v>
      </c>
      <c r="W2082" s="640"/>
      <c r="X2082" s="641" t="str">
        <f t="shared" si="96"/>
        <v/>
      </c>
      <c r="Y2082" s="642" t="str">
        <f t="shared" si="97"/>
        <v/>
      </c>
      <c r="Z2082" s="642" t="str">
        <f t="shared" si="98"/>
        <v/>
      </c>
    </row>
    <row r="2083" spans="1:26" s="127" customFormat="1" ht="25">
      <c r="A2083" s="636">
        <v>63468</v>
      </c>
      <c r="B2083" s="637" t="s">
        <v>33</v>
      </c>
      <c r="C2083" s="636" t="s">
        <v>2725</v>
      </c>
      <c r="D2083" s="637" t="s">
        <v>3112</v>
      </c>
      <c r="E2083" s="637" t="s">
        <v>2166</v>
      </c>
      <c r="F2083" s="636">
        <v>61012</v>
      </c>
      <c r="G2083" s="637" t="s">
        <v>81</v>
      </c>
      <c r="H2083" s="637" t="s">
        <v>1163</v>
      </c>
      <c r="I2083" s="637" t="s">
        <v>58</v>
      </c>
      <c r="J2083" s="636">
        <v>22</v>
      </c>
      <c r="K2083" s="636">
        <v>2</v>
      </c>
      <c r="L2083" s="637" t="s">
        <v>52</v>
      </c>
      <c r="M2083" s="637" t="s">
        <v>441</v>
      </c>
      <c r="N2083" s="637" t="s">
        <v>442</v>
      </c>
      <c r="O2083" s="637" t="s">
        <v>442</v>
      </c>
      <c r="P2083" s="637" t="s">
        <v>1156</v>
      </c>
      <c r="Q2083" s="638">
        <v>0</v>
      </c>
      <c r="R2083" s="638">
        <v>0</v>
      </c>
      <c r="S2083" s="638">
        <v>10860</v>
      </c>
      <c r="T2083" s="638">
        <v>10860</v>
      </c>
      <c r="U2083" s="638">
        <v>3183</v>
      </c>
      <c r="V2083" s="636">
        <v>2022</v>
      </c>
      <c r="W2083" s="640"/>
      <c r="X2083" s="641">
        <f t="shared" si="96"/>
        <v>3.4118755890669181</v>
      </c>
      <c r="Y2083" s="642" t="str">
        <f t="shared" si="97"/>
        <v/>
      </c>
      <c r="Z2083" s="642" t="str">
        <f t="shared" si="98"/>
        <v/>
      </c>
    </row>
    <row r="2084" spans="1:26" s="127" customFormat="1" ht="25">
      <c r="A2084" s="636">
        <v>63469</v>
      </c>
      <c r="B2084" s="637" t="s">
        <v>33</v>
      </c>
      <c r="C2084" s="636" t="s">
        <v>2725</v>
      </c>
      <c r="D2084" s="637" t="s">
        <v>3113</v>
      </c>
      <c r="E2084" s="637" t="s">
        <v>2166</v>
      </c>
      <c r="F2084" s="636">
        <v>61012</v>
      </c>
      <c r="G2084" s="637" t="s">
        <v>81</v>
      </c>
      <c r="H2084" s="637" t="s">
        <v>1163</v>
      </c>
      <c r="I2084" s="637" t="s">
        <v>58</v>
      </c>
      <c r="J2084" s="636">
        <v>22</v>
      </c>
      <c r="K2084" s="636">
        <v>2</v>
      </c>
      <c r="L2084" s="637" t="s">
        <v>52</v>
      </c>
      <c r="M2084" s="637" t="s">
        <v>1852</v>
      </c>
      <c r="N2084" s="637" t="s">
        <v>1035</v>
      </c>
      <c r="O2084" s="637" t="s">
        <v>82</v>
      </c>
      <c r="P2084" s="637" t="s">
        <v>2726</v>
      </c>
      <c r="Q2084" s="638">
        <v>460</v>
      </c>
      <c r="R2084" s="638">
        <v>460</v>
      </c>
      <c r="S2084" s="638">
        <v>0</v>
      </c>
      <c r="T2084" s="638">
        <v>0</v>
      </c>
      <c r="U2084" s="638">
        <v>-15</v>
      </c>
      <c r="V2084" s="636">
        <v>2022</v>
      </c>
      <c r="W2084" s="640"/>
      <c r="X2084" s="641" t="str">
        <f t="shared" si="96"/>
        <v/>
      </c>
      <c r="Y2084" s="642" t="str">
        <f t="shared" si="97"/>
        <v/>
      </c>
      <c r="Z2084" s="642" t="str">
        <f t="shared" si="98"/>
        <v/>
      </c>
    </row>
    <row r="2085" spans="1:26" s="127" customFormat="1" ht="25">
      <c r="A2085" s="636">
        <v>63469</v>
      </c>
      <c r="B2085" s="637" t="s">
        <v>33</v>
      </c>
      <c r="C2085" s="636" t="s">
        <v>2725</v>
      </c>
      <c r="D2085" s="637" t="s">
        <v>3113</v>
      </c>
      <c r="E2085" s="637" t="s">
        <v>2166</v>
      </c>
      <c r="F2085" s="636">
        <v>61012</v>
      </c>
      <c r="G2085" s="637" t="s">
        <v>81</v>
      </c>
      <c r="H2085" s="637" t="s">
        <v>1163</v>
      </c>
      <c r="I2085" s="637" t="s">
        <v>58</v>
      </c>
      <c r="J2085" s="636">
        <v>22</v>
      </c>
      <c r="K2085" s="636">
        <v>2</v>
      </c>
      <c r="L2085" s="637" t="s">
        <v>52</v>
      </c>
      <c r="M2085" s="637" t="s">
        <v>441</v>
      </c>
      <c r="N2085" s="637" t="s">
        <v>442</v>
      </c>
      <c r="O2085" s="637" t="s">
        <v>442</v>
      </c>
      <c r="P2085" s="637" t="s">
        <v>1156</v>
      </c>
      <c r="Q2085" s="638">
        <v>0</v>
      </c>
      <c r="R2085" s="638">
        <v>0</v>
      </c>
      <c r="S2085" s="638">
        <v>14285</v>
      </c>
      <c r="T2085" s="638">
        <v>14285</v>
      </c>
      <c r="U2085" s="638">
        <v>4187</v>
      </c>
      <c r="V2085" s="636">
        <v>2022</v>
      </c>
      <c r="W2085" s="640"/>
      <c r="X2085" s="641">
        <f t="shared" si="96"/>
        <v>3.4117506567948412</v>
      </c>
      <c r="Y2085" s="642" t="str">
        <f t="shared" si="97"/>
        <v/>
      </c>
      <c r="Z2085" s="642" t="str">
        <f t="shared" si="98"/>
        <v/>
      </c>
    </row>
    <row r="2086" spans="1:26" s="127" customFormat="1" ht="25">
      <c r="A2086" s="636">
        <v>63470</v>
      </c>
      <c r="B2086" s="637" t="s">
        <v>33</v>
      </c>
      <c r="C2086" s="636" t="s">
        <v>2725</v>
      </c>
      <c r="D2086" s="637" t="s">
        <v>3114</v>
      </c>
      <c r="E2086" s="637" t="s">
        <v>2166</v>
      </c>
      <c r="F2086" s="636">
        <v>61012</v>
      </c>
      <c r="G2086" s="637" t="s">
        <v>81</v>
      </c>
      <c r="H2086" s="637" t="s">
        <v>1163</v>
      </c>
      <c r="I2086" s="637" t="s">
        <v>58</v>
      </c>
      <c r="J2086" s="636">
        <v>22</v>
      </c>
      <c r="K2086" s="636">
        <v>2</v>
      </c>
      <c r="L2086" s="637" t="s">
        <v>52</v>
      </c>
      <c r="M2086" s="637" t="s">
        <v>1852</v>
      </c>
      <c r="N2086" s="637" t="s">
        <v>1035</v>
      </c>
      <c r="O2086" s="637" t="s">
        <v>82</v>
      </c>
      <c r="P2086" s="637" t="s">
        <v>2726</v>
      </c>
      <c r="Q2086" s="638">
        <v>428</v>
      </c>
      <c r="R2086" s="638">
        <v>428</v>
      </c>
      <c r="S2086" s="638">
        <v>0</v>
      </c>
      <c r="T2086" s="638">
        <v>0</v>
      </c>
      <c r="U2086" s="638">
        <v>-69</v>
      </c>
      <c r="V2086" s="636">
        <v>2022</v>
      </c>
      <c r="W2086" s="640"/>
      <c r="X2086" s="641" t="str">
        <f t="shared" si="96"/>
        <v/>
      </c>
      <c r="Y2086" s="642" t="str">
        <f t="shared" si="97"/>
        <v/>
      </c>
      <c r="Z2086" s="642" t="str">
        <f t="shared" si="98"/>
        <v/>
      </c>
    </row>
    <row r="2087" spans="1:26" s="127" customFormat="1" ht="25">
      <c r="A2087" s="636">
        <v>63470</v>
      </c>
      <c r="B2087" s="637" t="s">
        <v>33</v>
      </c>
      <c r="C2087" s="636" t="s">
        <v>2725</v>
      </c>
      <c r="D2087" s="637" t="s">
        <v>3114</v>
      </c>
      <c r="E2087" s="637" t="s">
        <v>2166</v>
      </c>
      <c r="F2087" s="636">
        <v>61012</v>
      </c>
      <c r="G2087" s="637" t="s">
        <v>81</v>
      </c>
      <c r="H2087" s="637" t="s">
        <v>1163</v>
      </c>
      <c r="I2087" s="637" t="s">
        <v>58</v>
      </c>
      <c r="J2087" s="636">
        <v>22</v>
      </c>
      <c r="K2087" s="636">
        <v>2</v>
      </c>
      <c r="L2087" s="637" t="s">
        <v>52</v>
      </c>
      <c r="M2087" s="637" t="s">
        <v>441</v>
      </c>
      <c r="N2087" s="637" t="s">
        <v>442</v>
      </c>
      <c r="O2087" s="637" t="s">
        <v>442</v>
      </c>
      <c r="P2087" s="637" t="s">
        <v>1156</v>
      </c>
      <c r="Q2087" s="638">
        <v>0</v>
      </c>
      <c r="R2087" s="638">
        <v>0</v>
      </c>
      <c r="S2087" s="638">
        <v>26306</v>
      </c>
      <c r="T2087" s="638">
        <v>26306</v>
      </c>
      <c r="U2087" s="638">
        <v>7710</v>
      </c>
      <c r="V2087" s="636">
        <v>2022</v>
      </c>
      <c r="W2087" s="640"/>
      <c r="X2087" s="641">
        <f t="shared" si="96"/>
        <v>3.4119325551232165</v>
      </c>
      <c r="Y2087" s="642" t="str">
        <f t="shared" si="97"/>
        <v/>
      </c>
      <c r="Z2087" s="642" t="str">
        <f t="shared" si="98"/>
        <v/>
      </c>
    </row>
    <row r="2088" spans="1:26" s="127" customFormat="1" ht="25">
      <c r="A2088" s="636">
        <v>63472</v>
      </c>
      <c r="B2088" s="637" t="s">
        <v>33</v>
      </c>
      <c r="C2088" s="636" t="s">
        <v>2725</v>
      </c>
      <c r="D2088" s="637" t="s">
        <v>3115</v>
      </c>
      <c r="E2088" s="637" t="s">
        <v>2166</v>
      </c>
      <c r="F2088" s="636">
        <v>61012</v>
      </c>
      <c r="G2088" s="637" t="s">
        <v>81</v>
      </c>
      <c r="H2088" s="637" t="s">
        <v>1163</v>
      </c>
      <c r="I2088" s="637" t="s">
        <v>58</v>
      </c>
      <c r="J2088" s="636">
        <v>22</v>
      </c>
      <c r="K2088" s="636">
        <v>2</v>
      </c>
      <c r="L2088" s="637" t="s">
        <v>52</v>
      </c>
      <c r="M2088" s="637" t="s">
        <v>1852</v>
      </c>
      <c r="N2088" s="637" t="s">
        <v>1035</v>
      </c>
      <c r="O2088" s="637" t="s">
        <v>82</v>
      </c>
      <c r="P2088" s="637" t="s">
        <v>2726</v>
      </c>
      <c r="Q2088" s="638">
        <v>305</v>
      </c>
      <c r="R2088" s="638">
        <v>305</v>
      </c>
      <c r="S2088" s="638">
        <v>0</v>
      </c>
      <c r="T2088" s="638">
        <v>0</v>
      </c>
      <c r="U2088" s="638">
        <v>-43</v>
      </c>
      <c r="V2088" s="636">
        <v>2022</v>
      </c>
      <c r="W2088" s="640"/>
      <c r="X2088" s="641" t="str">
        <f t="shared" si="96"/>
        <v/>
      </c>
      <c r="Y2088" s="642" t="str">
        <f t="shared" si="97"/>
        <v/>
      </c>
      <c r="Z2088" s="642" t="str">
        <f t="shared" si="98"/>
        <v/>
      </c>
    </row>
    <row r="2089" spans="1:26" s="127" customFormat="1" ht="25">
      <c r="A2089" s="636">
        <v>63472</v>
      </c>
      <c r="B2089" s="637" t="s">
        <v>33</v>
      </c>
      <c r="C2089" s="636" t="s">
        <v>2725</v>
      </c>
      <c r="D2089" s="637" t="s">
        <v>3115</v>
      </c>
      <c r="E2089" s="637" t="s">
        <v>2166</v>
      </c>
      <c r="F2089" s="636">
        <v>61012</v>
      </c>
      <c r="G2089" s="637" t="s">
        <v>81</v>
      </c>
      <c r="H2089" s="637" t="s">
        <v>1163</v>
      </c>
      <c r="I2089" s="637" t="s">
        <v>58</v>
      </c>
      <c r="J2089" s="636">
        <v>22</v>
      </c>
      <c r="K2089" s="636">
        <v>2</v>
      </c>
      <c r="L2089" s="637" t="s">
        <v>52</v>
      </c>
      <c r="M2089" s="637" t="s">
        <v>441</v>
      </c>
      <c r="N2089" s="637" t="s">
        <v>442</v>
      </c>
      <c r="O2089" s="637" t="s">
        <v>442</v>
      </c>
      <c r="P2089" s="637" t="s">
        <v>1156</v>
      </c>
      <c r="Q2089" s="638">
        <v>0</v>
      </c>
      <c r="R2089" s="638">
        <v>0</v>
      </c>
      <c r="S2089" s="638">
        <v>10583</v>
      </c>
      <c r="T2089" s="638">
        <v>10583</v>
      </c>
      <c r="U2089" s="638">
        <v>3102</v>
      </c>
      <c r="V2089" s="636">
        <v>2022</v>
      </c>
      <c r="W2089" s="640"/>
      <c r="X2089" s="641">
        <f t="shared" si="96"/>
        <v>3.4116698903932945</v>
      </c>
      <c r="Y2089" s="642" t="str">
        <f t="shared" si="97"/>
        <v/>
      </c>
      <c r="Z2089" s="642" t="str">
        <f t="shared" si="98"/>
        <v/>
      </c>
    </row>
    <row r="2090" spans="1:26" s="127" customFormat="1" ht="25">
      <c r="A2090" s="636">
        <v>63473</v>
      </c>
      <c r="B2090" s="637" t="s">
        <v>33</v>
      </c>
      <c r="C2090" s="636" t="s">
        <v>2725</v>
      </c>
      <c r="D2090" s="637" t="s">
        <v>3116</v>
      </c>
      <c r="E2090" s="637" t="s">
        <v>2166</v>
      </c>
      <c r="F2090" s="636">
        <v>61012</v>
      </c>
      <c r="G2090" s="637" t="s">
        <v>81</v>
      </c>
      <c r="H2090" s="637" t="s">
        <v>1163</v>
      </c>
      <c r="I2090" s="637" t="s">
        <v>58</v>
      </c>
      <c r="J2090" s="636">
        <v>22</v>
      </c>
      <c r="K2090" s="636">
        <v>2</v>
      </c>
      <c r="L2090" s="637" t="s">
        <v>52</v>
      </c>
      <c r="M2090" s="637" t="s">
        <v>1852</v>
      </c>
      <c r="N2090" s="637" t="s">
        <v>1035</v>
      </c>
      <c r="O2090" s="637" t="s">
        <v>82</v>
      </c>
      <c r="P2090" s="637" t="s">
        <v>2726</v>
      </c>
      <c r="Q2090" s="638">
        <v>501</v>
      </c>
      <c r="R2090" s="638">
        <v>501</v>
      </c>
      <c r="S2090" s="638">
        <v>0</v>
      </c>
      <c r="T2090" s="638">
        <v>0</v>
      </c>
      <c r="U2090" s="638">
        <v>-49</v>
      </c>
      <c r="V2090" s="636">
        <v>2022</v>
      </c>
      <c r="W2090" s="640"/>
      <c r="X2090" s="641" t="str">
        <f t="shared" si="96"/>
        <v/>
      </c>
      <c r="Y2090" s="642" t="str">
        <f t="shared" si="97"/>
        <v/>
      </c>
      <c r="Z2090" s="642" t="str">
        <f t="shared" si="98"/>
        <v/>
      </c>
    </row>
    <row r="2091" spans="1:26" s="127" customFormat="1" ht="25">
      <c r="A2091" s="636">
        <v>63473</v>
      </c>
      <c r="B2091" s="637" t="s">
        <v>33</v>
      </c>
      <c r="C2091" s="636" t="s">
        <v>2725</v>
      </c>
      <c r="D2091" s="637" t="s">
        <v>3116</v>
      </c>
      <c r="E2091" s="637" t="s">
        <v>2166</v>
      </c>
      <c r="F2091" s="636">
        <v>61012</v>
      </c>
      <c r="G2091" s="637" t="s">
        <v>81</v>
      </c>
      <c r="H2091" s="637" t="s">
        <v>1163</v>
      </c>
      <c r="I2091" s="637" t="s">
        <v>58</v>
      </c>
      <c r="J2091" s="636">
        <v>22</v>
      </c>
      <c r="K2091" s="636">
        <v>2</v>
      </c>
      <c r="L2091" s="637" t="s">
        <v>52</v>
      </c>
      <c r="M2091" s="637" t="s">
        <v>441</v>
      </c>
      <c r="N2091" s="637" t="s">
        <v>442</v>
      </c>
      <c r="O2091" s="637" t="s">
        <v>442</v>
      </c>
      <c r="P2091" s="637" t="s">
        <v>1156</v>
      </c>
      <c r="Q2091" s="638">
        <v>0</v>
      </c>
      <c r="R2091" s="638">
        <v>0</v>
      </c>
      <c r="S2091" s="638">
        <v>17162</v>
      </c>
      <c r="T2091" s="638">
        <v>17162</v>
      </c>
      <c r="U2091" s="638">
        <v>5030</v>
      </c>
      <c r="V2091" s="636">
        <v>2022</v>
      </c>
      <c r="W2091" s="640"/>
      <c r="X2091" s="641">
        <f t="shared" si="96"/>
        <v>3.4119284294234591</v>
      </c>
      <c r="Y2091" s="642" t="str">
        <f t="shared" si="97"/>
        <v/>
      </c>
      <c r="Z2091" s="642" t="str">
        <f t="shared" si="98"/>
        <v/>
      </c>
    </row>
    <row r="2092" spans="1:26" s="127" customFormat="1" ht="25">
      <c r="A2092" s="636">
        <v>63474</v>
      </c>
      <c r="B2092" s="637" t="s">
        <v>33</v>
      </c>
      <c r="C2092" s="636" t="s">
        <v>2725</v>
      </c>
      <c r="D2092" s="637" t="s">
        <v>3117</v>
      </c>
      <c r="E2092" s="637" t="s">
        <v>2166</v>
      </c>
      <c r="F2092" s="636">
        <v>61012</v>
      </c>
      <c r="G2092" s="637" t="s">
        <v>81</v>
      </c>
      <c r="H2092" s="637" t="s">
        <v>1163</v>
      </c>
      <c r="I2092" s="637" t="s">
        <v>58</v>
      </c>
      <c r="J2092" s="636">
        <v>22</v>
      </c>
      <c r="K2092" s="636">
        <v>2</v>
      </c>
      <c r="L2092" s="637" t="s">
        <v>52</v>
      </c>
      <c r="M2092" s="637" t="s">
        <v>1852</v>
      </c>
      <c r="N2092" s="637" t="s">
        <v>1035</v>
      </c>
      <c r="O2092" s="637" t="s">
        <v>82</v>
      </c>
      <c r="P2092" s="637" t="s">
        <v>2726</v>
      </c>
      <c r="Q2092" s="638">
        <v>961</v>
      </c>
      <c r="R2092" s="638">
        <v>961</v>
      </c>
      <c r="S2092" s="638">
        <v>0</v>
      </c>
      <c r="T2092" s="638">
        <v>0</v>
      </c>
      <c r="U2092" s="638">
        <v>-181</v>
      </c>
      <c r="V2092" s="636">
        <v>2022</v>
      </c>
      <c r="W2092" s="640"/>
      <c r="X2092" s="641" t="str">
        <f t="shared" si="96"/>
        <v/>
      </c>
      <c r="Y2092" s="642" t="str">
        <f t="shared" si="97"/>
        <v/>
      </c>
      <c r="Z2092" s="642" t="str">
        <f t="shared" si="98"/>
        <v/>
      </c>
    </row>
    <row r="2093" spans="1:26" s="127" customFormat="1" ht="25">
      <c r="A2093" s="636">
        <v>63474</v>
      </c>
      <c r="B2093" s="637" t="s">
        <v>33</v>
      </c>
      <c r="C2093" s="636" t="s">
        <v>2725</v>
      </c>
      <c r="D2093" s="637" t="s">
        <v>3117</v>
      </c>
      <c r="E2093" s="637" t="s">
        <v>2166</v>
      </c>
      <c r="F2093" s="636">
        <v>61012</v>
      </c>
      <c r="G2093" s="637" t="s">
        <v>81</v>
      </c>
      <c r="H2093" s="637" t="s">
        <v>1163</v>
      </c>
      <c r="I2093" s="637" t="s">
        <v>58</v>
      </c>
      <c r="J2093" s="636">
        <v>22</v>
      </c>
      <c r="K2093" s="636">
        <v>2</v>
      </c>
      <c r="L2093" s="637" t="s">
        <v>52</v>
      </c>
      <c r="M2093" s="637" t="s">
        <v>441</v>
      </c>
      <c r="N2093" s="637" t="s">
        <v>442</v>
      </c>
      <c r="O2093" s="637" t="s">
        <v>442</v>
      </c>
      <c r="P2093" s="637" t="s">
        <v>1156</v>
      </c>
      <c r="Q2093" s="638">
        <v>0</v>
      </c>
      <c r="R2093" s="638">
        <v>0</v>
      </c>
      <c r="S2093" s="638">
        <v>27970</v>
      </c>
      <c r="T2093" s="638">
        <v>27970</v>
      </c>
      <c r="U2093" s="638">
        <v>8198</v>
      </c>
      <c r="V2093" s="636">
        <v>2022</v>
      </c>
      <c r="W2093" s="640"/>
      <c r="X2093" s="641">
        <f t="shared" si="96"/>
        <v>3.4118077579897537</v>
      </c>
      <c r="Y2093" s="642" t="str">
        <f t="shared" si="97"/>
        <v/>
      </c>
      <c r="Z2093" s="642" t="str">
        <f t="shared" si="98"/>
        <v/>
      </c>
    </row>
    <row r="2094" spans="1:26" s="127" customFormat="1" ht="25">
      <c r="A2094" s="636">
        <v>63475</v>
      </c>
      <c r="B2094" s="637" t="s">
        <v>33</v>
      </c>
      <c r="C2094" s="636" t="s">
        <v>2725</v>
      </c>
      <c r="D2094" s="637" t="s">
        <v>3326</v>
      </c>
      <c r="E2094" s="637" t="s">
        <v>2166</v>
      </c>
      <c r="F2094" s="636">
        <v>61012</v>
      </c>
      <c r="G2094" s="637" t="s">
        <v>81</v>
      </c>
      <c r="H2094" s="637" t="s">
        <v>1163</v>
      </c>
      <c r="I2094" s="637" t="s">
        <v>58</v>
      </c>
      <c r="J2094" s="636">
        <v>22</v>
      </c>
      <c r="K2094" s="636">
        <v>2</v>
      </c>
      <c r="L2094" s="637" t="s">
        <v>52</v>
      </c>
      <c r="M2094" s="637" t="s">
        <v>1852</v>
      </c>
      <c r="N2094" s="637" t="s">
        <v>1035</v>
      </c>
      <c r="O2094" s="637" t="s">
        <v>82</v>
      </c>
      <c r="P2094" s="637" t="s">
        <v>2726</v>
      </c>
      <c r="Q2094" s="638">
        <v>262</v>
      </c>
      <c r="R2094" s="638">
        <v>262</v>
      </c>
      <c r="S2094" s="638">
        <v>0</v>
      </c>
      <c r="T2094" s="638">
        <v>0</v>
      </c>
      <c r="U2094" s="638">
        <v>41</v>
      </c>
      <c r="V2094" s="636">
        <v>2022</v>
      </c>
      <c r="W2094" s="640"/>
      <c r="X2094" s="641" t="str">
        <f t="shared" si="96"/>
        <v/>
      </c>
      <c r="Y2094" s="642" t="str">
        <f t="shared" si="97"/>
        <v/>
      </c>
      <c r="Z2094" s="642" t="str">
        <f t="shared" si="98"/>
        <v/>
      </c>
    </row>
    <row r="2095" spans="1:26" s="127" customFormat="1" ht="25">
      <c r="A2095" s="636">
        <v>63475</v>
      </c>
      <c r="B2095" s="637" t="s">
        <v>33</v>
      </c>
      <c r="C2095" s="636" t="s">
        <v>2725</v>
      </c>
      <c r="D2095" s="637" t="s">
        <v>3326</v>
      </c>
      <c r="E2095" s="637" t="s">
        <v>2166</v>
      </c>
      <c r="F2095" s="636">
        <v>61012</v>
      </c>
      <c r="G2095" s="637" t="s">
        <v>81</v>
      </c>
      <c r="H2095" s="637" t="s">
        <v>1163</v>
      </c>
      <c r="I2095" s="637" t="s">
        <v>58</v>
      </c>
      <c r="J2095" s="636">
        <v>22</v>
      </c>
      <c r="K2095" s="636">
        <v>2</v>
      </c>
      <c r="L2095" s="637" t="s">
        <v>52</v>
      </c>
      <c r="M2095" s="637" t="s">
        <v>441</v>
      </c>
      <c r="N2095" s="637" t="s">
        <v>442</v>
      </c>
      <c r="O2095" s="637" t="s">
        <v>442</v>
      </c>
      <c r="P2095" s="637" t="s">
        <v>1156</v>
      </c>
      <c r="Q2095" s="638">
        <v>0</v>
      </c>
      <c r="R2095" s="638">
        <v>0</v>
      </c>
      <c r="S2095" s="638">
        <v>21464</v>
      </c>
      <c r="T2095" s="638">
        <v>21464</v>
      </c>
      <c r="U2095" s="638">
        <v>6291</v>
      </c>
      <c r="V2095" s="636">
        <v>2022</v>
      </c>
      <c r="W2095" s="640"/>
      <c r="X2095" s="641">
        <f t="shared" si="96"/>
        <v>3.4118582101414718</v>
      </c>
      <c r="Y2095" s="642" t="str">
        <f t="shared" si="97"/>
        <v/>
      </c>
      <c r="Z2095" s="642" t="str">
        <f t="shared" si="98"/>
        <v/>
      </c>
    </row>
    <row r="2096" spans="1:26" s="127" customFormat="1" ht="25">
      <c r="A2096" s="636">
        <v>63497</v>
      </c>
      <c r="B2096" s="637" t="s">
        <v>33</v>
      </c>
      <c r="C2096" s="636" t="s">
        <v>2725</v>
      </c>
      <c r="D2096" s="637" t="s">
        <v>2944</v>
      </c>
      <c r="E2096" s="637" t="s">
        <v>3055</v>
      </c>
      <c r="F2096" s="636">
        <v>63970</v>
      </c>
      <c r="G2096" s="637" t="s">
        <v>57</v>
      </c>
      <c r="H2096" s="637" t="s">
        <v>1162</v>
      </c>
      <c r="I2096" s="637" t="s">
        <v>58</v>
      </c>
      <c r="J2096" s="636">
        <v>22</v>
      </c>
      <c r="K2096" s="636">
        <v>2</v>
      </c>
      <c r="L2096" s="637" t="s">
        <v>52</v>
      </c>
      <c r="M2096" s="637" t="s">
        <v>441</v>
      </c>
      <c r="N2096" s="637" t="s">
        <v>442</v>
      </c>
      <c r="O2096" s="637" t="s">
        <v>442</v>
      </c>
      <c r="P2096" s="637" t="s">
        <v>1156</v>
      </c>
      <c r="Q2096" s="638">
        <v>0</v>
      </c>
      <c r="R2096" s="638">
        <v>0</v>
      </c>
      <c r="S2096" s="638">
        <v>7851</v>
      </c>
      <c r="T2096" s="638">
        <v>7851</v>
      </c>
      <c r="U2096" s="638">
        <v>2301</v>
      </c>
      <c r="V2096" s="636">
        <v>2022</v>
      </c>
      <c r="W2096" s="640"/>
      <c r="X2096" s="641">
        <f t="shared" si="96"/>
        <v>3.4119947848761409</v>
      </c>
      <c r="Y2096" s="642" t="str">
        <f t="shared" si="97"/>
        <v/>
      </c>
      <c r="Z2096" s="642" t="str">
        <f t="shared" si="98"/>
        <v/>
      </c>
    </row>
    <row r="2097" spans="1:26" s="127" customFormat="1" ht="25">
      <c r="A2097" s="636">
        <v>63498</v>
      </c>
      <c r="B2097" s="637" t="s">
        <v>33</v>
      </c>
      <c r="C2097" s="636" t="s">
        <v>2725</v>
      </c>
      <c r="D2097" s="637" t="s">
        <v>2945</v>
      </c>
      <c r="E2097" s="637" t="s">
        <v>3055</v>
      </c>
      <c r="F2097" s="636">
        <v>63970</v>
      </c>
      <c r="G2097" s="637" t="s">
        <v>57</v>
      </c>
      <c r="H2097" s="637" t="s">
        <v>1162</v>
      </c>
      <c r="I2097" s="637" t="s">
        <v>58</v>
      </c>
      <c r="J2097" s="636">
        <v>22</v>
      </c>
      <c r="K2097" s="636">
        <v>2</v>
      </c>
      <c r="L2097" s="637" t="s">
        <v>52</v>
      </c>
      <c r="M2097" s="637" t="s">
        <v>441</v>
      </c>
      <c r="N2097" s="637" t="s">
        <v>442</v>
      </c>
      <c r="O2097" s="637" t="s">
        <v>442</v>
      </c>
      <c r="P2097" s="637" t="s">
        <v>1156</v>
      </c>
      <c r="Q2097" s="638">
        <v>0</v>
      </c>
      <c r="R2097" s="638">
        <v>0</v>
      </c>
      <c r="S2097" s="638">
        <v>7953</v>
      </c>
      <c r="T2097" s="638">
        <v>7953</v>
      </c>
      <c r="U2097" s="638">
        <v>2331</v>
      </c>
      <c r="V2097" s="636">
        <v>2022</v>
      </c>
      <c r="W2097" s="640"/>
      <c r="X2097" s="641">
        <f t="shared" si="96"/>
        <v>3.4118404118404118</v>
      </c>
      <c r="Y2097" s="642" t="str">
        <f t="shared" si="97"/>
        <v/>
      </c>
      <c r="Z2097" s="642" t="str">
        <f t="shared" si="98"/>
        <v/>
      </c>
    </row>
    <row r="2098" spans="1:26" s="127" customFormat="1" ht="25">
      <c r="A2098" s="636">
        <v>63511</v>
      </c>
      <c r="B2098" s="637" t="s">
        <v>33</v>
      </c>
      <c r="C2098" s="636" t="s">
        <v>2725</v>
      </c>
      <c r="D2098" s="637" t="s">
        <v>2946</v>
      </c>
      <c r="E2098" s="637" t="s">
        <v>1883</v>
      </c>
      <c r="F2098" s="636">
        <v>60947</v>
      </c>
      <c r="G2098" s="637" t="s">
        <v>57</v>
      </c>
      <c r="H2098" s="637" t="s">
        <v>1162</v>
      </c>
      <c r="I2098" s="637" t="s">
        <v>58</v>
      </c>
      <c r="J2098" s="636">
        <v>22</v>
      </c>
      <c r="K2098" s="636">
        <v>2</v>
      </c>
      <c r="L2098" s="637" t="s">
        <v>52</v>
      </c>
      <c r="M2098" s="637" t="s">
        <v>441</v>
      </c>
      <c r="N2098" s="637" t="s">
        <v>442</v>
      </c>
      <c r="O2098" s="637" t="s">
        <v>442</v>
      </c>
      <c r="P2098" s="637" t="s">
        <v>1156</v>
      </c>
      <c r="Q2098" s="638">
        <v>0</v>
      </c>
      <c r="R2098" s="638">
        <v>0</v>
      </c>
      <c r="S2098" s="638">
        <v>6388</v>
      </c>
      <c r="T2098" s="638">
        <v>6388</v>
      </c>
      <c r="U2098" s="638">
        <v>1872</v>
      </c>
      <c r="V2098" s="636">
        <v>2022</v>
      </c>
      <c r="W2098" s="640"/>
      <c r="X2098" s="641">
        <f t="shared" si="96"/>
        <v>3.4123931623931623</v>
      </c>
      <c r="Y2098" s="642" t="str">
        <f t="shared" si="97"/>
        <v/>
      </c>
      <c r="Z2098" s="642" t="str">
        <f t="shared" si="98"/>
        <v/>
      </c>
    </row>
    <row r="2099" spans="1:26" s="127" customFormat="1" ht="25">
      <c r="A2099" s="636">
        <v>63537</v>
      </c>
      <c r="B2099" s="637" t="s">
        <v>33</v>
      </c>
      <c r="C2099" s="636" t="s">
        <v>2725</v>
      </c>
      <c r="D2099" s="637" t="s">
        <v>3118</v>
      </c>
      <c r="E2099" s="637" t="s">
        <v>2947</v>
      </c>
      <c r="F2099" s="636">
        <v>63259</v>
      </c>
      <c r="G2099" s="637" t="s">
        <v>41</v>
      </c>
      <c r="H2099" s="637" t="s">
        <v>1163</v>
      </c>
      <c r="I2099" s="637" t="s">
        <v>58</v>
      </c>
      <c r="J2099" s="636">
        <v>22</v>
      </c>
      <c r="K2099" s="636">
        <v>2</v>
      </c>
      <c r="L2099" s="637" t="s">
        <v>52</v>
      </c>
      <c r="M2099" s="637" t="s">
        <v>441</v>
      </c>
      <c r="N2099" s="637" t="s">
        <v>442</v>
      </c>
      <c r="O2099" s="637" t="s">
        <v>442</v>
      </c>
      <c r="P2099" s="637" t="s">
        <v>1156</v>
      </c>
      <c r="Q2099" s="638">
        <v>0</v>
      </c>
      <c r="R2099" s="638">
        <v>0</v>
      </c>
      <c r="S2099" s="638">
        <v>3636</v>
      </c>
      <c r="T2099" s="638">
        <v>3636</v>
      </c>
      <c r="U2099" s="638">
        <v>1066</v>
      </c>
      <c r="V2099" s="636">
        <v>2022</v>
      </c>
      <c r="W2099" s="640"/>
      <c r="X2099" s="641">
        <f t="shared" si="96"/>
        <v>3.4108818011257034</v>
      </c>
      <c r="Y2099" s="642" t="str">
        <f t="shared" si="97"/>
        <v/>
      </c>
      <c r="Z2099" s="642" t="str">
        <f t="shared" si="98"/>
        <v/>
      </c>
    </row>
    <row r="2100" spans="1:26" s="127" customFormat="1" ht="37.5" hidden="1">
      <c r="A2100" s="636">
        <v>63544</v>
      </c>
      <c r="B2100" s="637" t="s">
        <v>33</v>
      </c>
      <c r="C2100" s="636" t="s">
        <v>2725</v>
      </c>
      <c r="D2100" s="637" t="s">
        <v>3654</v>
      </c>
      <c r="E2100" s="637" t="s">
        <v>3654</v>
      </c>
      <c r="F2100" s="636">
        <v>63266</v>
      </c>
      <c r="G2100" s="637" t="s">
        <v>57</v>
      </c>
      <c r="H2100" s="637" t="s">
        <v>1162</v>
      </c>
      <c r="I2100" s="637" t="s">
        <v>58</v>
      </c>
      <c r="J2100" s="636">
        <v>611</v>
      </c>
      <c r="K2100" s="636">
        <v>4</v>
      </c>
      <c r="L2100" s="637" t="s">
        <v>406</v>
      </c>
      <c r="M2100" s="637" t="s">
        <v>51</v>
      </c>
      <c r="N2100" s="637" t="s">
        <v>46</v>
      </c>
      <c r="O2100" s="637" t="s">
        <v>46</v>
      </c>
      <c r="P2100" s="637" t="s">
        <v>47</v>
      </c>
      <c r="Q2100" s="638">
        <v>37</v>
      </c>
      <c r="R2100" s="638">
        <v>37</v>
      </c>
      <c r="S2100" s="638">
        <v>229</v>
      </c>
      <c r="T2100" s="638">
        <v>229</v>
      </c>
      <c r="U2100" s="638">
        <v>17</v>
      </c>
      <c r="V2100" s="636">
        <v>2022</v>
      </c>
      <c r="W2100" s="640"/>
      <c r="X2100" s="641" t="str">
        <f t="shared" si="96"/>
        <v/>
      </c>
      <c r="Y2100" s="642" t="str">
        <f t="shared" si="97"/>
        <v/>
      </c>
      <c r="Z2100" s="642" t="str">
        <f t="shared" si="98"/>
        <v/>
      </c>
    </row>
    <row r="2101" spans="1:26" s="127" customFormat="1" ht="25">
      <c r="A2101" s="636">
        <v>63555</v>
      </c>
      <c r="B2101" s="637" t="s">
        <v>33</v>
      </c>
      <c r="C2101" s="636" t="s">
        <v>2725</v>
      </c>
      <c r="D2101" s="637" t="s">
        <v>2948</v>
      </c>
      <c r="E2101" s="637" t="s">
        <v>2949</v>
      </c>
      <c r="F2101" s="636">
        <v>63281</v>
      </c>
      <c r="G2101" s="637" t="s">
        <v>81</v>
      </c>
      <c r="H2101" s="637" t="s">
        <v>1163</v>
      </c>
      <c r="I2101" s="637" t="s">
        <v>58</v>
      </c>
      <c r="J2101" s="636">
        <v>22</v>
      </c>
      <c r="K2101" s="636">
        <v>2</v>
      </c>
      <c r="L2101" s="637" t="s">
        <v>52</v>
      </c>
      <c r="M2101" s="637" t="s">
        <v>441</v>
      </c>
      <c r="N2101" s="637" t="s">
        <v>442</v>
      </c>
      <c r="O2101" s="637" t="s">
        <v>442</v>
      </c>
      <c r="P2101" s="637" t="s">
        <v>1156</v>
      </c>
      <c r="Q2101" s="638">
        <v>0</v>
      </c>
      <c r="R2101" s="638">
        <v>0</v>
      </c>
      <c r="S2101" s="638">
        <v>5954</v>
      </c>
      <c r="T2101" s="638">
        <v>5954</v>
      </c>
      <c r="U2101" s="638">
        <v>1745</v>
      </c>
      <c r="V2101" s="636">
        <v>2022</v>
      </c>
      <c r="W2101" s="640"/>
      <c r="X2101" s="641">
        <f t="shared" si="96"/>
        <v>3.4120343839541549</v>
      </c>
      <c r="Y2101" s="642" t="str">
        <f t="shared" si="97"/>
        <v/>
      </c>
      <c r="Z2101" s="642" t="str">
        <f t="shared" si="98"/>
        <v/>
      </c>
    </row>
    <row r="2102" spans="1:26" s="127" customFormat="1" ht="25">
      <c r="A2102" s="636">
        <v>63556</v>
      </c>
      <c r="B2102" s="637" t="s">
        <v>33</v>
      </c>
      <c r="C2102" s="636" t="s">
        <v>2725</v>
      </c>
      <c r="D2102" s="637" t="s">
        <v>2950</v>
      </c>
      <c r="E2102" s="637" t="s">
        <v>2949</v>
      </c>
      <c r="F2102" s="636">
        <v>63281</v>
      </c>
      <c r="G2102" s="637" t="s">
        <v>81</v>
      </c>
      <c r="H2102" s="637" t="s">
        <v>1163</v>
      </c>
      <c r="I2102" s="637" t="s">
        <v>58</v>
      </c>
      <c r="J2102" s="636">
        <v>22</v>
      </c>
      <c r="K2102" s="636">
        <v>2</v>
      </c>
      <c r="L2102" s="637" t="s">
        <v>52</v>
      </c>
      <c r="M2102" s="637" t="s">
        <v>441</v>
      </c>
      <c r="N2102" s="637" t="s">
        <v>442</v>
      </c>
      <c r="O2102" s="637" t="s">
        <v>442</v>
      </c>
      <c r="P2102" s="637" t="s">
        <v>1156</v>
      </c>
      <c r="Q2102" s="638">
        <v>0</v>
      </c>
      <c r="R2102" s="638">
        <v>0</v>
      </c>
      <c r="S2102" s="638">
        <v>16623</v>
      </c>
      <c r="T2102" s="638">
        <v>16623</v>
      </c>
      <c r="U2102" s="638">
        <v>4872</v>
      </c>
      <c r="V2102" s="636">
        <v>2022</v>
      </c>
      <c r="W2102" s="640"/>
      <c r="X2102" s="641">
        <f t="shared" si="96"/>
        <v>3.4119458128078817</v>
      </c>
      <c r="Y2102" s="642" t="str">
        <f t="shared" si="97"/>
        <v/>
      </c>
      <c r="Z2102" s="642" t="str">
        <f t="shared" si="98"/>
        <v/>
      </c>
    </row>
    <row r="2103" spans="1:26" s="127" customFormat="1" ht="25">
      <c r="A2103" s="636">
        <v>63557</v>
      </c>
      <c r="B2103" s="637" t="s">
        <v>33</v>
      </c>
      <c r="C2103" s="636" t="s">
        <v>2725</v>
      </c>
      <c r="D2103" s="637" t="s">
        <v>2951</v>
      </c>
      <c r="E2103" s="637" t="s">
        <v>2949</v>
      </c>
      <c r="F2103" s="636">
        <v>63281</v>
      </c>
      <c r="G2103" s="637" t="s">
        <v>81</v>
      </c>
      <c r="H2103" s="637" t="s">
        <v>1163</v>
      </c>
      <c r="I2103" s="637" t="s">
        <v>58</v>
      </c>
      <c r="J2103" s="636">
        <v>22</v>
      </c>
      <c r="K2103" s="636">
        <v>2</v>
      </c>
      <c r="L2103" s="637" t="s">
        <v>52</v>
      </c>
      <c r="M2103" s="637" t="s">
        <v>441</v>
      </c>
      <c r="N2103" s="637" t="s">
        <v>442</v>
      </c>
      <c r="O2103" s="637" t="s">
        <v>442</v>
      </c>
      <c r="P2103" s="637" t="s">
        <v>1156</v>
      </c>
      <c r="Q2103" s="638">
        <v>0</v>
      </c>
      <c r="R2103" s="638">
        <v>0</v>
      </c>
      <c r="S2103" s="638">
        <v>6053</v>
      </c>
      <c r="T2103" s="638">
        <v>6053</v>
      </c>
      <c r="U2103" s="638">
        <v>1774</v>
      </c>
      <c r="V2103" s="636">
        <v>2022</v>
      </c>
      <c r="W2103" s="640"/>
      <c r="X2103" s="641">
        <f t="shared" si="96"/>
        <v>3.41206313416009</v>
      </c>
      <c r="Y2103" s="642" t="str">
        <f t="shared" si="97"/>
        <v/>
      </c>
      <c r="Z2103" s="642" t="str">
        <f t="shared" si="98"/>
        <v/>
      </c>
    </row>
    <row r="2104" spans="1:26" s="127" customFormat="1" ht="25">
      <c r="A2104" s="636">
        <v>63558</v>
      </c>
      <c r="B2104" s="637" t="s">
        <v>33</v>
      </c>
      <c r="C2104" s="636" t="s">
        <v>2725</v>
      </c>
      <c r="D2104" s="637" t="s">
        <v>2952</v>
      </c>
      <c r="E2104" s="637" t="s">
        <v>2949</v>
      </c>
      <c r="F2104" s="636">
        <v>63281</v>
      </c>
      <c r="G2104" s="637" t="s">
        <v>81</v>
      </c>
      <c r="H2104" s="637" t="s">
        <v>1163</v>
      </c>
      <c r="I2104" s="637" t="s">
        <v>58</v>
      </c>
      <c r="J2104" s="636">
        <v>22</v>
      </c>
      <c r="K2104" s="636">
        <v>2</v>
      </c>
      <c r="L2104" s="637" t="s">
        <v>52</v>
      </c>
      <c r="M2104" s="637" t="s">
        <v>441</v>
      </c>
      <c r="N2104" s="637" t="s">
        <v>442</v>
      </c>
      <c r="O2104" s="637" t="s">
        <v>442</v>
      </c>
      <c r="P2104" s="637" t="s">
        <v>1156</v>
      </c>
      <c r="Q2104" s="638">
        <v>0</v>
      </c>
      <c r="R2104" s="638">
        <v>0</v>
      </c>
      <c r="S2104" s="638">
        <v>5963</v>
      </c>
      <c r="T2104" s="638">
        <v>5963</v>
      </c>
      <c r="U2104" s="638">
        <v>1748</v>
      </c>
      <c r="V2104" s="636">
        <v>2022</v>
      </c>
      <c r="W2104" s="640"/>
      <c r="X2104" s="641">
        <f t="shared" si="96"/>
        <v>3.4113272311212817</v>
      </c>
      <c r="Y2104" s="642" t="str">
        <f t="shared" si="97"/>
        <v/>
      </c>
      <c r="Z2104" s="642" t="str">
        <f t="shared" si="98"/>
        <v/>
      </c>
    </row>
    <row r="2105" spans="1:26" s="127" customFormat="1" ht="25">
      <c r="A2105" s="636">
        <v>63561</v>
      </c>
      <c r="B2105" s="637" t="s">
        <v>33</v>
      </c>
      <c r="C2105" s="636" t="s">
        <v>2725</v>
      </c>
      <c r="D2105" s="637" t="s">
        <v>2953</v>
      </c>
      <c r="E2105" s="637" t="s">
        <v>2949</v>
      </c>
      <c r="F2105" s="636">
        <v>63281</v>
      </c>
      <c r="G2105" s="637" t="s">
        <v>81</v>
      </c>
      <c r="H2105" s="637" t="s">
        <v>1163</v>
      </c>
      <c r="I2105" s="637" t="s">
        <v>58</v>
      </c>
      <c r="J2105" s="636">
        <v>22</v>
      </c>
      <c r="K2105" s="636">
        <v>2</v>
      </c>
      <c r="L2105" s="637" t="s">
        <v>52</v>
      </c>
      <c r="M2105" s="637" t="s">
        <v>441</v>
      </c>
      <c r="N2105" s="637" t="s">
        <v>442</v>
      </c>
      <c r="O2105" s="637" t="s">
        <v>442</v>
      </c>
      <c r="P2105" s="637" t="s">
        <v>1156</v>
      </c>
      <c r="Q2105" s="638">
        <v>0</v>
      </c>
      <c r="R2105" s="638">
        <v>0</v>
      </c>
      <c r="S2105" s="638">
        <v>5570</v>
      </c>
      <c r="T2105" s="638">
        <v>5570</v>
      </c>
      <c r="U2105" s="638">
        <v>1632</v>
      </c>
      <c r="V2105" s="636">
        <v>2022</v>
      </c>
      <c r="W2105" s="640"/>
      <c r="X2105" s="641">
        <f t="shared" si="96"/>
        <v>3.4129901960784315</v>
      </c>
      <c r="Y2105" s="642" t="str">
        <f t="shared" si="97"/>
        <v/>
      </c>
      <c r="Z2105" s="642" t="str">
        <f t="shared" si="98"/>
        <v/>
      </c>
    </row>
    <row r="2106" spans="1:26" s="127" customFormat="1" ht="25">
      <c r="A2106" s="636">
        <v>63562</v>
      </c>
      <c r="B2106" s="637" t="s">
        <v>33</v>
      </c>
      <c r="C2106" s="636" t="s">
        <v>2725</v>
      </c>
      <c r="D2106" s="637" t="s">
        <v>2954</v>
      </c>
      <c r="E2106" s="637" t="s">
        <v>2949</v>
      </c>
      <c r="F2106" s="636">
        <v>63281</v>
      </c>
      <c r="G2106" s="637" t="s">
        <v>81</v>
      </c>
      <c r="H2106" s="637" t="s">
        <v>1163</v>
      </c>
      <c r="I2106" s="637" t="s">
        <v>58</v>
      </c>
      <c r="J2106" s="636">
        <v>22</v>
      </c>
      <c r="K2106" s="636">
        <v>2</v>
      </c>
      <c r="L2106" s="637" t="s">
        <v>52</v>
      </c>
      <c r="M2106" s="637" t="s">
        <v>441</v>
      </c>
      <c r="N2106" s="637" t="s">
        <v>442</v>
      </c>
      <c r="O2106" s="637" t="s">
        <v>442</v>
      </c>
      <c r="P2106" s="637" t="s">
        <v>1156</v>
      </c>
      <c r="Q2106" s="638">
        <v>0</v>
      </c>
      <c r="R2106" s="638">
        <v>0</v>
      </c>
      <c r="S2106" s="638">
        <v>13504</v>
      </c>
      <c r="T2106" s="638">
        <v>13504</v>
      </c>
      <c r="U2106" s="638">
        <v>3958</v>
      </c>
      <c r="V2106" s="636">
        <v>2022</v>
      </c>
      <c r="W2106" s="640"/>
      <c r="X2106" s="641">
        <f t="shared" si="96"/>
        <v>3.4118241536129359</v>
      </c>
      <c r="Y2106" s="642" t="str">
        <f t="shared" si="97"/>
        <v/>
      </c>
      <c r="Z2106" s="642" t="str">
        <f t="shared" si="98"/>
        <v/>
      </c>
    </row>
    <row r="2107" spans="1:26" s="127" customFormat="1" ht="25">
      <c r="A2107" s="636">
        <v>63563</v>
      </c>
      <c r="B2107" s="637" t="s">
        <v>33</v>
      </c>
      <c r="C2107" s="636" t="s">
        <v>2725</v>
      </c>
      <c r="D2107" s="637" t="s">
        <v>2955</v>
      </c>
      <c r="E2107" s="637" t="s">
        <v>2949</v>
      </c>
      <c r="F2107" s="636">
        <v>63281</v>
      </c>
      <c r="G2107" s="637" t="s">
        <v>81</v>
      </c>
      <c r="H2107" s="637" t="s">
        <v>1163</v>
      </c>
      <c r="I2107" s="637" t="s">
        <v>58</v>
      </c>
      <c r="J2107" s="636">
        <v>22</v>
      </c>
      <c r="K2107" s="636">
        <v>2</v>
      </c>
      <c r="L2107" s="637" t="s">
        <v>52</v>
      </c>
      <c r="M2107" s="637" t="s">
        <v>441</v>
      </c>
      <c r="N2107" s="637" t="s">
        <v>442</v>
      </c>
      <c r="O2107" s="637" t="s">
        <v>442</v>
      </c>
      <c r="P2107" s="637" t="s">
        <v>1156</v>
      </c>
      <c r="Q2107" s="638">
        <v>0</v>
      </c>
      <c r="R2107" s="638">
        <v>0</v>
      </c>
      <c r="S2107" s="638">
        <v>12839</v>
      </c>
      <c r="T2107" s="638">
        <v>12839</v>
      </c>
      <c r="U2107" s="638">
        <v>3763</v>
      </c>
      <c r="V2107" s="636">
        <v>2022</v>
      </c>
      <c r="W2107" s="640"/>
      <c r="X2107" s="641">
        <f t="shared" si="96"/>
        <v>3.4119053946319426</v>
      </c>
      <c r="Y2107" s="642" t="str">
        <f t="shared" si="97"/>
        <v/>
      </c>
      <c r="Z2107" s="642" t="str">
        <f t="shared" si="98"/>
        <v/>
      </c>
    </row>
    <row r="2108" spans="1:26" s="127" customFormat="1" ht="25">
      <c r="A2108" s="636">
        <v>63564</v>
      </c>
      <c r="B2108" s="637" t="s">
        <v>33</v>
      </c>
      <c r="C2108" s="636" t="s">
        <v>2725</v>
      </c>
      <c r="D2108" s="637" t="s">
        <v>2956</v>
      </c>
      <c r="E2108" s="637" t="s">
        <v>2949</v>
      </c>
      <c r="F2108" s="636">
        <v>63281</v>
      </c>
      <c r="G2108" s="637" t="s">
        <v>81</v>
      </c>
      <c r="H2108" s="637" t="s">
        <v>1163</v>
      </c>
      <c r="I2108" s="637" t="s">
        <v>58</v>
      </c>
      <c r="J2108" s="636">
        <v>22</v>
      </c>
      <c r="K2108" s="636">
        <v>2</v>
      </c>
      <c r="L2108" s="637" t="s">
        <v>52</v>
      </c>
      <c r="M2108" s="637" t="s">
        <v>441</v>
      </c>
      <c r="N2108" s="637" t="s">
        <v>442</v>
      </c>
      <c r="O2108" s="637" t="s">
        <v>442</v>
      </c>
      <c r="P2108" s="637" t="s">
        <v>1156</v>
      </c>
      <c r="Q2108" s="638">
        <v>0</v>
      </c>
      <c r="R2108" s="638">
        <v>0</v>
      </c>
      <c r="S2108" s="638">
        <v>5651</v>
      </c>
      <c r="T2108" s="638">
        <v>5651</v>
      </c>
      <c r="U2108" s="638">
        <v>1656</v>
      </c>
      <c r="V2108" s="636">
        <v>2022</v>
      </c>
      <c r="W2108" s="640"/>
      <c r="X2108" s="641">
        <f t="shared" si="96"/>
        <v>3.41243961352657</v>
      </c>
      <c r="Y2108" s="642" t="str">
        <f t="shared" si="97"/>
        <v/>
      </c>
      <c r="Z2108" s="642" t="str">
        <f t="shared" si="98"/>
        <v/>
      </c>
    </row>
    <row r="2109" spans="1:26" s="127" customFormat="1" ht="25">
      <c r="A2109" s="636">
        <v>63565</v>
      </c>
      <c r="B2109" s="637" t="s">
        <v>33</v>
      </c>
      <c r="C2109" s="636" t="s">
        <v>2725</v>
      </c>
      <c r="D2109" s="637" t="s">
        <v>2957</v>
      </c>
      <c r="E2109" s="637" t="s">
        <v>2949</v>
      </c>
      <c r="F2109" s="636">
        <v>63281</v>
      </c>
      <c r="G2109" s="637" t="s">
        <v>81</v>
      </c>
      <c r="H2109" s="637" t="s">
        <v>1163</v>
      </c>
      <c r="I2109" s="637" t="s">
        <v>58</v>
      </c>
      <c r="J2109" s="636">
        <v>22</v>
      </c>
      <c r="K2109" s="636">
        <v>2</v>
      </c>
      <c r="L2109" s="637" t="s">
        <v>52</v>
      </c>
      <c r="M2109" s="637" t="s">
        <v>441</v>
      </c>
      <c r="N2109" s="637" t="s">
        <v>442</v>
      </c>
      <c r="O2109" s="637" t="s">
        <v>442</v>
      </c>
      <c r="P2109" s="637" t="s">
        <v>1156</v>
      </c>
      <c r="Q2109" s="638">
        <v>0</v>
      </c>
      <c r="R2109" s="638">
        <v>0</v>
      </c>
      <c r="S2109" s="638">
        <v>5706</v>
      </c>
      <c r="T2109" s="638">
        <v>5706</v>
      </c>
      <c r="U2109" s="638">
        <v>1672</v>
      </c>
      <c r="V2109" s="636">
        <v>2022</v>
      </c>
      <c r="W2109" s="640"/>
      <c r="X2109" s="641">
        <f t="shared" si="96"/>
        <v>3.4126794258373208</v>
      </c>
      <c r="Y2109" s="642" t="str">
        <f t="shared" si="97"/>
        <v/>
      </c>
      <c r="Z2109" s="642" t="str">
        <f t="shared" si="98"/>
        <v/>
      </c>
    </row>
    <row r="2110" spans="1:26" s="127" customFormat="1" ht="25">
      <c r="A2110" s="636">
        <v>63569</v>
      </c>
      <c r="B2110" s="637" t="s">
        <v>33</v>
      </c>
      <c r="C2110" s="636" t="s">
        <v>2725</v>
      </c>
      <c r="D2110" s="637" t="s">
        <v>2958</v>
      </c>
      <c r="E2110" s="637" t="s">
        <v>2949</v>
      </c>
      <c r="F2110" s="636">
        <v>63281</v>
      </c>
      <c r="G2110" s="637" t="s">
        <v>81</v>
      </c>
      <c r="H2110" s="637" t="s">
        <v>1163</v>
      </c>
      <c r="I2110" s="637" t="s">
        <v>58</v>
      </c>
      <c r="J2110" s="636">
        <v>22</v>
      </c>
      <c r="K2110" s="636">
        <v>2</v>
      </c>
      <c r="L2110" s="637" t="s">
        <v>52</v>
      </c>
      <c r="M2110" s="637" t="s">
        <v>441</v>
      </c>
      <c r="N2110" s="637" t="s">
        <v>442</v>
      </c>
      <c r="O2110" s="637" t="s">
        <v>442</v>
      </c>
      <c r="P2110" s="637" t="s">
        <v>1156</v>
      </c>
      <c r="Q2110" s="638">
        <v>0</v>
      </c>
      <c r="R2110" s="638">
        <v>0</v>
      </c>
      <c r="S2110" s="638">
        <v>6247</v>
      </c>
      <c r="T2110" s="638">
        <v>6247</v>
      </c>
      <c r="U2110" s="638">
        <v>1831</v>
      </c>
      <c r="V2110" s="636">
        <v>2022</v>
      </c>
      <c r="W2110" s="640"/>
      <c r="X2110" s="641">
        <f t="shared" si="96"/>
        <v>3.4117968323320591</v>
      </c>
      <c r="Y2110" s="642" t="str">
        <f t="shared" si="97"/>
        <v/>
      </c>
      <c r="Z2110" s="642" t="str">
        <f t="shared" si="98"/>
        <v/>
      </c>
    </row>
    <row r="2111" spans="1:26" s="127" customFormat="1" ht="25">
      <c r="A2111" s="636">
        <v>63570</v>
      </c>
      <c r="B2111" s="637" t="s">
        <v>33</v>
      </c>
      <c r="C2111" s="636" t="s">
        <v>2725</v>
      </c>
      <c r="D2111" s="637" t="s">
        <v>2959</v>
      </c>
      <c r="E2111" s="637" t="s">
        <v>2949</v>
      </c>
      <c r="F2111" s="636">
        <v>63281</v>
      </c>
      <c r="G2111" s="637" t="s">
        <v>81</v>
      </c>
      <c r="H2111" s="637" t="s">
        <v>1163</v>
      </c>
      <c r="I2111" s="637" t="s">
        <v>58</v>
      </c>
      <c r="J2111" s="636">
        <v>22</v>
      </c>
      <c r="K2111" s="636">
        <v>2</v>
      </c>
      <c r="L2111" s="637" t="s">
        <v>52</v>
      </c>
      <c r="M2111" s="637" t="s">
        <v>441</v>
      </c>
      <c r="N2111" s="637" t="s">
        <v>442</v>
      </c>
      <c r="O2111" s="637" t="s">
        <v>442</v>
      </c>
      <c r="P2111" s="637" t="s">
        <v>1156</v>
      </c>
      <c r="Q2111" s="638">
        <v>0</v>
      </c>
      <c r="R2111" s="638">
        <v>0</v>
      </c>
      <c r="S2111" s="638">
        <v>6016</v>
      </c>
      <c r="T2111" s="638">
        <v>6016</v>
      </c>
      <c r="U2111" s="638">
        <v>1763</v>
      </c>
      <c r="V2111" s="636">
        <v>2022</v>
      </c>
      <c r="W2111" s="640"/>
      <c r="X2111" s="641">
        <f t="shared" si="96"/>
        <v>3.4123652864435621</v>
      </c>
      <c r="Y2111" s="642" t="str">
        <f t="shared" si="97"/>
        <v/>
      </c>
      <c r="Z2111" s="642" t="str">
        <f t="shared" si="98"/>
        <v/>
      </c>
    </row>
    <row r="2112" spans="1:26" s="127" customFormat="1" ht="25">
      <c r="A2112" s="636">
        <v>63571</v>
      </c>
      <c r="B2112" s="637" t="s">
        <v>33</v>
      </c>
      <c r="C2112" s="636" t="s">
        <v>2725</v>
      </c>
      <c r="D2112" s="637" t="s">
        <v>2960</v>
      </c>
      <c r="E2112" s="637" t="s">
        <v>2949</v>
      </c>
      <c r="F2112" s="636">
        <v>63281</v>
      </c>
      <c r="G2112" s="637" t="s">
        <v>81</v>
      </c>
      <c r="H2112" s="637" t="s">
        <v>1163</v>
      </c>
      <c r="I2112" s="637" t="s">
        <v>58</v>
      </c>
      <c r="J2112" s="636">
        <v>22</v>
      </c>
      <c r="K2112" s="636">
        <v>2</v>
      </c>
      <c r="L2112" s="637" t="s">
        <v>52</v>
      </c>
      <c r="M2112" s="637" t="s">
        <v>441</v>
      </c>
      <c r="N2112" s="637" t="s">
        <v>442</v>
      </c>
      <c r="O2112" s="637" t="s">
        <v>442</v>
      </c>
      <c r="P2112" s="637" t="s">
        <v>1156</v>
      </c>
      <c r="Q2112" s="638">
        <v>0</v>
      </c>
      <c r="R2112" s="638">
        <v>0</v>
      </c>
      <c r="S2112" s="638">
        <v>4312</v>
      </c>
      <c r="T2112" s="638">
        <v>4312</v>
      </c>
      <c r="U2112" s="638">
        <v>1264</v>
      </c>
      <c r="V2112" s="636">
        <v>2022</v>
      </c>
      <c r="W2112" s="640"/>
      <c r="X2112" s="641">
        <f t="shared" si="96"/>
        <v>3.4113924050632911</v>
      </c>
      <c r="Y2112" s="642" t="str">
        <f t="shared" si="97"/>
        <v/>
      </c>
      <c r="Z2112" s="642" t="str">
        <f t="shared" si="98"/>
        <v/>
      </c>
    </row>
    <row r="2113" spans="1:26" s="127" customFormat="1" ht="25">
      <c r="A2113" s="636">
        <v>63572</v>
      </c>
      <c r="B2113" s="637" t="s">
        <v>33</v>
      </c>
      <c r="C2113" s="636" t="s">
        <v>2725</v>
      </c>
      <c r="D2113" s="637" t="s">
        <v>2961</v>
      </c>
      <c r="E2113" s="637" t="s">
        <v>2949</v>
      </c>
      <c r="F2113" s="636">
        <v>63281</v>
      </c>
      <c r="G2113" s="637" t="s">
        <v>81</v>
      </c>
      <c r="H2113" s="637" t="s">
        <v>1163</v>
      </c>
      <c r="I2113" s="637" t="s">
        <v>58</v>
      </c>
      <c r="J2113" s="636">
        <v>22</v>
      </c>
      <c r="K2113" s="636">
        <v>2</v>
      </c>
      <c r="L2113" s="637" t="s">
        <v>52</v>
      </c>
      <c r="M2113" s="637" t="s">
        <v>441</v>
      </c>
      <c r="N2113" s="637" t="s">
        <v>442</v>
      </c>
      <c r="O2113" s="637" t="s">
        <v>442</v>
      </c>
      <c r="P2113" s="637" t="s">
        <v>1156</v>
      </c>
      <c r="Q2113" s="638">
        <v>0</v>
      </c>
      <c r="R2113" s="638">
        <v>0</v>
      </c>
      <c r="S2113" s="638">
        <v>5254</v>
      </c>
      <c r="T2113" s="638">
        <v>5254</v>
      </c>
      <c r="U2113" s="638">
        <v>1540</v>
      </c>
      <c r="V2113" s="636">
        <v>2022</v>
      </c>
      <c r="W2113" s="640"/>
      <c r="X2113" s="641">
        <f t="shared" si="96"/>
        <v>3.4116883116883119</v>
      </c>
      <c r="Y2113" s="642" t="str">
        <f t="shared" si="97"/>
        <v/>
      </c>
      <c r="Z2113" s="642" t="str">
        <f t="shared" si="98"/>
        <v/>
      </c>
    </row>
    <row r="2114" spans="1:26" s="127" customFormat="1" ht="25">
      <c r="A2114" s="636">
        <v>63573</v>
      </c>
      <c r="B2114" s="637" t="s">
        <v>33</v>
      </c>
      <c r="C2114" s="636" t="s">
        <v>2725</v>
      </c>
      <c r="D2114" s="637" t="s">
        <v>2962</v>
      </c>
      <c r="E2114" s="637" t="s">
        <v>2949</v>
      </c>
      <c r="F2114" s="636">
        <v>63281</v>
      </c>
      <c r="G2114" s="637" t="s">
        <v>81</v>
      </c>
      <c r="H2114" s="637" t="s">
        <v>1163</v>
      </c>
      <c r="I2114" s="637" t="s">
        <v>58</v>
      </c>
      <c r="J2114" s="636">
        <v>22</v>
      </c>
      <c r="K2114" s="636">
        <v>2</v>
      </c>
      <c r="L2114" s="637" t="s">
        <v>52</v>
      </c>
      <c r="M2114" s="637" t="s">
        <v>441</v>
      </c>
      <c r="N2114" s="637" t="s">
        <v>442</v>
      </c>
      <c r="O2114" s="637" t="s">
        <v>442</v>
      </c>
      <c r="P2114" s="637" t="s">
        <v>1156</v>
      </c>
      <c r="Q2114" s="638">
        <v>0</v>
      </c>
      <c r="R2114" s="638">
        <v>0</v>
      </c>
      <c r="S2114" s="638">
        <v>5570</v>
      </c>
      <c r="T2114" s="638">
        <v>5570</v>
      </c>
      <c r="U2114" s="638">
        <v>1632</v>
      </c>
      <c r="V2114" s="636">
        <v>2022</v>
      </c>
      <c r="W2114" s="640"/>
      <c r="X2114" s="641">
        <f t="shared" si="96"/>
        <v>3.4129901960784315</v>
      </c>
      <c r="Y2114" s="642" t="str">
        <f t="shared" si="97"/>
        <v/>
      </c>
      <c r="Z2114" s="642" t="str">
        <f t="shared" si="98"/>
        <v/>
      </c>
    </row>
    <row r="2115" spans="1:26" s="127" customFormat="1" ht="25">
      <c r="A2115" s="636">
        <v>63585</v>
      </c>
      <c r="B2115" s="637" t="s">
        <v>33</v>
      </c>
      <c r="C2115" s="636" t="s">
        <v>2725</v>
      </c>
      <c r="D2115" s="637" t="s">
        <v>3655</v>
      </c>
      <c r="E2115" s="637" t="s">
        <v>3656</v>
      </c>
      <c r="F2115" s="636">
        <v>14154</v>
      </c>
      <c r="G2115" s="637" t="s">
        <v>57</v>
      </c>
      <c r="H2115" s="637" t="s">
        <v>1162</v>
      </c>
      <c r="I2115" s="637" t="s">
        <v>58</v>
      </c>
      <c r="J2115" s="636">
        <v>22</v>
      </c>
      <c r="K2115" s="636">
        <v>1</v>
      </c>
      <c r="L2115" s="637" t="s">
        <v>34</v>
      </c>
      <c r="M2115" s="637" t="s">
        <v>1852</v>
      </c>
      <c r="N2115" s="637" t="s">
        <v>1035</v>
      </c>
      <c r="O2115" s="637" t="s">
        <v>82</v>
      </c>
      <c r="P2115" s="637" t="s">
        <v>2726</v>
      </c>
      <c r="Q2115" s="638">
        <v>28</v>
      </c>
      <c r="R2115" s="638">
        <v>28</v>
      </c>
      <c r="S2115" s="638">
        <v>0</v>
      </c>
      <c r="T2115" s="638">
        <v>0</v>
      </c>
      <c r="U2115" s="638">
        <v>-6</v>
      </c>
      <c r="V2115" s="636">
        <v>2022</v>
      </c>
      <c r="W2115" s="640"/>
      <c r="X2115" s="641" t="str">
        <f t="shared" si="96"/>
        <v/>
      </c>
      <c r="Y2115" s="642" t="str">
        <f t="shared" si="97"/>
        <v/>
      </c>
      <c r="Z2115" s="642" t="str">
        <f t="shared" si="98"/>
        <v/>
      </c>
    </row>
    <row r="2116" spans="1:26" s="127" customFormat="1" ht="25">
      <c r="A2116" s="636">
        <v>63588</v>
      </c>
      <c r="B2116" s="637" t="s">
        <v>33</v>
      </c>
      <c r="C2116" s="636" t="s">
        <v>2725</v>
      </c>
      <c r="D2116" s="637" t="s">
        <v>2963</v>
      </c>
      <c r="E2116" s="637" t="s">
        <v>2949</v>
      </c>
      <c r="F2116" s="636">
        <v>63281</v>
      </c>
      <c r="G2116" s="637" t="s">
        <v>81</v>
      </c>
      <c r="H2116" s="637" t="s">
        <v>1163</v>
      </c>
      <c r="I2116" s="637" t="s">
        <v>58</v>
      </c>
      <c r="J2116" s="636">
        <v>22</v>
      </c>
      <c r="K2116" s="636">
        <v>2</v>
      </c>
      <c r="L2116" s="637" t="s">
        <v>52</v>
      </c>
      <c r="M2116" s="637" t="s">
        <v>441</v>
      </c>
      <c r="N2116" s="637" t="s">
        <v>442</v>
      </c>
      <c r="O2116" s="637" t="s">
        <v>442</v>
      </c>
      <c r="P2116" s="637" t="s">
        <v>1156</v>
      </c>
      <c r="Q2116" s="638">
        <v>0</v>
      </c>
      <c r="R2116" s="638">
        <v>0</v>
      </c>
      <c r="S2116" s="638">
        <v>12081</v>
      </c>
      <c r="T2116" s="638">
        <v>12081</v>
      </c>
      <c r="U2116" s="638">
        <v>3541</v>
      </c>
      <c r="V2116" s="636">
        <v>2022</v>
      </c>
      <c r="W2116" s="640"/>
      <c r="X2116" s="641">
        <f t="shared" si="96"/>
        <v>3.4117480937588254</v>
      </c>
      <c r="Y2116" s="642" t="str">
        <f t="shared" si="97"/>
        <v/>
      </c>
      <c r="Z2116" s="642" t="str">
        <f t="shared" si="98"/>
        <v/>
      </c>
    </row>
    <row r="2117" spans="1:26" s="127" customFormat="1" ht="25">
      <c r="A2117" s="636">
        <v>63589</v>
      </c>
      <c r="B2117" s="637" t="s">
        <v>33</v>
      </c>
      <c r="C2117" s="636" t="s">
        <v>2725</v>
      </c>
      <c r="D2117" s="637" t="s">
        <v>2964</v>
      </c>
      <c r="E2117" s="637" t="s">
        <v>2949</v>
      </c>
      <c r="F2117" s="636">
        <v>63281</v>
      </c>
      <c r="G2117" s="637" t="s">
        <v>81</v>
      </c>
      <c r="H2117" s="637" t="s">
        <v>1163</v>
      </c>
      <c r="I2117" s="637" t="s">
        <v>58</v>
      </c>
      <c r="J2117" s="636">
        <v>22</v>
      </c>
      <c r="K2117" s="636">
        <v>2</v>
      </c>
      <c r="L2117" s="637" t="s">
        <v>52</v>
      </c>
      <c r="M2117" s="637" t="s">
        <v>441</v>
      </c>
      <c r="N2117" s="637" t="s">
        <v>442</v>
      </c>
      <c r="O2117" s="637" t="s">
        <v>442</v>
      </c>
      <c r="P2117" s="637" t="s">
        <v>1156</v>
      </c>
      <c r="Q2117" s="638">
        <v>0</v>
      </c>
      <c r="R2117" s="638">
        <v>0</v>
      </c>
      <c r="S2117" s="638">
        <v>5902</v>
      </c>
      <c r="T2117" s="638">
        <v>5902</v>
      </c>
      <c r="U2117" s="638">
        <v>1730</v>
      </c>
      <c r="V2117" s="636">
        <v>2022</v>
      </c>
      <c r="W2117" s="640"/>
      <c r="X2117" s="641">
        <f t="shared" si="96"/>
        <v>3.4115606936416185</v>
      </c>
      <c r="Y2117" s="642" t="str">
        <f t="shared" si="97"/>
        <v/>
      </c>
      <c r="Z2117" s="642" t="str">
        <f t="shared" si="98"/>
        <v/>
      </c>
    </row>
    <row r="2118" spans="1:26" s="127" customFormat="1" ht="25">
      <c r="A2118" s="636">
        <v>63592</v>
      </c>
      <c r="B2118" s="637" t="s">
        <v>33</v>
      </c>
      <c r="C2118" s="636" t="s">
        <v>2725</v>
      </c>
      <c r="D2118" s="637" t="s">
        <v>3119</v>
      </c>
      <c r="E2118" s="637" t="s">
        <v>3120</v>
      </c>
      <c r="F2118" s="636">
        <v>63294</v>
      </c>
      <c r="G2118" s="637" t="s">
        <v>41</v>
      </c>
      <c r="H2118" s="637" t="s">
        <v>1163</v>
      </c>
      <c r="I2118" s="637" t="s">
        <v>58</v>
      </c>
      <c r="J2118" s="636">
        <v>22</v>
      </c>
      <c r="K2118" s="636">
        <v>2</v>
      </c>
      <c r="L2118" s="637" t="s">
        <v>52</v>
      </c>
      <c r="M2118" s="637" t="s">
        <v>441</v>
      </c>
      <c r="N2118" s="637" t="s">
        <v>442</v>
      </c>
      <c r="O2118" s="637" t="s">
        <v>442</v>
      </c>
      <c r="P2118" s="637" t="s">
        <v>1156</v>
      </c>
      <c r="Q2118" s="638">
        <v>0</v>
      </c>
      <c r="R2118" s="638">
        <v>0</v>
      </c>
      <c r="S2118" s="638">
        <v>130731</v>
      </c>
      <c r="T2118" s="638">
        <v>130731</v>
      </c>
      <c r="U2118" s="638">
        <v>38315</v>
      </c>
      <c r="V2118" s="636">
        <v>2022</v>
      </c>
      <c r="W2118" s="640"/>
      <c r="X2118" s="641">
        <f t="shared" si="96"/>
        <v>3.4120057418765497</v>
      </c>
      <c r="Y2118" s="642" t="str">
        <f t="shared" si="97"/>
        <v/>
      </c>
      <c r="Z2118" s="642" t="str">
        <f t="shared" si="98"/>
        <v/>
      </c>
    </row>
    <row r="2119" spans="1:26" s="127" customFormat="1" ht="37.5" hidden="1">
      <c r="A2119" s="636">
        <v>63637</v>
      </c>
      <c r="B2119" s="637" t="s">
        <v>33</v>
      </c>
      <c r="C2119" s="636" t="s">
        <v>2725</v>
      </c>
      <c r="D2119" s="637" t="s">
        <v>2965</v>
      </c>
      <c r="E2119" s="637" t="s">
        <v>1761</v>
      </c>
      <c r="F2119" s="636">
        <v>57128</v>
      </c>
      <c r="G2119" s="637" t="s">
        <v>81</v>
      </c>
      <c r="H2119" s="637" t="s">
        <v>1163</v>
      </c>
      <c r="I2119" s="637" t="s">
        <v>58</v>
      </c>
      <c r="J2119" s="636">
        <v>711</v>
      </c>
      <c r="K2119" s="636">
        <v>4</v>
      </c>
      <c r="L2119" s="637" t="s">
        <v>406</v>
      </c>
      <c r="M2119" s="637" t="s">
        <v>1232</v>
      </c>
      <c r="N2119" s="637" t="s">
        <v>39</v>
      </c>
      <c r="O2119" s="637" t="s">
        <v>39</v>
      </c>
      <c r="P2119" s="637" t="s">
        <v>1020</v>
      </c>
      <c r="Q2119" s="638">
        <v>93874</v>
      </c>
      <c r="R2119" s="638">
        <v>93874</v>
      </c>
      <c r="S2119" s="638">
        <v>95752</v>
      </c>
      <c r="T2119" s="638">
        <v>95752</v>
      </c>
      <c r="U2119" s="638">
        <v>13344</v>
      </c>
      <c r="V2119" s="636">
        <v>2022</v>
      </c>
      <c r="W2119" s="640"/>
      <c r="X2119" s="641" t="str">
        <f t="shared" si="96"/>
        <v/>
      </c>
      <c r="Y2119" s="642" t="str">
        <f t="shared" si="97"/>
        <v/>
      </c>
      <c r="Z2119" s="642" t="str">
        <f t="shared" si="98"/>
        <v/>
      </c>
    </row>
    <row r="2120" spans="1:26" s="127" customFormat="1" ht="25">
      <c r="A2120" s="636">
        <v>63647</v>
      </c>
      <c r="B2120" s="637" t="s">
        <v>33</v>
      </c>
      <c r="C2120" s="636" t="s">
        <v>2725</v>
      </c>
      <c r="D2120" s="637" t="s">
        <v>2966</v>
      </c>
      <c r="E2120" s="637" t="s">
        <v>2967</v>
      </c>
      <c r="F2120" s="636">
        <v>62150</v>
      </c>
      <c r="G2120" s="637" t="s">
        <v>57</v>
      </c>
      <c r="H2120" s="637" t="s">
        <v>1162</v>
      </c>
      <c r="I2120" s="637" t="s">
        <v>58</v>
      </c>
      <c r="J2120" s="636">
        <v>22</v>
      </c>
      <c r="K2120" s="636">
        <v>2</v>
      </c>
      <c r="L2120" s="637" t="s">
        <v>52</v>
      </c>
      <c r="M2120" s="637" t="s">
        <v>1232</v>
      </c>
      <c r="N2120" s="637" t="s">
        <v>39</v>
      </c>
      <c r="O2120" s="637" t="s">
        <v>39</v>
      </c>
      <c r="P2120" s="637" t="s">
        <v>1020</v>
      </c>
      <c r="Q2120" s="638">
        <v>84655</v>
      </c>
      <c r="R2120" s="638">
        <v>84655</v>
      </c>
      <c r="S2120" s="638">
        <v>87195</v>
      </c>
      <c r="T2120" s="638">
        <v>87195</v>
      </c>
      <c r="U2120" s="638">
        <v>12262</v>
      </c>
      <c r="V2120" s="636">
        <v>2022</v>
      </c>
      <c r="W2120" s="640"/>
      <c r="X2120" s="641">
        <f t="shared" ref="X2120:X2183" si="99">IF(OR(K2120&gt;3,T2120=0,NOT(U2120&gt;0)),"",T2120/U2120)</f>
        <v>7.1109933126732994</v>
      </c>
      <c r="Y2120" s="642" t="str">
        <f t="shared" ref="Y2120:Y2183" si="100">IF(AND($M2120=$Y$2,$N2120=$Y$3,NOT($Q2120=$R2120),NOT($U2120=0)),IF($K2120=5,$S2120/($U2120+(8/5)*$U2120),IF($K2120=7,$S2120/($U2120+(29/25)*$U2120),"")),"")</f>
        <v/>
      </c>
      <c r="Z2120" s="642" t="str">
        <f t="shared" si="98"/>
        <v/>
      </c>
    </row>
    <row r="2121" spans="1:26" s="127" customFormat="1" ht="25">
      <c r="A2121" s="636">
        <v>63648</v>
      </c>
      <c r="B2121" s="637" t="s">
        <v>33</v>
      </c>
      <c r="C2121" s="636" t="s">
        <v>2725</v>
      </c>
      <c r="D2121" s="637" t="s">
        <v>2968</v>
      </c>
      <c r="E2121" s="637" t="s">
        <v>2967</v>
      </c>
      <c r="F2121" s="636">
        <v>62150</v>
      </c>
      <c r="G2121" s="637" t="s">
        <v>57</v>
      </c>
      <c r="H2121" s="637" t="s">
        <v>1162</v>
      </c>
      <c r="I2121" s="637" t="s">
        <v>58</v>
      </c>
      <c r="J2121" s="636">
        <v>22</v>
      </c>
      <c r="K2121" s="636">
        <v>2</v>
      </c>
      <c r="L2121" s="637" t="s">
        <v>52</v>
      </c>
      <c r="M2121" s="637" t="s">
        <v>1232</v>
      </c>
      <c r="N2121" s="637" t="s">
        <v>39</v>
      </c>
      <c r="O2121" s="637" t="s">
        <v>39</v>
      </c>
      <c r="P2121" s="637" t="s">
        <v>1020</v>
      </c>
      <c r="Q2121" s="638">
        <v>47338</v>
      </c>
      <c r="R2121" s="638">
        <v>47338</v>
      </c>
      <c r="S2121" s="638">
        <v>48758</v>
      </c>
      <c r="T2121" s="638">
        <v>48758</v>
      </c>
      <c r="U2121" s="638">
        <v>6461</v>
      </c>
      <c r="V2121" s="636">
        <v>2022</v>
      </c>
      <c r="W2121" s="640"/>
      <c r="X2121" s="641">
        <f t="shared" si="99"/>
        <v>7.5465098281999694</v>
      </c>
      <c r="Y2121" s="642" t="str">
        <f t="shared" si="100"/>
        <v/>
      </c>
      <c r="Z2121" s="642" t="str">
        <f t="shared" si="98"/>
        <v/>
      </c>
    </row>
    <row r="2122" spans="1:26" s="127" customFormat="1" ht="25">
      <c r="A2122" s="636">
        <v>63649</v>
      </c>
      <c r="B2122" s="637" t="s">
        <v>33</v>
      </c>
      <c r="C2122" s="636" t="s">
        <v>2725</v>
      </c>
      <c r="D2122" s="637" t="s">
        <v>2969</v>
      </c>
      <c r="E2122" s="637" t="s">
        <v>2967</v>
      </c>
      <c r="F2122" s="636">
        <v>62150</v>
      </c>
      <c r="G2122" s="637" t="s">
        <v>57</v>
      </c>
      <c r="H2122" s="637" t="s">
        <v>1162</v>
      </c>
      <c r="I2122" s="637" t="s">
        <v>58</v>
      </c>
      <c r="J2122" s="636">
        <v>22</v>
      </c>
      <c r="K2122" s="636">
        <v>2</v>
      </c>
      <c r="L2122" s="637" t="s">
        <v>52</v>
      </c>
      <c r="M2122" s="637" t="s">
        <v>1232</v>
      </c>
      <c r="N2122" s="637" t="s">
        <v>39</v>
      </c>
      <c r="O2122" s="637" t="s">
        <v>39</v>
      </c>
      <c r="P2122" s="637" t="s">
        <v>1020</v>
      </c>
      <c r="Q2122" s="638">
        <v>47251</v>
      </c>
      <c r="R2122" s="638">
        <v>47251</v>
      </c>
      <c r="S2122" s="638">
        <v>48669</v>
      </c>
      <c r="T2122" s="638">
        <v>48669</v>
      </c>
      <c r="U2122" s="638">
        <v>6677</v>
      </c>
      <c r="V2122" s="636">
        <v>2022</v>
      </c>
      <c r="W2122" s="640"/>
      <c r="X2122" s="641">
        <f t="shared" si="99"/>
        <v>7.2890519694473568</v>
      </c>
      <c r="Y2122" s="642" t="str">
        <f t="shared" si="100"/>
        <v/>
      </c>
      <c r="Z2122" s="642" t="str">
        <f t="shared" si="98"/>
        <v/>
      </c>
    </row>
    <row r="2123" spans="1:26" s="127" customFormat="1" ht="25">
      <c r="A2123" s="636">
        <v>63659</v>
      </c>
      <c r="B2123" s="637" t="s">
        <v>33</v>
      </c>
      <c r="C2123" s="636" t="s">
        <v>2725</v>
      </c>
      <c r="D2123" s="637" t="s">
        <v>2970</v>
      </c>
      <c r="E2123" s="637" t="s">
        <v>2971</v>
      </c>
      <c r="F2123" s="636">
        <v>63368</v>
      </c>
      <c r="G2123" s="637" t="s">
        <v>81</v>
      </c>
      <c r="H2123" s="637" t="s">
        <v>1163</v>
      </c>
      <c r="I2123" s="637" t="s">
        <v>58</v>
      </c>
      <c r="J2123" s="636">
        <v>22</v>
      </c>
      <c r="K2123" s="636">
        <v>2</v>
      </c>
      <c r="L2123" s="637" t="s">
        <v>52</v>
      </c>
      <c r="M2123" s="637" t="s">
        <v>441</v>
      </c>
      <c r="N2123" s="637" t="s">
        <v>442</v>
      </c>
      <c r="O2123" s="637" t="s">
        <v>442</v>
      </c>
      <c r="P2123" s="637" t="s">
        <v>1156</v>
      </c>
      <c r="Q2123" s="638">
        <v>0</v>
      </c>
      <c r="R2123" s="638">
        <v>0</v>
      </c>
      <c r="S2123" s="638">
        <v>12144</v>
      </c>
      <c r="T2123" s="638">
        <v>12144</v>
      </c>
      <c r="U2123" s="638">
        <v>3559</v>
      </c>
      <c r="V2123" s="636">
        <v>2022</v>
      </c>
      <c r="W2123" s="640"/>
      <c r="X2123" s="641">
        <f t="shared" si="99"/>
        <v>3.4121944366395054</v>
      </c>
      <c r="Y2123" s="642" t="str">
        <f t="shared" si="100"/>
        <v/>
      </c>
      <c r="Z2123" s="642" t="str">
        <f t="shared" si="98"/>
        <v/>
      </c>
    </row>
    <row r="2124" spans="1:26" s="127" customFormat="1" ht="25">
      <c r="A2124" s="636">
        <v>63661</v>
      </c>
      <c r="B2124" s="637" t="s">
        <v>33</v>
      </c>
      <c r="C2124" s="636" t="s">
        <v>2725</v>
      </c>
      <c r="D2124" s="637" t="s">
        <v>3327</v>
      </c>
      <c r="E2124" s="637" t="s">
        <v>3328</v>
      </c>
      <c r="F2124" s="636">
        <v>63369</v>
      </c>
      <c r="G2124" s="637" t="s">
        <v>57</v>
      </c>
      <c r="H2124" s="637" t="s">
        <v>1162</v>
      </c>
      <c r="I2124" s="637" t="s">
        <v>58</v>
      </c>
      <c r="J2124" s="636">
        <v>22</v>
      </c>
      <c r="K2124" s="636">
        <v>2</v>
      </c>
      <c r="L2124" s="637" t="s">
        <v>52</v>
      </c>
      <c r="M2124" s="637" t="s">
        <v>1232</v>
      </c>
      <c r="N2124" s="637" t="s">
        <v>39</v>
      </c>
      <c r="O2124" s="637" t="s">
        <v>39</v>
      </c>
      <c r="P2124" s="637" t="s">
        <v>1020</v>
      </c>
      <c r="Q2124" s="638">
        <v>368578</v>
      </c>
      <c r="R2124" s="638">
        <v>368578</v>
      </c>
      <c r="S2124" s="638">
        <v>387744</v>
      </c>
      <c r="T2124" s="638">
        <v>387744</v>
      </c>
      <c r="U2124" s="638">
        <v>59154</v>
      </c>
      <c r="V2124" s="636">
        <v>2022</v>
      </c>
      <c r="W2124" s="640"/>
      <c r="X2124" s="641">
        <f t="shared" si="99"/>
        <v>6.5548230043614968</v>
      </c>
      <c r="Y2124" s="642" t="str">
        <f t="shared" si="100"/>
        <v/>
      </c>
      <c r="Z2124" s="642" t="str">
        <f t="shared" si="98"/>
        <v/>
      </c>
    </row>
    <row r="2125" spans="1:26" s="127" customFormat="1" ht="25">
      <c r="A2125" s="636">
        <v>63667</v>
      </c>
      <c r="B2125" s="637" t="s">
        <v>33</v>
      </c>
      <c r="C2125" s="636" t="s">
        <v>2725</v>
      </c>
      <c r="D2125" s="637" t="s">
        <v>3121</v>
      </c>
      <c r="E2125" s="637" t="s">
        <v>3122</v>
      </c>
      <c r="F2125" s="636">
        <v>63374</v>
      </c>
      <c r="G2125" s="637" t="s">
        <v>90</v>
      </c>
      <c r="H2125" s="637" t="s">
        <v>1163</v>
      </c>
      <c r="I2125" s="637" t="s">
        <v>58</v>
      </c>
      <c r="J2125" s="636">
        <v>22</v>
      </c>
      <c r="K2125" s="636">
        <v>2</v>
      </c>
      <c r="L2125" s="637" t="s">
        <v>52</v>
      </c>
      <c r="M2125" s="637" t="s">
        <v>441</v>
      </c>
      <c r="N2125" s="637" t="s">
        <v>442</v>
      </c>
      <c r="O2125" s="637" t="s">
        <v>442</v>
      </c>
      <c r="P2125" s="637" t="s">
        <v>1156</v>
      </c>
      <c r="Q2125" s="638">
        <v>0</v>
      </c>
      <c r="R2125" s="638">
        <v>0</v>
      </c>
      <c r="S2125" s="638">
        <v>329817</v>
      </c>
      <c r="T2125" s="638">
        <v>329817</v>
      </c>
      <c r="U2125" s="638">
        <v>96664</v>
      </c>
      <c r="V2125" s="636">
        <v>2022</v>
      </c>
      <c r="W2125" s="640"/>
      <c r="X2125" s="641">
        <f t="shared" si="99"/>
        <v>3.411994123975834</v>
      </c>
      <c r="Y2125" s="642" t="str">
        <f t="shared" si="100"/>
        <v/>
      </c>
      <c r="Z2125" s="642" t="str">
        <f t="shared" si="98"/>
        <v/>
      </c>
    </row>
    <row r="2126" spans="1:26" s="127" customFormat="1" ht="25">
      <c r="A2126" s="636">
        <v>63668</v>
      </c>
      <c r="B2126" s="637" t="s">
        <v>33</v>
      </c>
      <c r="C2126" s="636" t="s">
        <v>2725</v>
      </c>
      <c r="D2126" s="637" t="s">
        <v>2972</v>
      </c>
      <c r="E2126" s="637" t="s">
        <v>2166</v>
      </c>
      <c r="F2126" s="636">
        <v>61012</v>
      </c>
      <c r="G2126" s="637" t="s">
        <v>130</v>
      </c>
      <c r="H2126" s="637" t="s">
        <v>1163</v>
      </c>
      <c r="I2126" s="637" t="s">
        <v>58</v>
      </c>
      <c r="J2126" s="636">
        <v>22</v>
      </c>
      <c r="K2126" s="636">
        <v>2</v>
      </c>
      <c r="L2126" s="637" t="s">
        <v>52</v>
      </c>
      <c r="M2126" s="637" t="s">
        <v>441</v>
      </c>
      <c r="N2126" s="637" t="s">
        <v>442</v>
      </c>
      <c r="O2126" s="637" t="s">
        <v>442</v>
      </c>
      <c r="P2126" s="637" t="s">
        <v>1156</v>
      </c>
      <c r="Q2126" s="638">
        <v>0</v>
      </c>
      <c r="R2126" s="638">
        <v>0</v>
      </c>
      <c r="S2126" s="638">
        <v>115866</v>
      </c>
      <c r="T2126" s="638">
        <v>115866</v>
      </c>
      <c r="U2126" s="638">
        <v>33958</v>
      </c>
      <c r="V2126" s="636">
        <v>2022</v>
      </c>
      <c r="W2126" s="640"/>
      <c r="X2126" s="641">
        <f t="shared" si="99"/>
        <v>3.4120384003769364</v>
      </c>
      <c r="Y2126" s="642" t="str">
        <f t="shared" si="100"/>
        <v/>
      </c>
      <c r="Z2126" s="642" t="str">
        <f t="shared" si="98"/>
        <v/>
      </c>
    </row>
    <row r="2127" spans="1:26" s="127" customFormat="1" ht="37.5" hidden="1">
      <c r="A2127" s="636">
        <v>63669</v>
      </c>
      <c r="B2127" s="637" t="s">
        <v>33</v>
      </c>
      <c r="C2127" s="636" t="s">
        <v>2725</v>
      </c>
      <c r="D2127" s="637" t="s">
        <v>3657</v>
      </c>
      <c r="E2127" s="637" t="s">
        <v>3657</v>
      </c>
      <c r="F2127" s="636">
        <v>63378</v>
      </c>
      <c r="G2127" s="637" t="s">
        <v>57</v>
      </c>
      <c r="H2127" s="637" t="s">
        <v>1162</v>
      </c>
      <c r="I2127" s="637" t="s">
        <v>58</v>
      </c>
      <c r="J2127" s="636">
        <v>622</v>
      </c>
      <c r="K2127" s="636">
        <v>4</v>
      </c>
      <c r="L2127" s="637" t="s">
        <v>406</v>
      </c>
      <c r="M2127" s="637" t="s">
        <v>51</v>
      </c>
      <c r="N2127" s="637" t="s">
        <v>46</v>
      </c>
      <c r="O2127" s="637" t="s">
        <v>46</v>
      </c>
      <c r="P2127" s="637" t="s">
        <v>47</v>
      </c>
      <c r="Q2127" s="638">
        <v>231</v>
      </c>
      <c r="R2127" s="638">
        <v>231</v>
      </c>
      <c r="S2127" s="638">
        <v>1273</v>
      </c>
      <c r="T2127" s="638">
        <v>1273</v>
      </c>
      <c r="U2127" s="638">
        <v>15.709</v>
      </c>
      <c r="V2127" s="636">
        <v>2022</v>
      </c>
      <c r="W2127" s="640"/>
      <c r="X2127" s="641" t="str">
        <f t="shared" si="99"/>
        <v/>
      </c>
      <c r="Y2127" s="642" t="str">
        <f t="shared" si="100"/>
        <v/>
      </c>
      <c r="Z2127" s="642" t="str">
        <f t="shared" si="98"/>
        <v/>
      </c>
    </row>
    <row r="2128" spans="1:26" s="127" customFormat="1" ht="37.5" hidden="1">
      <c r="A2128" s="636">
        <v>63669</v>
      </c>
      <c r="B2128" s="637" t="s">
        <v>33</v>
      </c>
      <c r="C2128" s="636" t="s">
        <v>2725</v>
      </c>
      <c r="D2128" s="637" t="s">
        <v>3657</v>
      </c>
      <c r="E2128" s="637" t="s">
        <v>3657</v>
      </c>
      <c r="F2128" s="636">
        <v>63378</v>
      </c>
      <c r="G2128" s="637" t="s">
        <v>57</v>
      </c>
      <c r="H2128" s="637" t="s">
        <v>1162</v>
      </c>
      <c r="I2128" s="637" t="s">
        <v>58</v>
      </c>
      <c r="J2128" s="636">
        <v>622</v>
      </c>
      <c r="K2128" s="636">
        <v>4</v>
      </c>
      <c r="L2128" s="637" t="s">
        <v>406</v>
      </c>
      <c r="M2128" s="637" t="s">
        <v>51</v>
      </c>
      <c r="N2128" s="637" t="s">
        <v>39</v>
      </c>
      <c r="O2128" s="637" t="s">
        <v>39</v>
      </c>
      <c r="P2128" s="637" t="s">
        <v>1020</v>
      </c>
      <c r="Q2128" s="638">
        <v>8832</v>
      </c>
      <c r="R2128" s="638">
        <v>8832</v>
      </c>
      <c r="S2128" s="638">
        <v>8921</v>
      </c>
      <c r="T2128" s="638">
        <v>8921</v>
      </c>
      <c r="U2128" s="638">
        <v>110.291</v>
      </c>
      <c r="V2128" s="636">
        <v>2022</v>
      </c>
      <c r="W2128" s="640"/>
      <c r="X2128" s="641" t="str">
        <f t="shared" si="99"/>
        <v/>
      </c>
      <c r="Y2128" s="642" t="str">
        <f t="shared" si="100"/>
        <v/>
      </c>
      <c r="Z2128" s="642" t="str">
        <f t="shared" ref="Z2128:Z2191" si="101">IF(AND($M2128=$Y$2,$N2128=$Y$4,NOT($Q2128=$R2128),NOT($U2128=0)),IF($K2128=5,$S2128/($U2128+(8/5)*$U2128),IF($K2128=7,$S2128/($U2128+(29/25)*$U2128),"")),"")</f>
        <v/>
      </c>
    </row>
    <row r="2129" spans="1:26" s="127" customFormat="1" ht="25">
      <c r="A2129" s="636">
        <v>63672</v>
      </c>
      <c r="B2129" s="637" t="s">
        <v>33</v>
      </c>
      <c r="C2129" s="636" t="s">
        <v>2725</v>
      </c>
      <c r="D2129" s="637" t="s">
        <v>2973</v>
      </c>
      <c r="E2129" s="637" t="s">
        <v>2974</v>
      </c>
      <c r="F2129" s="636">
        <v>63391</v>
      </c>
      <c r="G2129" s="637" t="s">
        <v>81</v>
      </c>
      <c r="H2129" s="637" t="s">
        <v>1163</v>
      </c>
      <c r="I2129" s="637" t="s">
        <v>58</v>
      </c>
      <c r="J2129" s="636">
        <v>22</v>
      </c>
      <c r="K2129" s="636">
        <v>2</v>
      </c>
      <c r="L2129" s="637" t="s">
        <v>52</v>
      </c>
      <c r="M2129" s="637" t="s">
        <v>441</v>
      </c>
      <c r="N2129" s="637" t="s">
        <v>442</v>
      </c>
      <c r="O2129" s="637" t="s">
        <v>442</v>
      </c>
      <c r="P2129" s="637" t="s">
        <v>1156</v>
      </c>
      <c r="Q2129" s="638">
        <v>0</v>
      </c>
      <c r="R2129" s="638">
        <v>0</v>
      </c>
      <c r="S2129" s="638">
        <v>13415</v>
      </c>
      <c r="T2129" s="638">
        <v>13415</v>
      </c>
      <c r="U2129" s="638">
        <v>3932</v>
      </c>
      <c r="V2129" s="636">
        <v>2022</v>
      </c>
      <c r="W2129" s="640"/>
      <c r="X2129" s="641">
        <f t="shared" si="99"/>
        <v>3.4117497456765005</v>
      </c>
      <c r="Y2129" s="642" t="str">
        <f t="shared" si="100"/>
        <v/>
      </c>
      <c r="Z2129" s="642" t="str">
        <f t="shared" si="101"/>
        <v/>
      </c>
    </row>
    <row r="2130" spans="1:26" s="127" customFormat="1" ht="37.5" hidden="1">
      <c r="A2130" s="636">
        <v>63673</v>
      </c>
      <c r="B2130" s="637" t="s">
        <v>54</v>
      </c>
      <c r="C2130" s="636" t="s">
        <v>2725</v>
      </c>
      <c r="D2130" s="637" t="s">
        <v>2975</v>
      </c>
      <c r="E2130" s="637" t="s">
        <v>2976</v>
      </c>
      <c r="F2130" s="636">
        <v>63392</v>
      </c>
      <c r="G2130" s="637" t="s">
        <v>41</v>
      </c>
      <c r="H2130" s="637" t="s">
        <v>1163</v>
      </c>
      <c r="I2130" s="637" t="s">
        <v>58</v>
      </c>
      <c r="J2130" s="636">
        <v>622</v>
      </c>
      <c r="K2130" s="636">
        <v>5</v>
      </c>
      <c r="L2130" s="637" t="s">
        <v>407</v>
      </c>
      <c r="M2130" s="637" t="s">
        <v>50</v>
      </c>
      <c r="N2130" s="637" t="s">
        <v>39</v>
      </c>
      <c r="O2130" s="637" t="s">
        <v>39</v>
      </c>
      <c r="P2130" s="637" t="s">
        <v>1020</v>
      </c>
      <c r="Q2130" s="638">
        <v>0</v>
      </c>
      <c r="R2130" s="638">
        <v>0</v>
      </c>
      <c r="S2130" s="638">
        <v>0</v>
      </c>
      <c r="T2130" s="638">
        <v>0</v>
      </c>
      <c r="U2130" s="638">
        <v>0</v>
      </c>
      <c r="V2130" s="636">
        <v>2022</v>
      </c>
      <c r="W2130" s="640"/>
      <c r="X2130" s="641" t="str">
        <f t="shared" si="99"/>
        <v/>
      </c>
      <c r="Y2130" s="642" t="str">
        <f t="shared" si="100"/>
        <v/>
      </c>
      <c r="Z2130" s="642" t="str">
        <f t="shared" si="101"/>
        <v/>
      </c>
    </row>
    <row r="2131" spans="1:26" s="127" customFormat="1" ht="37.5" hidden="1">
      <c r="A2131" s="636">
        <v>63673</v>
      </c>
      <c r="B2131" s="637" t="s">
        <v>54</v>
      </c>
      <c r="C2131" s="636" t="s">
        <v>2725</v>
      </c>
      <c r="D2131" s="637" t="s">
        <v>2975</v>
      </c>
      <c r="E2131" s="637" t="s">
        <v>2976</v>
      </c>
      <c r="F2131" s="636">
        <v>63392</v>
      </c>
      <c r="G2131" s="637" t="s">
        <v>41</v>
      </c>
      <c r="H2131" s="637" t="s">
        <v>1163</v>
      </c>
      <c r="I2131" s="637" t="s">
        <v>58</v>
      </c>
      <c r="J2131" s="636">
        <v>622</v>
      </c>
      <c r="K2131" s="636">
        <v>5</v>
      </c>
      <c r="L2131" s="637" t="s">
        <v>407</v>
      </c>
      <c r="M2131" s="637" t="s">
        <v>51</v>
      </c>
      <c r="N2131" s="637" t="s">
        <v>39</v>
      </c>
      <c r="O2131" s="637" t="s">
        <v>39</v>
      </c>
      <c r="P2131" s="637" t="s">
        <v>1020</v>
      </c>
      <c r="Q2131" s="638">
        <v>46490</v>
      </c>
      <c r="R2131" s="638">
        <v>46490</v>
      </c>
      <c r="S2131" s="638">
        <v>47606</v>
      </c>
      <c r="T2131" s="638">
        <v>47606</v>
      </c>
      <c r="U2131" s="638">
        <v>4309</v>
      </c>
      <c r="V2131" s="636">
        <v>2022</v>
      </c>
      <c r="W2131" s="640"/>
      <c r="X2131" s="641" t="str">
        <f t="shared" si="99"/>
        <v/>
      </c>
      <c r="Y2131" s="642" t="str">
        <f t="shared" si="100"/>
        <v/>
      </c>
      <c r="Z2131" s="642" t="str">
        <f t="shared" si="101"/>
        <v/>
      </c>
    </row>
    <row r="2132" spans="1:26" s="127" customFormat="1" ht="25">
      <c r="A2132" s="636">
        <v>63675</v>
      </c>
      <c r="B2132" s="637" t="s">
        <v>33</v>
      </c>
      <c r="C2132" s="636" t="s">
        <v>2725</v>
      </c>
      <c r="D2132" s="637" t="s">
        <v>3123</v>
      </c>
      <c r="E2132" s="637" t="s">
        <v>3124</v>
      </c>
      <c r="F2132" s="636">
        <v>63394</v>
      </c>
      <c r="G2132" s="637" t="s">
        <v>57</v>
      </c>
      <c r="H2132" s="637" t="s">
        <v>1162</v>
      </c>
      <c r="I2132" s="637" t="s">
        <v>58</v>
      </c>
      <c r="J2132" s="636">
        <v>22</v>
      </c>
      <c r="K2132" s="636">
        <v>2</v>
      </c>
      <c r="L2132" s="637" t="s">
        <v>52</v>
      </c>
      <c r="M2132" s="637" t="s">
        <v>441</v>
      </c>
      <c r="N2132" s="637" t="s">
        <v>442</v>
      </c>
      <c r="O2132" s="637" t="s">
        <v>442</v>
      </c>
      <c r="P2132" s="637" t="s">
        <v>1156</v>
      </c>
      <c r="Q2132" s="638">
        <v>0</v>
      </c>
      <c r="R2132" s="638">
        <v>0</v>
      </c>
      <c r="S2132" s="638">
        <v>11519</v>
      </c>
      <c r="T2132" s="638">
        <v>11519</v>
      </c>
      <c r="U2132" s="638">
        <v>3376</v>
      </c>
      <c r="V2132" s="636">
        <v>2022</v>
      </c>
      <c r="W2132" s="640"/>
      <c r="X2132" s="641">
        <f t="shared" si="99"/>
        <v>3.4120260663507107</v>
      </c>
      <c r="Y2132" s="642" t="str">
        <f t="shared" si="100"/>
        <v/>
      </c>
      <c r="Z2132" s="642" t="str">
        <f t="shared" si="101"/>
        <v/>
      </c>
    </row>
    <row r="2133" spans="1:26" s="127" customFormat="1" ht="25">
      <c r="A2133" s="636">
        <v>63690</v>
      </c>
      <c r="B2133" s="637" t="s">
        <v>33</v>
      </c>
      <c r="C2133" s="636" t="s">
        <v>2725</v>
      </c>
      <c r="D2133" s="637" t="s">
        <v>2977</v>
      </c>
      <c r="E2133" s="637" t="s">
        <v>1626</v>
      </c>
      <c r="F2133" s="636">
        <v>58871</v>
      </c>
      <c r="G2133" s="637" t="s">
        <v>81</v>
      </c>
      <c r="H2133" s="637" t="s">
        <v>1163</v>
      </c>
      <c r="I2133" s="637" t="s">
        <v>58</v>
      </c>
      <c r="J2133" s="636">
        <v>22</v>
      </c>
      <c r="K2133" s="636">
        <v>2</v>
      </c>
      <c r="L2133" s="637" t="s">
        <v>52</v>
      </c>
      <c r="M2133" s="637" t="s">
        <v>441</v>
      </c>
      <c r="N2133" s="637" t="s">
        <v>442</v>
      </c>
      <c r="O2133" s="637" t="s">
        <v>442</v>
      </c>
      <c r="P2133" s="637" t="s">
        <v>1156</v>
      </c>
      <c r="Q2133" s="638">
        <v>0</v>
      </c>
      <c r="R2133" s="638">
        <v>0</v>
      </c>
      <c r="S2133" s="638">
        <v>18666</v>
      </c>
      <c r="T2133" s="638">
        <v>18666</v>
      </c>
      <c r="U2133" s="638">
        <v>5471</v>
      </c>
      <c r="V2133" s="636">
        <v>2022</v>
      </c>
      <c r="W2133" s="640"/>
      <c r="X2133" s="641">
        <f t="shared" si="99"/>
        <v>3.4118077133979163</v>
      </c>
      <c r="Y2133" s="642" t="str">
        <f t="shared" si="100"/>
        <v/>
      </c>
      <c r="Z2133" s="642" t="str">
        <f t="shared" si="101"/>
        <v/>
      </c>
    </row>
    <row r="2134" spans="1:26" s="127" customFormat="1" ht="25">
      <c r="A2134" s="636">
        <v>63697</v>
      </c>
      <c r="B2134" s="637" t="s">
        <v>33</v>
      </c>
      <c r="C2134" s="636" t="s">
        <v>2725</v>
      </c>
      <c r="D2134" s="637" t="s">
        <v>2978</v>
      </c>
      <c r="E2134" s="637" t="s">
        <v>2979</v>
      </c>
      <c r="F2134" s="636">
        <v>63409</v>
      </c>
      <c r="G2134" s="637" t="s">
        <v>81</v>
      </c>
      <c r="H2134" s="637" t="s">
        <v>1163</v>
      </c>
      <c r="I2134" s="637" t="s">
        <v>58</v>
      </c>
      <c r="J2134" s="636">
        <v>22</v>
      </c>
      <c r="K2134" s="636">
        <v>2</v>
      </c>
      <c r="L2134" s="637" t="s">
        <v>52</v>
      </c>
      <c r="M2134" s="637" t="s">
        <v>441</v>
      </c>
      <c r="N2134" s="637" t="s">
        <v>442</v>
      </c>
      <c r="O2134" s="637" t="s">
        <v>442</v>
      </c>
      <c r="P2134" s="637" t="s">
        <v>1156</v>
      </c>
      <c r="Q2134" s="638">
        <v>0</v>
      </c>
      <c r="R2134" s="638">
        <v>0</v>
      </c>
      <c r="S2134" s="638">
        <v>6008</v>
      </c>
      <c r="T2134" s="638">
        <v>6008</v>
      </c>
      <c r="U2134" s="638">
        <v>1761</v>
      </c>
      <c r="V2134" s="636">
        <v>2022</v>
      </c>
      <c r="W2134" s="640"/>
      <c r="X2134" s="641">
        <f t="shared" si="99"/>
        <v>3.4116978989210676</v>
      </c>
      <c r="Y2134" s="642" t="str">
        <f t="shared" si="100"/>
        <v/>
      </c>
      <c r="Z2134" s="642" t="str">
        <f t="shared" si="101"/>
        <v/>
      </c>
    </row>
    <row r="2135" spans="1:26" s="127" customFormat="1" ht="25">
      <c r="A2135" s="636">
        <v>63718</v>
      </c>
      <c r="B2135" s="637" t="s">
        <v>33</v>
      </c>
      <c r="C2135" s="636" t="s">
        <v>2725</v>
      </c>
      <c r="D2135" s="637" t="s">
        <v>3125</v>
      </c>
      <c r="E2135" s="637" t="s">
        <v>2203</v>
      </c>
      <c r="F2135" s="636">
        <v>61227</v>
      </c>
      <c r="G2135" s="637" t="s">
        <v>130</v>
      </c>
      <c r="H2135" s="637" t="s">
        <v>1163</v>
      </c>
      <c r="I2135" s="637" t="s">
        <v>58</v>
      </c>
      <c r="J2135" s="636">
        <v>22</v>
      </c>
      <c r="K2135" s="636">
        <v>2</v>
      </c>
      <c r="L2135" s="637" t="s">
        <v>52</v>
      </c>
      <c r="M2135" s="637" t="s">
        <v>441</v>
      </c>
      <c r="N2135" s="637" t="s">
        <v>442</v>
      </c>
      <c r="O2135" s="637" t="s">
        <v>442</v>
      </c>
      <c r="P2135" s="637" t="s">
        <v>1156</v>
      </c>
      <c r="Q2135" s="638">
        <v>0</v>
      </c>
      <c r="R2135" s="638">
        <v>0</v>
      </c>
      <c r="S2135" s="638">
        <v>15568</v>
      </c>
      <c r="T2135" s="638">
        <v>15568</v>
      </c>
      <c r="U2135" s="638">
        <v>4563</v>
      </c>
      <c r="V2135" s="636">
        <v>2022</v>
      </c>
      <c r="W2135" s="640"/>
      <c r="X2135" s="641">
        <f t="shared" si="99"/>
        <v>3.4117904887135655</v>
      </c>
      <c r="Y2135" s="642" t="str">
        <f t="shared" si="100"/>
        <v/>
      </c>
      <c r="Z2135" s="642" t="str">
        <f t="shared" si="101"/>
        <v/>
      </c>
    </row>
    <row r="2136" spans="1:26" s="127" customFormat="1" ht="25">
      <c r="A2136" s="636">
        <v>63729</v>
      </c>
      <c r="B2136" s="637" t="s">
        <v>33</v>
      </c>
      <c r="C2136" s="636" t="s">
        <v>2725</v>
      </c>
      <c r="D2136" s="637" t="s">
        <v>3329</v>
      </c>
      <c r="E2136" s="637" t="s">
        <v>3620</v>
      </c>
      <c r="F2136" s="636">
        <v>57365</v>
      </c>
      <c r="G2136" s="637" t="s">
        <v>57</v>
      </c>
      <c r="H2136" s="637" t="s">
        <v>1162</v>
      </c>
      <c r="I2136" s="637" t="s">
        <v>58</v>
      </c>
      <c r="J2136" s="636">
        <v>22</v>
      </c>
      <c r="K2136" s="636">
        <v>2</v>
      </c>
      <c r="L2136" s="637" t="s">
        <v>52</v>
      </c>
      <c r="M2136" s="637" t="s">
        <v>441</v>
      </c>
      <c r="N2136" s="637" t="s">
        <v>442</v>
      </c>
      <c r="O2136" s="637" t="s">
        <v>442</v>
      </c>
      <c r="P2136" s="637" t="s">
        <v>1156</v>
      </c>
      <c r="Q2136" s="638">
        <v>0</v>
      </c>
      <c r="R2136" s="638">
        <v>0</v>
      </c>
      <c r="S2136" s="638">
        <v>16907</v>
      </c>
      <c r="T2136" s="638">
        <v>16907</v>
      </c>
      <c r="U2136" s="638">
        <v>4955</v>
      </c>
      <c r="V2136" s="636">
        <v>2022</v>
      </c>
      <c r="W2136" s="640"/>
      <c r="X2136" s="641">
        <f t="shared" si="99"/>
        <v>3.4121089808274472</v>
      </c>
      <c r="Y2136" s="642" t="str">
        <f t="shared" si="100"/>
        <v/>
      </c>
      <c r="Z2136" s="642" t="str">
        <f t="shared" si="101"/>
        <v/>
      </c>
    </row>
    <row r="2137" spans="1:26" s="127" customFormat="1" ht="25">
      <c r="A2137" s="636">
        <v>63747</v>
      </c>
      <c r="B2137" s="637" t="s">
        <v>33</v>
      </c>
      <c r="C2137" s="636" t="s">
        <v>2725</v>
      </c>
      <c r="D2137" s="637" t="s">
        <v>3330</v>
      </c>
      <c r="E2137" s="637" t="s">
        <v>3331</v>
      </c>
      <c r="F2137" s="636">
        <v>63441</v>
      </c>
      <c r="G2137" s="637" t="s">
        <v>57</v>
      </c>
      <c r="H2137" s="637" t="s">
        <v>1162</v>
      </c>
      <c r="I2137" s="637" t="s">
        <v>58</v>
      </c>
      <c r="J2137" s="636">
        <v>22</v>
      </c>
      <c r="K2137" s="636">
        <v>2</v>
      </c>
      <c r="L2137" s="637" t="s">
        <v>52</v>
      </c>
      <c r="M2137" s="637" t="s">
        <v>441</v>
      </c>
      <c r="N2137" s="637" t="s">
        <v>442</v>
      </c>
      <c r="O2137" s="637" t="s">
        <v>442</v>
      </c>
      <c r="P2137" s="637" t="s">
        <v>1156</v>
      </c>
      <c r="Q2137" s="638">
        <v>0</v>
      </c>
      <c r="R2137" s="638">
        <v>0</v>
      </c>
      <c r="S2137" s="638">
        <v>12534</v>
      </c>
      <c r="T2137" s="638">
        <v>12534</v>
      </c>
      <c r="U2137" s="638">
        <v>3673</v>
      </c>
      <c r="V2137" s="636">
        <v>2022</v>
      </c>
      <c r="W2137" s="640"/>
      <c r="X2137" s="641">
        <f t="shared" si="99"/>
        <v>3.4124693710863054</v>
      </c>
      <c r="Y2137" s="642" t="str">
        <f t="shared" si="100"/>
        <v/>
      </c>
      <c r="Z2137" s="642" t="str">
        <f t="shared" si="101"/>
        <v/>
      </c>
    </row>
    <row r="2138" spans="1:26" s="127" customFormat="1" ht="25">
      <c r="A2138" s="636">
        <v>63748</v>
      </c>
      <c r="B2138" s="637" t="s">
        <v>33</v>
      </c>
      <c r="C2138" s="636" t="s">
        <v>2725</v>
      </c>
      <c r="D2138" s="637" t="s">
        <v>3126</v>
      </c>
      <c r="E2138" s="637" t="s">
        <v>3127</v>
      </c>
      <c r="F2138" s="636">
        <v>63442</v>
      </c>
      <c r="G2138" s="637" t="s">
        <v>57</v>
      </c>
      <c r="H2138" s="637" t="s">
        <v>1162</v>
      </c>
      <c r="I2138" s="637" t="s">
        <v>58</v>
      </c>
      <c r="J2138" s="636">
        <v>22</v>
      </c>
      <c r="K2138" s="636">
        <v>2</v>
      </c>
      <c r="L2138" s="637" t="s">
        <v>52</v>
      </c>
      <c r="M2138" s="637" t="s">
        <v>441</v>
      </c>
      <c r="N2138" s="637" t="s">
        <v>442</v>
      </c>
      <c r="O2138" s="637" t="s">
        <v>442</v>
      </c>
      <c r="P2138" s="637" t="s">
        <v>1156</v>
      </c>
      <c r="Q2138" s="638">
        <v>0</v>
      </c>
      <c r="R2138" s="638">
        <v>0</v>
      </c>
      <c r="S2138" s="638">
        <v>12479</v>
      </c>
      <c r="T2138" s="638">
        <v>12479</v>
      </c>
      <c r="U2138" s="638">
        <v>3657</v>
      </c>
      <c r="V2138" s="636">
        <v>2022</v>
      </c>
      <c r="W2138" s="640"/>
      <c r="X2138" s="641">
        <f t="shared" si="99"/>
        <v>3.4123598578069454</v>
      </c>
      <c r="Y2138" s="642" t="str">
        <f t="shared" si="100"/>
        <v/>
      </c>
      <c r="Z2138" s="642" t="str">
        <f t="shared" si="101"/>
        <v/>
      </c>
    </row>
    <row r="2139" spans="1:26" s="127" customFormat="1" ht="25">
      <c r="A2139" s="636">
        <v>63749</v>
      </c>
      <c r="B2139" s="637" t="s">
        <v>33</v>
      </c>
      <c r="C2139" s="636" t="s">
        <v>2725</v>
      </c>
      <c r="D2139" s="637" t="s">
        <v>2980</v>
      </c>
      <c r="E2139" s="637" t="s">
        <v>2981</v>
      </c>
      <c r="F2139" s="636">
        <v>63443</v>
      </c>
      <c r="G2139" s="637" t="s">
        <v>57</v>
      </c>
      <c r="H2139" s="637" t="s">
        <v>1162</v>
      </c>
      <c r="I2139" s="637" t="s">
        <v>58</v>
      </c>
      <c r="J2139" s="636">
        <v>22</v>
      </c>
      <c r="K2139" s="636">
        <v>2</v>
      </c>
      <c r="L2139" s="637" t="s">
        <v>52</v>
      </c>
      <c r="M2139" s="637" t="s">
        <v>441</v>
      </c>
      <c r="N2139" s="637" t="s">
        <v>442</v>
      </c>
      <c r="O2139" s="637" t="s">
        <v>442</v>
      </c>
      <c r="P2139" s="637" t="s">
        <v>1156</v>
      </c>
      <c r="Q2139" s="638">
        <v>0</v>
      </c>
      <c r="R2139" s="638">
        <v>0</v>
      </c>
      <c r="S2139" s="638">
        <v>12296</v>
      </c>
      <c r="T2139" s="638">
        <v>12296</v>
      </c>
      <c r="U2139" s="638">
        <v>3604</v>
      </c>
      <c r="V2139" s="636">
        <v>2022</v>
      </c>
      <c r="W2139" s="640"/>
      <c r="X2139" s="641">
        <f t="shared" si="99"/>
        <v>3.4117647058823528</v>
      </c>
      <c r="Y2139" s="642" t="str">
        <f t="shared" si="100"/>
        <v/>
      </c>
      <c r="Z2139" s="642" t="str">
        <f t="shared" si="101"/>
        <v/>
      </c>
    </row>
    <row r="2140" spans="1:26" s="127" customFormat="1" ht="25">
      <c r="A2140" s="636">
        <v>63750</v>
      </c>
      <c r="B2140" s="637" t="s">
        <v>33</v>
      </c>
      <c r="C2140" s="636" t="s">
        <v>2725</v>
      </c>
      <c r="D2140" s="637" t="s">
        <v>2982</v>
      </c>
      <c r="E2140" s="637" t="s">
        <v>2983</v>
      </c>
      <c r="F2140" s="636">
        <v>63444</v>
      </c>
      <c r="G2140" s="637" t="s">
        <v>57</v>
      </c>
      <c r="H2140" s="637" t="s">
        <v>1162</v>
      </c>
      <c r="I2140" s="637" t="s">
        <v>58</v>
      </c>
      <c r="J2140" s="636">
        <v>22</v>
      </c>
      <c r="K2140" s="636">
        <v>2</v>
      </c>
      <c r="L2140" s="637" t="s">
        <v>52</v>
      </c>
      <c r="M2140" s="637" t="s">
        <v>441</v>
      </c>
      <c r="N2140" s="637" t="s">
        <v>442</v>
      </c>
      <c r="O2140" s="637" t="s">
        <v>442</v>
      </c>
      <c r="P2140" s="637" t="s">
        <v>1156</v>
      </c>
      <c r="Q2140" s="638">
        <v>0</v>
      </c>
      <c r="R2140" s="638">
        <v>0</v>
      </c>
      <c r="S2140" s="638">
        <v>11840</v>
      </c>
      <c r="T2140" s="638">
        <v>11840</v>
      </c>
      <c r="U2140" s="638">
        <v>3470</v>
      </c>
      <c r="V2140" s="636">
        <v>2022</v>
      </c>
      <c r="W2140" s="640"/>
      <c r="X2140" s="641">
        <f t="shared" si="99"/>
        <v>3.4121037463976944</v>
      </c>
      <c r="Y2140" s="642" t="str">
        <f t="shared" si="100"/>
        <v/>
      </c>
      <c r="Z2140" s="642" t="str">
        <f t="shared" si="101"/>
        <v/>
      </c>
    </row>
    <row r="2141" spans="1:26" s="127" customFormat="1" ht="25">
      <c r="A2141" s="636">
        <v>63751</v>
      </c>
      <c r="B2141" s="637" t="s">
        <v>33</v>
      </c>
      <c r="C2141" s="636" t="s">
        <v>2725</v>
      </c>
      <c r="D2141" s="637" t="s">
        <v>2984</v>
      </c>
      <c r="E2141" s="637" t="s">
        <v>2985</v>
      </c>
      <c r="F2141" s="636">
        <v>63445</v>
      </c>
      <c r="G2141" s="637" t="s">
        <v>57</v>
      </c>
      <c r="H2141" s="637" t="s">
        <v>1162</v>
      </c>
      <c r="I2141" s="637" t="s">
        <v>58</v>
      </c>
      <c r="J2141" s="636">
        <v>22</v>
      </c>
      <c r="K2141" s="636">
        <v>2</v>
      </c>
      <c r="L2141" s="637" t="s">
        <v>52</v>
      </c>
      <c r="M2141" s="637" t="s">
        <v>441</v>
      </c>
      <c r="N2141" s="637" t="s">
        <v>442</v>
      </c>
      <c r="O2141" s="637" t="s">
        <v>442</v>
      </c>
      <c r="P2141" s="637" t="s">
        <v>1156</v>
      </c>
      <c r="Q2141" s="638">
        <v>0</v>
      </c>
      <c r="R2141" s="638">
        <v>0</v>
      </c>
      <c r="S2141" s="638">
        <v>11982</v>
      </c>
      <c r="T2141" s="638">
        <v>11982</v>
      </c>
      <c r="U2141" s="638">
        <v>3512</v>
      </c>
      <c r="V2141" s="636">
        <v>2022</v>
      </c>
      <c r="W2141" s="640"/>
      <c r="X2141" s="641">
        <f t="shared" si="99"/>
        <v>3.4117312072892938</v>
      </c>
      <c r="Y2141" s="642" t="str">
        <f t="shared" si="100"/>
        <v/>
      </c>
      <c r="Z2141" s="642" t="str">
        <f t="shared" si="101"/>
        <v/>
      </c>
    </row>
    <row r="2142" spans="1:26" s="127" customFormat="1" ht="25">
      <c r="A2142" s="636">
        <v>63752</v>
      </c>
      <c r="B2142" s="637" t="s">
        <v>33</v>
      </c>
      <c r="C2142" s="636" t="s">
        <v>2725</v>
      </c>
      <c r="D2142" s="637" t="s">
        <v>2986</v>
      </c>
      <c r="E2142" s="637" t="s">
        <v>2987</v>
      </c>
      <c r="F2142" s="636">
        <v>63446</v>
      </c>
      <c r="G2142" s="637" t="s">
        <v>57</v>
      </c>
      <c r="H2142" s="637" t="s">
        <v>1162</v>
      </c>
      <c r="I2142" s="637" t="s">
        <v>58</v>
      </c>
      <c r="J2142" s="636">
        <v>22</v>
      </c>
      <c r="K2142" s="636">
        <v>2</v>
      </c>
      <c r="L2142" s="637" t="s">
        <v>52</v>
      </c>
      <c r="M2142" s="637" t="s">
        <v>441</v>
      </c>
      <c r="N2142" s="637" t="s">
        <v>442</v>
      </c>
      <c r="O2142" s="637" t="s">
        <v>442</v>
      </c>
      <c r="P2142" s="637" t="s">
        <v>1156</v>
      </c>
      <c r="Q2142" s="638">
        <v>0</v>
      </c>
      <c r="R2142" s="638">
        <v>0</v>
      </c>
      <c r="S2142" s="638">
        <v>12471</v>
      </c>
      <c r="T2142" s="638">
        <v>12471</v>
      </c>
      <c r="U2142" s="638">
        <v>3655</v>
      </c>
      <c r="V2142" s="636">
        <v>2022</v>
      </c>
      <c r="W2142" s="640"/>
      <c r="X2142" s="641">
        <f t="shared" si="99"/>
        <v>3.4120383036935706</v>
      </c>
      <c r="Y2142" s="642" t="str">
        <f t="shared" si="100"/>
        <v/>
      </c>
      <c r="Z2142" s="642" t="str">
        <f t="shared" si="101"/>
        <v/>
      </c>
    </row>
    <row r="2143" spans="1:26" s="127" customFormat="1" ht="25">
      <c r="A2143" s="636">
        <v>63763</v>
      </c>
      <c r="B2143" s="637" t="s">
        <v>33</v>
      </c>
      <c r="C2143" s="636" t="s">
        <v>2725</v>
      </c>
      <c r="D2143" s="637" t="s">
        <v>3332</v>
      </c>
      <c r="E2143" s="637" t="s">
        <v>3333</v>
      </c>
      <c r="F2143" s="636">
        <v>64541</v>
      </c>
      <c r="G2143" s="637" t="s">
        <v>81</v>
      </c>
      <c r="H2143" s="637" t="s">
        <v>1163</v>
      </c>
      <c r="I2143" s="637" t="s">
        <v>58</v>
      </c>
      <c r="J2143" s="636">
        <v>22</v>
      </c>
      <c r="K2143" s="636">
        <v>2</v>
      </c>
      <c r="L2143" s="637" t="s">
        <v>52</v>
      </c>
      <c r="M2143" s="637" t="s">
        <v>1852</v>
      </c>
      <c r="N2143" s="637" t="s">
        <v>1035</v>
      </c>
      <c r="O2143" s="637" t="s">
        <v>82</v>
      </c>
      <c r="P2143" s="637" t="s">
        <v>2726</v>
      </c>
      <c r="Q2143" s="638">
        <v>390</v>
      </c>
      <c r="R2143" s="638">
        <v>390</v>
      </c>
      <c r="S2143" s="638">
        <v>0</v>
      </c>
      <c r="T2143" s="638">
        <v>0</v>
      </c>
      <c r="U2143" s="638">
        <v>0</v>
      </c>
      <c r="V2143" s="636">
        <v>2022</v>
      </c>
      <c r="W2143" s="640"/>
      <c r="X2143" s="641" t="str">
        <f t="shared" si="99"/>
        <v/>
      </c>
      <c r="Y2143" s="642" t="str">
        <f t="shared" si="100"/>
        <v/>
      </c>
      <c r="Z2143" s="642" t="str">
        <f t="shared" si="101"/>
        <v/>
      </c>
    </row>
    <row r="2144" spans="1:26" s="127" customFormat="1" ht="25">
      <c r="A2144" s="636">
        <v>63763</v>
      </c>
      <c r="B2144" s="637" t="s">
        <v>33</v>
      </c>
      <c r="C2144" s="636" t="s">
        <v>2725</v>
      </c>
      <c r="D2144" s="637" t="s">
        <v>3332</v>
      </c>
      <c r="E2144" s="637" t="s">
        <v>3333</v>
      </c>
      <c r="F2144" s="636">
        <v>64541</v>
      </c>
      <c r="G2144" s="637" t="s">
        <v>81</v>
      </c>
      <c r="H2144" s="637" t="s">
        <v>1163</v>
      </c>
      <c r="I2144" s="637" t="s">
        <v>58</v>
      </c>
      <c r="J2144" s="636">
        <v>22</v>
      </c>
      <c r="K2144" s="636">
        <v>2</v>
      </c>
      <c r="L2144" s="637" t="s">
        <v>52</v>
      </c>
      <c r="M2144" s="637" t="s">
        <v>441</v>
      </c>
      <c r="N2144" s="637" t="s">
        <v>442</v>
      </c>
      <c r="O2144" s="637" t="s">
        <v>442</v>
      </c>
      <c r="P2144" s="637" t="s">
        <v>1156</v>
      </c>
      <c r="Q2144" s="638">
        <v>0</v>
      </c>
      <c r="R2144" s="638">
        <v>0</v>
      </c>
      <c r="S2144" s="638">
        <v>22843</v>
      </c>
      <c r="T2144" s="638">
        <v>22843</v>
      </c>
      <c r="U2144" s="638">
        <v>6695</v>
      </c>
      <c r="V2144" s="636">
        <v>2022</v>
      </c>
      <c r="W2144" s="640"/>
      <c r="X2144" s="641">
        <f t="shared" si="99"/>
        <v>3.4119492158327112</v>
      </c>
      <c r="Y2144" s="642" t="str">
        <f t="shared" si="100"/>
        <v/>
      </c>
      <c r="Z2144" s="642" t="str">
        <f t="shared" si="101"/>
        <v/>
      </c>
    </row>
    <row r="2145" spans="1:26" s="127" customFormat="1" ht="25">
      <c r="A2145" s="636">
        <v>63772</v>
      </c>
      <c r="B2145" s="637" t="s">
        <v>33</v>
      </c>
      <c r="C2145" s="636" t="s">
        <v>2725</v>
      </c>
      <c r="D2145" s="637" t="s">
        <v>2988</v>
      </c>
      <c r="E2145" s="637" t="s">
        <v>2113</v>
      </c>
      <c r="F2145" s="636">
        <v>61060</v>
      </c>
      <c r="G2145" s="637" t="s">
        <v>57</v>
      </c>
      <c r="H2145" s="637" t="s">
        <v>1162</v>
      </c>
      <c r="I2145" s="637" t="s">
        <v>58</v>
      </c>
      <c r="J2145" s="636">
        <v>22</v>
      </c>
      <c r="K2145" s="636">
        <v>2</v>
      </c>
      <c r="L2145" s="637" t="s">
        <v>52</v>
      </c>
      <c r="M2145" s="637" t="s">
        <v>441</v>
      </c>
      <c r="N2145" s="637" t="s">
        <v>442</v>
      </c>
      <c r="O2145" s="637" t="s">
        <v>442</v>
      </c>
      <c r="P2145" s="637" t="s">
        <v>1156</v>
      </c>
      <c r="Q2145" s="638">
        <v>0</v>
      </c>
      <c r="R2145" s="638">
        <v>0</v>
      </c>
      <c r="S2145" s="638">
        <v>5938</v>
      </c>
      <c r="T2145" s="638">
        <v>5938</v>
      </c>
      <c r="U2145" s="638">
        <v>1740</v>
      </c>
      <c r="V2145" s="636">
        <v>2022</v>
      </c>
      <c r="W2145" s="640"/>
      <c r="X2145" s="641">
        <f t="shared" si="99"/>
        <v>3.4126436781609195</v>
      </c>
      <c r="Y2145" s="642" t="str">
        <f t="shared" si="100"/>
        <v/>
      </c>
      <c r="Z2145" s="642" t="str">
        <f t="shared" si="101"/>
        <v/>
      </c>
    </row>
    <row r="2146" spans="1:26" s="127" customFormat="1" ht="25">
      <c r="A2146" s="636">
        <v>63774</v>
      </c>
      <c r="B2146" s="637" t="s">
        <v>33</v>
      </c>
      <c r="C2146" s="636" t="s">
        <v>2725</v>
      </c>
      <c r="D2146" s="637" t="s">
        <v>3658</v>
      </c>
      <c r="E2146" s="637" t="s">
        <v>1905</v>
      </c>
      <c r="F2146" s="636">
        <v>59474</v>
      </c>
      <c r="G2146" s="637" t="s">
        <v>57</v>
      </c>
      <c r="H2146" s="637" t="s">
        <v>1162</v>
      </c>
      <c r="I2146" s="637" t="s">
        <v>1135</v>
      </c>
      <c r="J2146" s="636">
        <v>22</v>
      </c>
      <c r="K2146" s="636">
        <v>2</v>
      </c>
      <c r="L2146" s="637" t="s">
        <v>52</v>
      </c>
      <c r="M2146" s="637" t="s">
        <v>1852</v>
      </c>
      <c r="N2146" s="637" t="s">
        <v>1035</v>
      </c>
      <c r="O2146" s="637" t="s">
        <v>82</v>
      </c>
      <c r="P2146" s="637" t="s">
        <v>2726</v>
      </c>
      <c r="Q2146" s="638">
        <v>0</v>
      </c>
      <c r="R2146" s="638">
        <v>0</v>
      </c>
      <c r="S2146" s="638">
        <v>0</v>
      </c>
      <c r="T2146" s="638">
        <v>0</v>
      </c>
      <c r="U2146" s="638">
        <v>0</v>
      </c>
      <c r="V2146" s="636">
        <v>2022</v>
      </c>
      <c r="W2146" s="640"/>
      <c r="X2146" s="641" t="str">
        <f t="shared" si="99"/>
        <v/>
      </c>
      <c r="Y2146" s="642" t="str">
        <f t="shared" si="100"/>
        <v/>
      </c>
      <c r="Z2146" s="642" t="str">
        <f t="shared" si="101"/>
        <v/>
      </c>
    </row>
    <row r="2147" spans="1:26" s="127" customFormat="1" ht="25">
      <c r="A2147" s="636">
        <v>63774</v>
      </c>
      <c r="B2147" s="637" t="s">
        <v>33</v>
      </c>
      <c r="C2147" s="636" t="s">
        <v>2725</v>
      </c>
      <c r="D2147" s="637" t="s">
        <v>3658</v>
      </c>
      <c r="E2147" s="637" t="s">
        <v>1905</v>
      </c>
      <c r="F2147" s="636">
        <v>59474</v>
      </c>
      <c r="G2147" s="637" t="s">
        <v>57</v>
      </c>
      <c r="H2147" s="637" t="s">
        <v>1162</v>
      </c>
      <c r="I2147" s="637" t="s">
        <v>1135</v>
      </c>
      <c r="J2147" s="636">
        <v>22</v>
      </c>
      <c r="K2147" s="636">
        <v>2</v>
      </c>
      <c r="L2147" s="637" t="s">
        <v>52</v>
      </c>
      <c r="M2147" s="637" t="s">
        <v>441</v>
      </c>
      <c r="N2147" s="637" t="s">
        <v>442</v>
      </c>
      <c r="O2147" s="637" t="s">
        <v>442</v>
      </c>
      <c r="P2147" s="637" t="s">
        <v>1156</v>
      </c>
      <c r="Q2147" s="638">
        <v>0</v>
      </c>
      <c r="R2147" s="638">
        <v>0</v>
      </c>
      <c r="S2147" s="638">
        <v>3595</v>
      </c>
      <c r="T2147" s="638">
        <v>3595</v>
      </c>
      <c r="U2147" s="638">
        <v>1054</v>
      </c>
      <c r="V2147" s="636">
        <v>2022</v>
      </c>
      <c r="W2147" s="640"/>
      <c r="X2147" s="641">
        <f t="shared" si="99"/>
        <v>3.4108159392789372</v>
      </c>
      <c r="Y2147" s="642" t="str">
        <f t="shared" si="100"/>
        <v/>
      </c>
      <c r="Z2147" s="642" t="str">
        <f t="shared" si="101"/>
        <v/>
      </c>
    </row>
    <row r="2148" spans="1:26" s="127" customFormat="1" ht="25">
      <c r="A2148" s="636">
        <v>63780</v>
      </c>
      <c r="B2148" s="637" t="s">
        <v>33</v>
      </c>
      <c r="C2148" s="636" t="s">
        <v>2725</v>
      </c>
      <c r="D2148" s="637" t="s">
        <v>3128</v>
      </c>
      <c r="E2148" s="637" t="s">
        <v>3128</v>
      </c>
      <c r="F2148" s="636">
        <v>63461</v>
      </c>
      <c r="G2148" s="637" t="s">
        <v>57</v>
      </c>
      <c r="H2148" s="637" t="s">
        <v>1162</v>
      </c>
      <c r="I2148" s="637" t="s">
        <v>58</v>
      </c>
      <c r="J2148" s="636">
        <v>22</v>
      </c>
      <c r="K2148" s="636">
        <v>2</v>
      </c>
      <c r="L2148" s="637" t="s">
        <v>52</v>
      </c>
      <c r="M2148" s="637" t="s">
        <v>441</v>
      </c>
      <c r="N2148" s="637" t="s">
        <v>442</v>
      </c>
      <c r="O2148" s="637" t="s">
        <v>442</v>
      </c>
      <c r="P2148" s="637" t="s">
        <v>1156</v>
      </c>
      <c r="Q2148" s="638">
        <v>0</v>
      </c>
      <c r="R2148" s="638">
        <v>0</v>
      </c>
      <c r="S2148" s="638">
        <v>10260</v>
      </c>
      <c r="T2148" s="638">
        <v>10260</v>
      </c>
      <c r="U2148" s="638">
        <v>3007</v>
      </c>
      <c r="V2148" s="636">
        <v>2022</v>
      </c>
      <c r="W2148" s="640"/>
      <c r="X2148" s="641">
        <f t="shared" si="99"/>
        <v>3.412038576654473</v>
      </c>
      <c r="Y2148" s="642" t="str">
        <f t="shared" si="100"/>
        <v/>
      </c>
      <c r="Z2148" s="642" t="str">
        <f t="shared" si="101"/>
        <v/>
      </c>
    </row>
    <row r="2149" spans="1:26" s="127" customFormat="1" ht="25">
      <c r="A2149" s="636">
        <v>63781</v>
      </c>
      <c r="B2149" s="637" t="s">
        <v>33</v>
      </c>
      <c r="C2149" s="636" t="s">
        <v>2725</v>
      </c>
      <c r="D2149" s="637" t="s">
        <v>3129</v>
      </c>
      <c r="E2149" s="637" t="s">
        <v>3129</v>
      </c>
      <c r="F2149" s="636">
        <v>63462</v>
      </c>
      <c r="G2149" s="637" t="s">
        <v>57</v>
      </c>
      <c r="H2149" s="637" t="s">
        <v>1162</v>
      </c>
      <c r="I2149" s="637" t="s">
        <v>58</v>
      </c>
      <c r="J2149" s="636">
        <v>22</v>
      </c>
      <c r="K2149" s="636">
        <v>2</v>
      </c>
      <c r="L2149" s="637" t="s">
        <v>52</v>
      </c>
      <c r="M2149" s="637" t="s">
        <v>441</v>
      </c>
      <c r="N2149" s="637" t="s">
        <v>442</v>
      </c>
      <c r="O2149" s="637" t="s">
        <v>442</v>
      </c>
      <c r="P2149" s="637" t="s">
        <v>1156</v>
      </c>
      <c r="Q2149" s="638">
        <v>0</v>
      </c>
      <c r="R2149" s="638">
        <v>0</v>
      </c>
      <c r="S2149" s="638">
        <v>9503</v>
      </c>
      <c r="T2149" s="638">
        <v>9503</v>
      </c>
      <c r="U2149" s="638">
        <v>2785</v>
      </c>
      <c r="V2149" s="636">
        <v>2022</v>
      </c>
      <c r="W2149" s="640"/>
      <c r="X2149" s="641">
        <f t="shared" si="99"/>
        <v>3.4122082585278277</v>
      </c>
      <c r="Y2149" s="642" t="str">
        <f t="shared" si="100"/>
        <v/>
      </c>
      <c r="Z2149" s="642" t="str">
        <f t="shared" si="101"/>
        <v/>
      </c>
    </row>
    <row r="2150" spans="1:26" s="127" customFormat="1" ht="25">
      <c r="A2150" s="636">
        <v>63800</v>
      </c>
      <c r="B2150" s="637" t="s">
        <v>33</v>
      </c>
      <c r="C2150" s="636" t="s">
        <v>2725</v>
      </c>
      <c r="D2150" s="637" t="s">
        <v>2989</v>
      </c>
      <c r="E2150" s="637" t="s">
        <v>2203</v>
      </c>
      <c r="F2150" s="636">
        <v>61227</v>
      </c>
      <c r="G2150" s="637" t="s">
        <v>57</v>
      </c>
      <c r="H2150" s="637" t="s">
        <v>1162</v>
      </c>
      <c r="I2150" s="637" t="s">
        <v>58</v>
      </c>
      <c r="J2150" s="636">
        <v>22</v>
      </c>
      <c r="K2150" s="636">
        <v>2</v>
      </c>
      <c r="L2150" s="637" t="s">
        <v>52</v>
      </c>
      <c r="M2150" s="637" t="s">
        <v>441</v>
      </c>
      <c r="N2150" s="637" t="s">
        <v>442</v>
      </c>
      <c r="O2150" s="637" t="s">
        <v>442</v>
      </c>
      <c r="P2150" s="637" t="s">
        <v>1156</v>
      </c>
      <c r="Q2150" s="638">
        <v>0</v>
      </c>
      <c r="R2150" s="638">
        <v>0</v>
      </c>
      <c r="S2150" s="638">
        <v>11815</v>
      </c>
      <c r="T2150" s="638">
        <v>11815</v>
      </c>
      <c r="U2150" s="638">
        <v>3463</v>
      </c>
      <c r="V2150" s="636">
        <v>2022</v>
      </c>
      <c r="W2150" s="640"/>
      <c r="X2150" s="641">
        <f t="shared" si="99"/>
        <v>3.4117816921744151</v>
      </c>
      <c r="Y2150" s="642" t="str">
        <f t="shared" si="100"/>
        <v/>
      </c>
      <c r="Z2150" s="642" t="str">
        <f t="shared" si="101"/>
        <v/>
      </c>
    </row>
    <row r="2151" spans="1:26" s="127" customFormat="1" ht="25">
      <c r="A2151" s="636">
        <v>63804</v>
      </c>
      <c r="B2151" s="637" t="s">
        <v>33</v>
      </c>
      <c r="C2151" s="636" t="s">
        <v>2725</v>
      </c>
      <c r="D2151" s="637" t="s">
        <v>3130</v>
      </c>
      <c r="E2151" s="637" t="s">
        <v>3131</v>
      </c>
      <c r="F2151" s="636">
        <v>63491</v>
      </c>
      <c r="G2151" s="637" t="s">
        <v>81</v>
      </c>
      <c r="H2151" s="637" t="s">
        <v>1163</v>
      </c>
      <c r="I2151" s="637" t="s">
        <v>58</v>
      </c>
      <c r="J2151" s="636">
        <v>22</v>
      </c>
      <c r="K2151" s="636">
        <v>2</v>
      </c>
      <c r="L2151" s="637" t="s">
        <v>52</v>
      </c>
      <c r="M2151" s="637" t="s">
        <v>1852</v>
      </c>
      <c r="N2151" s="637" t="s">
        <v>1035</v>
      </c>
      <c r="O2151" s="637" t="s">
        <v>82</v>
      </c>
      <c r="P2151" s="637" t="s">
        <v>2726</v>
      </c>
      <c r="Q2151" s="638">
        <v>340</v>
      </c>
      <c r="R2151" s="638">
        <v>340</v>
      </c>
      <c r="S2151" s="638">
        <v>0</v>
      </c>
      <c r="T2151" s="638">
        <v>0</v>
      </c>
      <c r="U2151" s="638">
        <v>-77</v>
      </c>
      <c r="V2151" s="636">
        <v>2022</v>
      </c>
      <c r="W2151" s="640"/>
      <c r="X2151" s="641" t="str">
        <f t="shared" si="99"/>
        <v/>
      </c>
      <c r="Y2151" s="642" t="str">
        <f t="shared" si="100"/>
        <v/>
      </c>
      <c r="Z2151" s="642" t="str">
        <f t="shared" si="101"/>
        <v/>
      </c>
    </row>
    <row r="2152" spans="1:26" s="127" customFormat="1" ht="25">
      <c r="A2152" s="636">
        <v>63804</v>
      </c>
      <c r="B2152" s="637" t="s">
        <v>33</v>
      </c>
      <c r="C2152" s="636" t="s">
        <v>2725</v>
      </c>
      <c r="D2152" s="637" t="s">
        <v>3130</v>
      </c>
      <c r="E2152" s="637" t="s">
        <v>3131</v>
      </c>
      <c r="F2152" s="636">
        <v>63491</v>
      </c>
      <c r="G2152" s="637" t="s">
        <v>81</v>
      </c>
      <c r="H2152" s="637" t="s">
        <v>1163</v>
      </c>
      <c r="I2152" s="637" t="s">
        <v>58</v>
      </c>
      <c r="J2152" s="636">
        <v>22</v>
      </c>
      <c r="K2152" s="636">
        <v>2</v>
      </c>
      <c r="L2152" s="637" t="s">
        <v>52</v>
      </c>
      <c r="M2152" s="637" t="s">
        <v>441</v>
      </c>
      <c r="N2152" s="637" t="s">
        <v>442</v>
      </c>
      <c r="O2152" s="637" t="s">
        <v>442</v>
      </c>
      <c r="P2152" s="637" t="s">
        <v>1156</v>
      </c>
      <c r="Q2152" s="638">
        <v>0</v>
      </c>
      <c r="R2152" s="638">
        <v>0</v>
      </c>
      <c r="S2152" s="638">
        <v>20281</v>
      </c>
      <c r="T2152" s="638">
        <v>20281</v>
      </c>
      <c r="U2152" s="638">
        <v>5944</v>
      </c>
      <c r="V2152" s="636">
        <v>2022</v>
      </c>
      <c r="W2152" s="640"/>
      <c r="X2152" s="641">
        <f t="shared" si="99"/>
        <v>3.4120121130551815</v>
      </c>
      <c r="Y2152" s="642" t="str">
        <f t="shared" si="100"/>
        <v/>
      </c>
      <c r="Z2152" s="642" t="str">
        <f t="shared" si="101"/>
        <v/>
      </c>
    </row>
    <row r="2153" spans="1:26" s="127" customFormat="1" ht="25">
      <c r="A2153" s="636">
        <v>63805</v>
      </c>
      <c r="B2153" s="637" t="s">
        <v>33</v>
      </c>
      <c r="C2153" s="636" t="s">
        <v>2725</v>
      </c>
      <c r="D2153" s="637" t="s">
        <v>3334</v>
      </c>
      <c r="E2153" s="637" t="s">
        <v>3335</v>
      </c>
      <c r="F2153" s="636">
        <v>63490</v>
      </c>
      <c r="G2153" s="637" t="s">
        <v>81</v>
      </c>
      <c r="H2153" s="637" t="s">
        <v>1163</v>
      </c>
      <c r="I2153" s="637" t="s">
        <v>58</v>
      </c>
      <c r="J2153" s="636">
        <v>22</v>
      </c>
      <c r="K2153" s="636">
        <v>2</v>
      </c>
      <c r="L2153" s="637" t="s">
        <v>52</v>
      </c>
      <c r="M2153" s="637" t="s">
        <v>1852</v>
      </c>
      <c r="N2153" s="637" t="s">
        <v>1035</v>
      </c>
      <c r="O2153" s="637" t="s">
        <v>82</v>
      </c>
      <c r="P2153" s="637" t="s">
        <v>2726</v>
      </c>
      <c r="Q2153" s="638">
        <v>69</v>
      </c>
      <c r="R2153" s="638">
        <v>69</v>
      </c>
      <c r="S2153" s="638">
        <v>0</v>
      </c>
      <c r="T2153" s="638">
        <v>0</v>
      </c>
      <c r="U2153" s="638">
        <v>-28</v>
      </c>
      <c r="V2153" s="636">
        <v>2022</v>
      </c>
      <c r="W2153" s="640"/>
      <c r="X2153" s="641" t="str">
        <f t="shared" si="99"/>
        <v/>
      </c>
      <c r="Y2153" s="642" t="str">
        <f t="shared" si="100"/>
        <v/>
      </c>
      <c r="Z2153" s="642" t="str">
        <f t="shared" si="101"/>
        <v/>
      </c>
    </row>
    <row r="2154" spans="1:26" s="127" customFormat="1" ht="25">
      <c r="A2154" s="636">
        <v>63805</v>
      </c>
      <c r="B2154" s="637" t="s">
        <v>33</v>
      </c>
      <c r="C2154" s="636" t="s">
        <v>2725</v>
      </c>
      <c r="D2154" s="637" t="s">
        <v>3334</v>
      </c>
      <c r="E2154" s="637" t="s">
        <v>3335</v>
      </c>
      <c r="F2154" s="636">
        <v>63490</v>
      </c>
      <c r="G2154" s="637" t="s">
        <v>81</v>
      </c>
      <c r="H2154" s="637" t="s">
        <v>1163</v>
      </c>
      <c r="I2154" s="637" t="s">
        <v>58</v>
      </c>
      <c r="J2154" s="636">
        <v>22</v>
      </c>
      <c r="K2154" s="636">
        <v>2</v>
      </c>
      <c r="L2154" s="637" t="s">
        <v>52</v>
      </c>
      <c r="M2154" s="637" t="s">
        <v>441</v>
      </c>
      <c r="N2154" s="637" t="s">
        <v>442</v>
      </c>
      <c r="O2154" s="637" t="s">
        <v>442</v>
      </c>
      <c r="P2154" s="637" t="s">
        <v>1156</v>
      </c>
      <c r="Q2154" s="638">
        <v>0</v>
      </c>
      <c r="R2154" s="638">
        <v>0</v>
      </c>
      <c r="S2154" s="638">
        <v>29007</v>
      </c>
      <c r="T2154" s="638">
        <v>29007</v>
      </c>
      <c r="U2154" s="638">
        <v>8501</v>
      </c>
      <c r="V2154" s="636">
        <v>2022</v>
      </c>
      <c r="W2154" s="640"/>
      <c r="X2154" s="641">
        <f t="shared" si="99"/>
        <v>3.4121868015527586</v>
      </c>
      <c r="Y2154" s="642" t="str">
        <f t="shared" si="100"/>
        <v/>
      </c>
      <c r="Z2154" s="642" t="str">
        <f t="shared" si="101"/>
        <v/>
      </c>
    </row>
    <row r="2155" spans="1:26" s="127" customFormat="1" ht="25">
      <c r="A2155" s="636">
        <v>63854</v>
      </c>
      <c r="B2155" s="637" t="s">
        <v>33</v>
      </c>
      <c r="C2155" s="636" t="s">
        <v>2725</v>
      </c>
      <c r="D2155" s="637" t="s">
        <v>3132</v>
      </c>
      <c r="E2155" s="637" t="s">
        <v>3133</v>
      </c>
      <c r="F2155" s="636">
        <v>63529</v>
      </c>
      <c r="G2155" s="637" t="s">
        <v>57</v>
      </c>
      <c r="H2155" s="637" t="s">
        <v>1162</v>
      </c>
      <c r="I2155" s="637" t="s">
        <v>58</v>
      </c>
      <c r="J2155" s="636">
        <v>22</v>
      </c>
      <c r="K2155" s="636">
        <v>2</v>
      </c>
      <c r="L2155" s="637" t="s">
        <v>52</v>
      </c>
      <c r="M2155" s="637" t="s">
        <v>441</v>
      </c>
      <c r="N2155" s="637" t="s">
        <v>442</v>
      </c>
      <c r="O2155" s="637" t="s">
        <v>442</v>
      </c>
      <c r="P2155" s="637" t="s">
        <v>1156</v>
      </c>
      <c r="Q2155" s="638">
        <v>0</v>
      </c>
      <c r="R2155" s="638">
        <v>0</v>
      </c>
      <c r="S2155" s="638">
        <v>11162</v>
      </c>
      <c r="T2155" s="638">
        <v>11162</v>
      </c>
      <c r="U2155" s="638">
        <v>3271</v>
      </c>
      <c r="V2155" s="636">
        <v>2022</v>
      </c>
      <c r="W2155" s="640"/>
      <c r="X2155" s="641">
        <f t="shared" si="99"/>
        <v>3.4124121063894832</v>
      </c>
      <c r="Y2155" s="642" t="str">
        <f t="shared" si="100"/>
        <v/>
      </c>
      <c r="Z2155" s="642" t="str">
        <f t="shared" si="101"/>
        <v/>
      </c>
    </row>
    <row r="2156" spans="1:26" s="127" customFormat="1" ht="25">
      <c r="A2156" s="636">
        <v>63855</v>
      </c>
      <c r="B2156" s="637" t="s">
        <v>33</v>
      </c>
      <c r="C2156" s="636" t="s">
        <v>2725</v>
      </c>
      <c r="D2156" s="637" t="s">
        <v>3134</v>
      </c>
      <c r="E2156" s="637" t="s">
        <v>3135</v>
      </c>
      <c r="F2156" s="636">
        <v>63532</v>
      </c>
      <c r="G2156" s="637" t="s">
        <v>57</v>
      </c>
      <c r="H2156" s="637" t="s">
        <v>1162</v>
      </c>
      <c r="I2156" s="637" t="s">
        <v>58</v>
      </c>
      <c r="J2156" s="636">
        <v>22</v>
      </c>
      <c r="K2156" s="636">
        <v>2</v>
      </c>
      <c r="L2156" s="637" t="s">
        <v>52</v>
      </c>
      <c r="M2156" s="637" t="s">
        <v>441</v>
      </c>
      <c r="N2156" s="637" t="s">
        <v>442</v>
      </c>
      <c r="O2156" s="637" t="s">
        <v>442</v>
      </c>
      <c r="P2156" s="637" t="s">
        <v>1156</v>
      </c>
      <c r="Q2156" s="638">
        <v>0</v>
      </c>
      <c r="R2156" s="638">
        <v>0</v>
      </c>
      <c r="S2156" s="638">
        <v>9697</v>
      </c>
      <c r="T2156" s="638">
        <v>9697</v>
      </c>
      <c r="U2156" s="638">
        <v>2842</v>
      </c>
      <c r="V2156" s="636">
        <v>2022</v>
      </c>
      <c r="W2156" s="640"/>
      <c r="X2156" s="641">
        <f t="shared" si="99"/>
        <v>3.4120337790288531</v>
      </c>
      <c r="Y2156" s="642" t="str">
        <f t="shared" si="100"/>
        <v/>
      </c>
      <c r="Z2156" s="642" t="str">
        <f t="shared" si="101"/>
        <v/>
      </c>
    </row>
    <row r="2157" spans="1:26" s="127" customFormat="1" ht="25">
      <c r="A2157" s="636">
        <v>63856</v>
      </c>
      <c r="B2157" s="637" t="s">
        <v>33</v>
      </c>
      <c r="C2157" s="636" t="s">
        <v>2725</v>
      </c>
      <c r="D2157" s="637" t="s">
        <v>3136</v>
      </c>
      <c r="E2157" s="637" t="s">
        <v>3137</v>
      </c>
      <c r="F2157" s="636">
        <v>63533</v>
      </c>
      <c r="G2157" s="637" t="s">
        <v>57</v>
      </c>
      <c r="H2157" s="637" t="s">
        <v>1162</v>
      </c>
      <c r="I2157" s="637" t="s">
        <v>58</v>
      </c>
      <c r="J2157" s="636">
        <v>22</v>
      </c>
      <c r="K2157" s="636">
        <v>2</v>
      </c>
      <c r="L2157" s="637" t="s">
        <v>52</v>
      </c>
      <c r="M2157" s="637" t="s">
        <v>441</v>
      </c>
      <c r="N2157" s="637" t="s">
        <v>442</v>
      </c>
      <c r="O2157" s="637" t="s">
        <v>442</v>
      </c>
      <c r="P2157" s="637" t="s">
        <v>1156</v>
      </c>
      <c r="Q2157" s="638">
        <v>0</v>
      </c>
      <c r="R2157" s="638">
        <v>0</v>
      </c>
      <c r="S2157" s="638">
        <v>11355</v>
      </c>
      <c r="T2157" s="638">
        <v>11355</v>
      </c>
      <c r="U2157" s="638">
        <v>3328</v>
      </c>
      <c r="V2157" s="636">
        <v>2022</v>
      </c>
      <c r="W2157" s="640"/>
      <c r="X2157" s="641">
        <f t="shared" si="99"/>
        <v>3.4119591346153846</v>
      </c>
      <c r="Y2157" s="642" t="str">
        <f t="shared" si="100"/>
        <v/>
      </c>
      <c r="Z2157" s="642" t="str">
        <f t="shared" si="101"/>
        <v/>
      </c>
    </row>
    <row r="2158" spans="1:26" s="127" customFormat="1" ht="25">
      <c r="A2158" s="636">
        <v>63857</v>
      </c>
      <c r="B2158" s="637" t="s">
        <v>33</v>
      </c>
      <c r="C2158" s="636" t="s">
        <v>2725</v>
      </c>
      <c r="D2158" s="637" t="s">
        <v>3138</v>
      </c>
      <c r="E2158" s="637" t="s">
        <v>3139</v>
      </c>
      <c r="F2158" s="636">
        <v>63534</v>
      </c>
      <c r="G2158" s="637" t="s">
        <v>57</v>
      </c>
      <c r="H2158" s="637" t="s">
        <v>1162</v>
      </c>
      <c r="I2158" s="637" t="s">
        <v>58</v>
      </c>
      <c r="J2158" s="636">
        <v>22</v>
      </c>
      <c r="K2158" s="636">
        <v>2</v>
      </c>
      <c r="L2158" s="637" t="s">
        <v>52</v>
      </c>
      <c r="M2158" s="637" t="s">
        <v>441</v>
      </c>
      <c r="N2158" s="637" t="s">
        <v>442</v>
      </c>
      <c r="O2158" s="637" t="s">
        <v>442</v>
      </c>
      <c r="P2158" s="637" t="s">
        <v>1156</v>
      </c>
      <c r="Q2158" s="638">
        <v>0</v>
      </c>
      <c r="R2158" s="638">
        <v>0</v>
      </c>
      <c r="S2158" s="638">
        <v>11619</v>
      </c>
      <c r="T2158" s="638">
        <v>11619</v>
      </c>
      <c r="U2158" s="638">
        <v>3405</v>
      </c>
      <c r="V2158" s="636">
        <v>2022</v>
      </c>
      <c r="W2158" s="640"/>
      <c r="X2158" s="641">
        <f t="shared" si="99"/>
        <v>3.4123348017621145</v>
      </c>
      <c r="Y2158" s="642" t="str">
        <f t="shared" si="100"/>
        <v/>
      </c>
      <c r="Z2158" s="642" t="str">
        <f t="shared" si="101"/>
        <v/>
      </c>
    </row>
    <row r="2159" spans="1:26" s="127" customFormat="1" ht="25">
      <c r="A2159" s="636">
        <v>63858</v>
      </c>
      <c r="B2159" s="637" t="s">
        <v>33</v>
      </c>
      <c r="C2159" s="636" t="s">
        <v>2725</v>
      </c>
      <c r="D2159" s="637" t="s">
        <v>3140</v>
      </c>
      <c r="E2159" s="637" t="s">
        <v>3141</v>
      </c>
      <c r="F2159" s="636">
        <v>63535</v>
      </c>
      <c r="G2159" s="637" t="s">
        <v>57</v>
      </c>
      <c r="H2159" s="637" t="s">
        <v>1162</v>
      </c>
      <c r="I2159" s="637" t="s">
        <v>58</v>
      </c>
      <c r="J2159" s="636">
        <v>22</v>
      </c>
      <c r="K2159" s="636">
        <v>2</v>
      </c>
      <c r="L2159" s="637" t="s">
        <v>52</v>
      </c>
      <c r="M2159" s="637" t="s">
        <v>441</v>
      </c>
      <c r="N2159" s="637" t="s">
        <v>442</v>
      </c>
      <c r="O2159" s="637" t="s">
        <v>442</v>
      </c>
      <c r="P2159" s="637" t="s">
        <v>1156</v>
      </c>
      <c r="Q2159" s="638">
        <v>0</v>
      </c>
      <c r="R2159" s="638">
        <v>0</v>
      </c>
      <c r="S2159" s="638">
        <v>11621</v>
      </c>
      <c r="T2159" s="638">
        <v>11621</v>
      </c>
      <c r="U2159" s="638">
        <v>3406</v>
      </c>
      <c r="V2159" s="636">
        <v>2022</v>
      </c>
      <c r="W2159" s="640"/>
      <c r="X2159" s="641">
        <f t="shared" si="99"/>
        <v>3.4119201409277746</v>
      </c>
      <c r="Y2159" s="642" t="str">
        <f t="shared" si="100"/>
        <v/>
      </c>
      <c r="Z2159" s="642" t="str">
        <f t="shared" si="101"/>
        <v/>
      </c>
    </row>
    <row r="2160" spans="1:26" s="127" customFormat="1" ht="25">
      <c r="A2160" s="636">
        <v>63887</v>
      </c>
      <c r="B2160" s="637" t="s">
        <v>33</v>
      </c>
      <c r="C2160" s="636" t="s">
        <v>2725</v>
      </c>
      <c r="D2160" s="637" t="s">
        <v>3142</v>
      </c>
      <c r="E2160" s="637" t="s">
        <v>2166</v>
      </c>
      <c r="F2160" s="636">
        <v>61012</v>
      </c>
      <c r="G2160" s="637" t="s">
        <v>81</v>
      </c>
      <c r="H2160" s="637" t="s">
        <v>1163</v>
      </c>
      <c r="I2160" s="637" t="s">
        <v>58</v>
      </c>
      <c r="J2160" s="636">
        <v>22</v>
      </c>
      <c r="K2160" s="636">
        <v>2</v>
      </c>
      <c r="L2160" s="637" t="s">
        <v>52</v>
      </c>
      <c r="M2160" s="637" t="s">
        <v>441</v>
      </c>
      <c r="N2160" s="637" t="s">
        <v>442</v>
      </c>
      <c r="O2160" s="637" t="s">
        <v>442</v>
      </c>
      <c r="P2160" s="637" t="s">
        <v>1156</v>
      </c>
      <c r="Q2160" s="638">
        <v>0</v>
      </c>
      <c r="R2160" s="638">
        <v>0</v>
      </c>
      <c r="S2160" s="638">
        <v>6073</v>
      </c>
      <c r="T2160" s="638">
        <v>6073</v>
      </c>
      <c r="U2160" s="638">
        <v>1780</v>
      </c>
      <c r="V2160" s="636">
        <v>2022</v>
      </c>
      <c r="W2160" s="640"/>
      <c r="X2160" s="641">
        <f t="shared" si="99"/>
        <v>3.4117977528089889</v>
      </c>
      <c r="Y2160" s="642" t="str">
        <f t="shared" si="100"/>
        <v/>
      </c>
      <c r="Z2160" s="642" t="str">
        <f t="shared" si="101"/>
        <v/>
      </c>
    </row>
    <row r="2161" spans="1:26" s="127" customFormat="1" ht="25">
      <c r="A2161" s="636">
        <v>63893</v>
      </c>
      <c r="B2161" s="637" t="s">
        <v>33</v>
      </c>
      <c r="C2161" s="636" t="s">
        <v>2725</v>
      </c>
      <c r="D2161" s="637" t="s">
        <v>3143</v>
      </c>
      <c r="E2161" s="637" t="s">
        <v>3143</v>
      </c>
      <c r="F2161" s="636">
        <v>63548</v>
      </c>
      <c r="G2161" s="637" t="s">
        <v>130</v>
      </c>
      <c r="H2161" s="637" t="s">
        <v>1163</v>
      </c>
      <c r="I2161" s="637" t="s">
        <v>58</v>
      </c>
      <c r="J2161" s="636">
        <v>22</v>
      </c>
      <c r="K2161" s="636">
        <v>2</v>
      </c>
      <c r="L2161" s="637" t="s">
        <v>52</v>
      </c>
      <c r="M2161" s="637" t="s">
        <v>441</v>
      </c>
      <c r="N2161" s="637" t="s">
        <v>442</v>
      </c>
      <c r="O2161" s="637" t="s">
        <v>442</v>
      </c>
      <c r="P2161" s="637" t="s">
        <v>1156</v>
      </c>
      <c r="Q2161" s="638">
        <v>0</v>
      </c>
      <c r="R2161" s="638">
        <v>0</v>
      </c>
      <c r="S2161" s="638">
        <v>57614</v>
      </c>
      <c r="T2161" s="638">
        <v>57614</v>
      </c>
      <c r="U2161" s="638">
        <v>16885</v>
      </c>
      <c r="V2161" s="636">
        <v>2022</v>
      </c>
      <c r="W2161" s="640"/>
      <c r="X2161" s="641">
        <f t="shared" si="99"/>
        <v>3.4121409535090317</v>
      </c>
      <c r="Y2161" s="642" t="str">
        <f t="shared" si="100"/>
        <v/>
      </c>
      <c r="Z2161" s="642" t="str">
        <f t="shared" si="101"/>
        <v/>
      </c>
    </row>
    <row r="2162" spans="1:26" s="127" customFormat="1" ht="25">
      <c r="A2162" s="636">
        <v>63894</v>
      </c>
      <c r="B2162" s="637" t="s">
        <v>33</v>
      </c>
      <c r="C2162" s="636" t="s">
        <v>2725</v>
      </c>
      <c r="D2162" s="637" t="s">
        <v>3336</v>
      </c>
      <c r="E2162" s="637" t="s">
        <v>3337</v>
      </c>
      <c r="F2162" s="636">
        <v>63568</v>
      </c>
      <c r="G2162" s="637" t="s">
        <v>90</v>
      </c>
      <c r="H2162" s="637" t="s">
        <v>1163</v>
      </c>
      <c r="I2162" s="637" t="s">
        <v>58</v>
      </c>
      <c r="J2162" s="636">
        <v>22</v>
      </c>
      <c r="K2162" s="636">
        <v>2</v>
      </c>
      <c r="L2162" s="637" t="s">
        <v>52</v>
      </c>
      <c r="M2162" s="637" t="s">
        <v>441</v>
      </c>
      <c r="N2162" s="637" t="s">
        <v>442</v>
      </c>
      <c r="O2162" s="637" t="s">
        <v>442</v>
      </c>
      <c r="P2162" s="637" t="s">
        <v>1156</v>
      </c>
      <c r="Q2162" s="638">
        <v>0</v>
      </c>
      <c r="R2162" s="638">
        <v>0</v>
      </c>
      <c r="S2162" s="638">
        <v>97341</v>
      </c>
      <c r="T2162" s="638">
        <v>97341</v>
      </c>
      <c r="U2162" s="638">
        <v>28528.83</v>
      </c>
      <c r="V2162" s="636">
        <v>2022</v>
      </c>
      <c r="W2162" s="640"/>
      <c r="X2162" s="641">
        <f t="shared" si="99"/>
        <v>3.4120221544311491</v>
      </c>
      <c r="Y2162" s="642" t="str">
        <f t="shared" si="100"/>
        <v/>
      </c>
      <c r="Z2162" s="642" t="str">
        <f t="shared" si="101"/>
        <v/>
      </c>
    </row>
    <row r="2163" spans="1:26" s="127" customFormat="1" ht="25">
      <c r="A2163" s="636">
        <v>63895</v>
      </c>
      <c r="B2163" s="637" t="s">
        <v>33</v>
      </c>
      <c r="C2163" s="636" t="s">
        <v>2725</v>
      </c>
      <c r="D2163" s="637" t="s">
        <v>3338</v>
      </c>
      <c r="E2163" s="637" t="s">
        <v>3339</v>
      </c>
      <c r="F2163" s="636">
        <v>63567</v>
      </c>
      <c r="G2163" s="637" t="s">
        <v>90</v>
      </c>
      <c r="H2163" s="637" t="s">
        <v>1163</v>
      </c>
      <c r="I2163" s="637" t="s">
        <v>58</v>
      </c>
      <c r="J2163" s="636">
        <v>22</v>
      </c>
      <c r="K2163" s="636">
        <v>2</v>
      </c>
      <c r="L2163" s="637" t="s">
        <v>52</v>
      </c>
      <c r="M2163" s="637" t="s">
        <v>441</v>
      </c>
      <c r="N2163" s="637" t="s">
        <v>442</v>
      </c>
      <c r="O2163" s="637" t="s">
        <v>442</v>
      </c>
      <c r="P2163" s="637" t="s">
        <v>1156</v>
      </c>
      <c r="Q2163" s="638">
        <v>0</v>
      </c>
      <c r="R2163" s="638">
        <v>0</v>
      </c>
      <c r="S2163" s="638">
        <v>37920</v>
      </c>
      <c r="T2163" s="638">
        <v>37920</v>
      </c>
      <c r="U2163" s="638">
        <v>11114</v>
      </c>
      <c r="V2163" s="636">
        <v>2022</v>
      </c>
      <c r="W2163" s="640"/>
      <c r="X2163" s="641">
        <f t="shared" si="99"/>
        <v>3.4119129026453123</v>
      </c>
      <c r="Y2163" s="642" t="str">
        <f t="shared" si="100"/>
        <v/>
      </c>
      <c r="Z2163" s="642" t="str">
        <f t="shared" si="101"/>
        <v/>
      </c>
    </row>
    <row r="2164" spans="1:26" s="127" customFormat="1" ht="25">
      <c r="A2164" s="636">
        <v>63896</v>
      </c>
      <c r="B2164" s="637" t="s">
        <v>33</v>
      </c>
      <c r="C2164" s="636" t="s">
        <v>2725</v>
      </c>
      <c r="D2164" s="637" t="s">
        <v>3340</v>
      </c>
      <c r="E2164" s="637" t="s">
        <v>3341</v>
      </c>
      <c r="F2164" s="636">
        <v>63566</v>
      </c>
      <c r="G2164" s="637" t="s">
        <v>90</v>
      </c>
      <c r="H2164" s="637" t="s">
        <v>1163</v>
      </c>
      <c r="I2164" s="637" t="s">
        <v>58</v>
      </c>
      <c r="J2164" s="636">
        <v>22</v>
      </c>
      <c r="K2164" s="636">
        <v>2</v>
      </c>
      <c r="L2164" s="637" t="s">
        <v>52</v>
      </c>
      <c r="M2164" s="637" t="s">
        <v>441</v>
      </c>
      <c r="N2164" s="637" t="s">
        <v>442</v>
      </c>
      <c r="O2164" s="637" t="s">
        <v>442</v>
      </c>
      <c r="P2164" s="637" t="s">
        <v>1156</v>
      </c>
      <c r="Q2164" s="638">
        <v>0</v>
      </c>
      <c r="R2164" s="638">
        <v>0</v>
      </c>
      <c r="S2164" s="638">
        <v>31725</v>
      </c>
      <c r="T2164" s="638">
        <v>31725</v>
      </c>
      <c r="U2164" s="638">
        <v>9298</v>
      </c>
      <c r="V2164" s="636">
        <v>2022</v>
      </c>
      <c r="W2164" s="640"/>
      <c r="X2164" s="641">
        <f t="shared" si="99"/>
        <v>3.4120240912024089</v>
      </c>
      <c r="Y2164" s="642" t="str">
        <f t="shared" si="100"/>
        <v/>
      </c>
      <c r="Z2164" s="642" t="str">
        <f t="shared" si="101"/>
        <v/>
      </c>
    </row>
    <row r="2165" spans="1:26" s="127" customFormat="1" ht="25">
      <c r="A2165" s="636">
        <v>63897</v>
      </c>
      <c r="B2165" s="637" t="s">
        <v>33</v>
      </c>
      <c r="C2165" s="636" t="s">
        <v>2725</v>
      </c>
      <c r="D2165" s="637" t="s">
        <v>3342</v>
      </c>
      <c r="E2165" s="637" t="s">
        <v>3343</v>
      </c>
      <c r="F2165" s="636">
        <v>63565</v>
      </c>
      <c r="G2165" s="637" t="s">
        <v>90</v>
      </c>
      <c r="H2165" s="637" t="s">
        <v>1163</v>
      </c>
      <c r="I2165" s="637" t="s">
        <v>58</v>
      </c>
      <c r="J2165" s="636">
        <v>22</v>
      </c>
      <c r="K2165" s="636">
        <v>2</v>
      </c>
      <c r="L2165" s="637" t="s">
        <v>52</v>
      </c>
      <c r="M2165" s="637" t="s">
        <v>441</v>
      </c>
      <c r="N2165" s="637" t="s">
        <v>442</v>
      </c>
      <c r="O2165" s="637" t="s">
        <v>442</v>
      </c>
      <c r="P2165" s="637" t="s">
        <v>1156</v>
      </c>
      <c r="Q2165" s="638">
        <v>0</v>
      </c>
      <c r="R2165" s="638">
        <v>0</v>
      </c>
      <c r="S2165" s="638">
        <v>54640</v>
      </c>
      <c r="T2165" s="638">
        <v>54640</v>
      </c>
      <c r="U2165" s="638">
        <v>16014</v>
      </c>
      <c r="V2165" s="636">
        <v>2022</v>
      </c>
      <c r="W2165" s="640"/>
      <c r="X2165" s="641">
        <f t="shared" si="99"/>
        <v>3.4120144873235918</v>
      </c>
      <c r="Y2165" s="642" t="str">
        <f t="shared" si="100"/>
        <v/>
      </c>
      <c r="Z2165" s="642" t="str">
        <f t="shared" si="101"/>
        <v/>
      </c>
    </row>
    <row r="2166" spans="1:26" s="127" customFormat="1" ht="25">
      <c r="A2166" s="636">
        <v>63942</v>
      </c>
      <c r="B2166" s="637" t="s">
        <v>33</v>
      </c>
      <c r="C2166" s="636" t="s">
        <v>2725</v>
      </c>
      <c r="D2166" s="637" t="s">
        <v>3144</v>
      </c>
      <c r="E2166" s="637" t="s">
        <v>3145</v>
      </c>
      <c r="F2166" s="636">
        <v>63595</v>
      </c>
      <c r="G2166" s="637" t="s">
        <v>81</v>
      </c>
      <c r="H2166" s="637" t="s">
        <v>1163</v>
      </c>
      <c r="I2166" s="637" t="s">
        <v>58</v>
      </c>
      <c r="J2166" s="636">
        <v>22</v>
      </c>
      <c r="K2166" s="636">
        <v>2</v>
      </c>
      <c r="L2166" s="637" t="s">
        <v>52</v>
      </c>
      <c r="M2166" s="637" t="s">
        <v>441</v>
      </c>
      <c r="N2166" s="637" t="s">
        <v>442</v>
      </c>
      <c r="O2166" s="637" t="s">
        <v>442</v>
      </c>
      <c r="P2166" s="637" t="s">
        <v>1156</v>
      </c>
      <c r="Q2166" s="638">
        <v>0</v>
      </c>
      <c r="R2166" s="638">
        <v>0</v>
      </c>
      <c r="S2166" s="638">
        <v>26198</v>
      </c>
      <c r="T2166" s="638">
        <v>26198</v>
      </c>
      <c r="U2166" s="638">
        <v>7678</v>
      </c>
      <c r="V2166" s="636">
        <v>2022</v>
      </c>
      <c r="W2166" s="640"/>
      <c r="X2166" s="641">
        <f t="shared" si="99"/>
        <v>3.4120864808543891</v>
      </c>
      <c r="Y2166" s="642" t="str">
        <f t="shared" si="100"/>
        <v/>
      </c>
      <c r="Z2166" s="642" t="str">
        <f t="shared" si="101"/>
        <v/>
      </c>
    </row>
    <row r="2167" spans="1:26" s="127" customFormat="1" ht="25">
      <c r="A2167" s="636">
        <v>63944</v>
      </c>
      <c r="B2167" s="637" t="s">
        <v>33</v>
      </c>
      <c r="C2167" s="636" t="s">
        <v>2725</v>
      </c>
      <c r="D2167" s="637" t="s">
        <v>3146</v>
      </c>
      <c r="E2167" s="637" t="s">
        <v>2166</v>
      </c>
      <c r="F2167" s="636">
        <v>61012</v>
      </c>
      <c r="G2167" s="637" t="s">
        <v>130</v>
      </c>
      <c r="H2167" s="637" t="s">
        <v>1163</v>
      </c>
      <c r="I2167" s="637" t="s">
        <v>58</v>
      </c>
      <c r="J2167" s="636">
        <v>22</v>
      </c>
      <c r="K2167" s="636">
        <v>2</v>
      </c>
      <c r="L2167" s="637" t="s">
        <v>52</v>
      </c>
      <c r="M2167" s="637" t="s">
        <v>441</v>
      </c>
      <c r="N2167" s="637" t="s">
        <v>442</v>
      </c>
      <c r="O2167" s="637" t="s">
        <v>442</v>
      </c>
      <c r="P2167" s="637" t="s">
        <v>1156</v>
      </c>
      <c r="Q2167" s="638">
        <v>0</v>
      </c>
      <c r="R2167" s="638">
        <v>0</v>
      </c>
      <c r="S2167" s="638">
        <v>21768</v>
      </c>
      <c r="T2167" s="638">
        <v>21768</v>
      </c>
      <c r="U2167" s="638">
        <v>6380</v>
      </c>
      <c r="V2167" s="636">
        <v>2022</v>
      </c>
      <c r="W2167" s="640"/>
      <c r="X2167" s="641">
        <f t="shared" si="99"/>
        <v>3.4119122257053291</v>
      </c>
      <c r="Y2167" s="642" t="str">
        <f t="shared" si="100"/>
        <v/>
      </c>
      <c r="Z2167" s="642" t="str">
        <f t="shared" si="101"/>
        <v/>
      </c>
    </row>
    <row r="2168" spans="1:26" s="127" customFormat="1" ht="25">
      <c r="A2168" s="636">
        <v>63950</v>
      </c>
      <c r="B2168" s="637" t="s">
        <v>33</v>
      </c>
      <c r="C2168" s="636" t="s">
        <v>2725</v>
      </c>
      <c r="D2168" s="637" t="s">
        <v>3147</v>
      </c>
      <c r="E2168" s="637" t="s">
        <v>3148</v>
      </c>
      <c r="F2168" s="636">
        <v>63615</v>
      </c>
      <c r="G2168" s="637" t="s">
        <v>81</v>
      </c>
      <c r="H2168" s="637" t="s">
        <v>1163</v>
      </c>
      <c r="I2168" s="637" t="s">
        <v>58</v>
      </c>
      <c r="J2168" s="636">
        <v>22</v>
      </c>
      <c r="K2168" s="636">
        <v>2</v>
      </c>
      <c r="L2168" s="637" t="s">
        <v>52</v>
      </c>
      <c r="M2168" s="637" t="s">
        <v>441</v>
      </c>
      <c r="N2168" s="637" t="s">
        <v>442</v>
      </c>
      <c r="O2168" s="637" t="s">
        <v>442</v>
      </c>
      <c r="P2168" s="637" t="s">
        <v>1156</v>
      </c>
      <c r="Q2168" s="638">
        <v>0</v>
      </c>
      <c r="R2168" s="638">
        <v>0</v>
      </c>
      <c r="S2168" s="638">
        <v>5483</v>
      </c>
      <c r="T2168" s="638">
        <v>5483</v>
      </c>
      <c r="U2168" s="638">
        <v>1607</v>
      </c>
      <c r="V2168" s="636">
        <v>2022</v>
      </c>
      <c r="W2168" s="640"/>
      <c r="X2168" s="641">
        <f t="shared" si="99"/>
        <v>3.4119477286869944</v>
      </c>
      <c r="Y2168" s="642" t="str">
        <f t="shared" si="100"/>
        <v/>
      </c>
      <c r="Z2168" s="642" t="str">
        <f t="shared" si="101"/>
        <v/>
      </c>
    </row>
    <row r="2169" spans="1:26" s="127" customFormat="1" ht="25">
      <c r="A2169" s="636">
        <v>63953</v>
      </c>
      <c r="B2169" s="637" t="s">
        <v>33</v>
      </c>
      <c r="C2169" s="636" t="s">
        <v>2725</v>
      </c>
      <c r="D2169" s="637" t="s">
        <v>3149</v>
      </c>
      <c r="E2169" s="637" t="s">
        <v>3150</v>
      </c>
      <c r="F2169" s="636">
        <v>63614</v>
      </c>
      <c r="G2169" s="637" t="s">
        <v>81</v>
      </c>
      <c r="H2169" s="637" t="s">
        <v>1163</v>
      </c>
      <c r="I2169" s="637" t="s">
        <v>58</v>
      </c>
      <c r="J2169" s="636">
        <v>22</v>
      </c>
      <c r="K2169" s="636">
        <v>2</v>
      </c>
      <c r="L2169" s="637" t="s">
        <v>52</v>
      </c>
      <c r="M2169" s="637" t="s">
        <v>441</v>
      </c>
      <c r="N2169" s="637" t="s">
        <v>442</v>
      </c>
      <c r="O2169" s="637" t="s">
        <v>442</v>
      </c>
      <c r="P2169" s="637" t="s">
        <v>1156</v>
      </c>
      <c r="Q2169" s="638">
        <v>0</v>
      </c>
      <c r="R2169" s="638">
        <v>0</v>
      </c>
      <c r="S2169" s="638">
        <v>12924</v>
      </c>
      <c r="T2169" s="638">
        <v>12924</v>
      </c>
      <c r="U2169" s="638">
        <v>3788</v>
      </c>
      <c r="V2169" s="636">
        <v>2022</v>
      </c>
      <c r="W2169" s="640"/>
      <c r="X2169" s="641">
        <f t="shared" si="99"/>
        <v>3.4118268215417107</v>
      </c>
      <c r="Y2169" s="642" t="str">
        <f t="shared" si="100"/>
        <v/>
      </c>
      <c r="Z2169" s="642" t="str">
        <f t="shared" si="101"/>
        <v/>
      </c>
    </row>
    <row r="2170" spans="1:26" s="127" customFormat="1" ht="25">
      <c r="A2170" s="636">
        <v>63997</v>
      </c>
      <c r="B2170" s="637" t="s">
        <v>33</v>
      </c>
      <c r="C2170" s="636" t="s">
        <v>2725</v>
      </c>
      <c r="D2170" s="637" t="s">
        <v>3151</v>
      </c>
      <c r="E2170" s="637" t="s">
        <v>3053</v>
      </c>
      <c r="F2170" s="636">
        <v>60571</v>
      </c>
      <c r="G2170" s="637" t="s">
        <v>130</v>
      </c>
      <c r="H2170" s="637" t="s">
        <v>1163</v>
      </c>
      <c r="I2170" s="637" t="s">
        <v>58</v>
      </c>
      <c r="J2170" s="636">
        <v>22</v>
      </c>
      <c r="K2170" s="636">
        <v>2</v>
      </c>
      <c r="L2170" s="637" t="s">
        <v>52</v>
      </c>
      <c r="M2170" s="637" t="s">
        <v>441</v>
      </c>
      <c r="N2170" s="637" t="s">
        <v>442</v>
      </c>
      <c r="O2170" s="637" t="s">
        <v>442</v>
      </c>
      <c r="P2170" s="637" t="s">
        <v>1156</v>
      </c>
      <c r="Q2170" s="638">
        <v>0</v>
      </c>
      <c r="R2170" s="638">
        <v>0</v>
      </c>
      <c r="S2170" s="638">
        <v>27735</v>
      </c>
      <c r="T2170" s="638">
        <v>27735</v>
      </c>
      <c r="U2170" s="638">
        <v>8129</v>
      </c>
      <c r="V2170" s="636">
        <v>2022</v>
      </c>
      <c r="W2170" s="640"/>
      <c r="X2170" s="641">
        <f t="shared" si="99"/>
        <v>3.4118587772173701</v>
      </c>
      <c r="Y2170" s="642" t="str">
        <f t="shared" si="100"/>
        <v/>
      </c>
      <c r="Z2170" s="642" t="str">
        <f t="shared" si="101"/>
        <v/>
      </c>
    </row>
    <row r="2171" spans="1:26" s="127" customFormat="1" ht="25">
      <c r="A2171" s="636">
        <v>64000</v>
      </c>
      <c r="B2171" s="637" t="s">
        <v>33</v>
      </c>
      <c r="C2171" s="636" t="s">
        <v>2725</v>
      </c>
      <c r="D2171" s="637" t="s">
        <v>3344</v>
      </c>
      <c r="E2171" s="637" t="s">
        <v>2166</v>
      </c>
      <c r="F2171" s="636">
        <v>61012</v>
      </c>
      <c r="G2171" s="637" t="s">
        <v>81</v>
      </c>
      <c r="H2171" s="637" t="s">
        <v>1163</v>
      </c>
      <c r="I2171" s="637" t="s">
        <v>58</v>
      </c>
      <c r="J2171" s="636">
        <v>22</v>
      </c>
      <c r="K2171" s="636">
        <v>2</v>
      </c>
      <c r="L2171" s="637" t="s">
        <v>52</v>
      </c>
      <c r="M2171" s="637" t="s">
        <v>1852</v>
      </c>
      <c r="N2171" s="637" t="s">
        <v>1035</v>
      </c>
      <c r="O2171" s="637" t="s">
        <v>82</v>
      </c>
      <c r="P2171" s="637" t="s">
        <v>2726</v>
      </c>
      <c r="Q2171" s="638">
        <v>340</v>
      </c>
      <c r="R2171" s="638">
        <v>340</v>
      </c>
      <c r="S2171" s="638">
        <v>0</v>
      </c>
      <c r="T2171" s="638">
        <v>0</v>
      </c>
      <c r="U2171" s="638">
        <v>-205</v>
      </c>
      <c r="V2171" s="636">
        <v>2022</v>
      </c>
      <c r="W2171" s="640"/>
      <c r="X2171" s="641" t="str">
        <f t="shared" si="99"/>
        <v/>
      </c>
      <c r="Y2171" s="642" t="str">
        <f t="shared" si="100"/>
        <v/>
      </c>
      <c r="Z2171" s="642" t="str">
        <f t="shared" si="101"/>
        <v/>
      </c>
    </row>
    <row r="2172" spans="1:26" s="127" customFormat="1" ht="25">
      <c r="A2172" s="636">
        <v>64000</v>
      </c>
      <c r="B2172" s="637" t="s">
        <v>33</v>
      </c>
      <c r="C2172" s="636" t="s">
        <v>2725</v>
      </c>
      <c r="D2172" s="637" t="s">
        <v>3344</v>
      </c>
      <c r="E2172" s="637" t="s">
        <v>2166</v>
      </c>
      <c r="F2172" s="636">
        <v>61012</v>
      </c>
      <c r="G2172" s="637" t="s">
        <v>81</v>
      </c>
      <c r="H2172" s="637" t="s">
        <v>1163</v>
      </c>
      <c r="I2172" s="637" t="s">
        <v>58</v>
      </c>
      <c r="J2172" s="636">
        <v>22</v>
      </c>
      <c r="K2172" s="636">
        <v>2</v>
      </c>
      <c r="L2172" s="637" t="s">
        <v>52</v>
      </c>
      <c r="M2172" s="637" t="s">
        <v>441</v>
      </c>
      <c r="N2172" s="637" t="s">
        <v>442</v>
      </c>
      <c r="O2172" s="637" t="s">
        <v>442</v>
      </c>
      <c r="P2172" s="637" t="s">
        <v>1156</v>
      </c>
      <c r="Q2172" s="638">
        <v>0</v>
      </c>
      <c r="R2172" s="638">
        <v>0</v>
      </c>
      <c r="S2172" s="638">
        <v>14562</v>
      </c>
      <c r="T2172" s="638">
        <v>14562</v>
      </c>
      <c r="U2172" s="638">
        <v>4268</v>
      </c>
      <c r="V2172" s="636">
        <v>2022</v>
      </c>
      <c r="W2172" s="640"/>
      <c r="X2172" s="641">
        <f t="shared" si="99"/>
        <v>3.4119025304592316</v>
      </c>
      <c r="Y2172" s="642" t="str">
        <f t="shared" si="100"/>
        <v/>
      </c>
      <c r="Z2172" s="642" t="str">
        <f t="shared" si="101"/>
        <v/>
      </c>
    </row>
    <row r="2173" spans="1:26" s="127" customFormat="1" ht="25">
      <c r="A2173" s="636">
        <v>64014</v>
      </c>
      <c r="B2173" s="637" t="s">
        <v>33</v>
      </c>
      <c r="C2173" s="636" t="s">
        <v>2725</v>
      </c>
      <c r="D2173" s="637" t="s">
        <v>3152</v>
      </c>
      <c r="E2173" s="637" t="s">
        <v>3153</v>
      </c>
      <c r="F2173" s="636">
        <v>63663</v>
      </c>
      <c r="G2173" s="637" t="s">
        <v>81</v>
      </c>
      <c r="H2173" s="637" t="s">
        <v>1163</v>
      </c>
      <c r="I2173" s="637" t="s">
        <v>58</v>
      </c>
      <c r="J2173" s="636">
        <v>22</v>
      </c>
      <c r="K2173" s="636">
        <v>2</v>
      </c>
      <c r="L2173" s="637" t="s">
        <v>52</v>
      </c>
      <c r="M2173" s="637" t="s">
        <v>441</v>
      </c>
      <c r="N2173" s="637" t="s">
        <v>442</v>
      </c>
      <c r="O2173" s="637" t="s">
        <v>442</v>
      </c>
      <c r="P2173" s="637" t="s">
        <v>1156</v>
      </c>
      <c r="Q2173" s="638">
        <v>0</v>
      </c>
      <c r="R2173" s="638">
        <v>0</v>
      </c>
      <c r="S2173" s="638">
        <v>27625</v>
      </c>
      <c r="T2173" s="638">
        <v>27625</v>
      </c>
      <c r="U2173" s="638">
        <v>8096</v>
      </c>
      <c r="V2173" s="636">
        <v>2022</v>
      </c>
      <c r="W2173" s="640"/>
      <c r="X2173" s="641">
        <f t="shared" si="99"/>
        <v>3.4121788537549409</v>
      </c>
      <c r="Y2173" s="642" t="str">
        <f t="shared" si="100"/>
        <v/>
      </c>
      <c r="Z2173" s="642" t="str">
        <f t="shared" si="101"/>
        <v/>
      </c>
    </row>
    <row r="2174" spans="1:26" s="127" customFormat="1" ht="25">
      <c r="A2174" s="636">
        <v>64017</v>
      </c>
      <c r="B2174" s="637" t="s">
        <v>33</v>
      </c>
      <c r="C2174" s="636" t="s">
        <v>2725</v>
      </c>
      <c r="D2174" s="637" t="s">
        <v>3154</v>
      </c>
      <c r="E2174" s="637" t="s">
        <v>3155</v>
      </c>
      <c r="F2174" s="636">
        <v>63661</v>
      </c>
      <c r="G2174" s="637" t="s">
        <v>57</v>
      </c>
      <c r="H2174" s="637" t="s">
        <v>1162</v>
      </c>
      <c r="I2174" s="637" t="s">
        <v>58</v>
      </c>
      <c r="J2174" s="636">
        <v>22</v>
      </c>
      <c r="K2174" s="636">
        <v>2</v>
      </c>
      <c r="L2174" s="637" t="s">
        <v>52</v>
      </c>
      <c r="M2174" s="637" t="s">
        <v>441</v>
      </c>
      <c r="N2174" s="637" t="s">
        <v>442</v>
      </c>
      <c r="O2174" s="637" t="s">
        <v>442</v>
      </c>
      <c r="P2174" s="637" t="s">
        <v>1156</v>
      </c>
      <c r="Q2174" s="638">
        <v>0</v>
      </c>
      <c r="R2174" s="638">
        <v>0</v>
      </c>
      <c r="S2174" s="638">
        <v>22410</v>
      </c>
      <c r="T2174" s="638">
        <v>22410</v>
      </c>
      <c r="U2174" s="638">
        <v>6568</v>
      </c>
      <c r="V2174" s="636">
        <v>2022</v>
      </c>
      <c r="W2174" s="640"/>
      <c r="X2174" s="641">
        <f t="shared" si="99"/>
        <v>3.4119975639464069</v>
      </c>
      <c r="Y2174" s="642" t="str">
        <f t="shared" si="100"/>
        <v/>
      </c>
      <c r="Z2174" s="642" t="str">
        <f t="shared" si="101"/>
        <v/>
      </c>
    </row>
    <row r="2175" spans="1:26" s="127" customFormat="1" ht="25">
      <c r="A2175" s="636">
        <v>64030</v>
      </c>
      <c r="B2175" s="637" t="s">
        <v>33</v>
      </c>
      <c r="C2175" s="636" t="s">
        <v>2725</v>
      </c>
      <c r="D2175" s="637" t="s">
        <v>3156</v>
      </c>
      <c r="E2175" s="637" t="s">
        <v>3623</v>
      </c>
      <c r="F2175" s="636">
        <v>61944</v>
      </c>
      <c r="G2175" s="637" t="s">
        <v>57</v>
      </c>
      <c r="H2175" s="637" t="s">
        <v>1162</v>
      </c>
      <c r="I2175" s="637" t="s">
        <v>58</v>
      </c>
      <c r="J2175" s="636">
        <v>22</v>
      </c>
      <c r="K2175" s="636">
        <v>2</v>
      </c>
      <c r="L2175" s="637" t="s">
        <v>52</v>
      </c>
      <c r="M2175" s="637" t="s">
        <v>441</v>
      </c>
      <c r="N2175" s="637" t="s">
        <v>442</v>
      </c>
      <c r="O2175" s="637" t="s">
        <v>442</v>
      </c>
      <c r="P2175" s="637" t="s">
        <v>1156</v>
      </c>
      <c r="Q2175" s="638">
        <v>0</v>
      </c>
      <c r="R2175" s="638">
        <v>0</v>
      </c>
      <c r="S2175" s="638">
        <v>9247</v>
      </c>
      <c r="T2175" s="638">
        <v>9247</v>
      </c>
      <c r="U2175" s="638">
        <v>2710</v>
      </c>
      <c r="V2175" s="636">
        <v>2022</v>
      </c>
      <c r="W2175" s="640"/>
      <c r="X2175" s="641">
        <f t="shared" si="99"/>
        <v>3.4121771217712178</v>
      </c>
      <c r="Y2175" s="642" t="str">
        <f t="shared" si="100"/>
        <v/>
      </c>
      <c r="Z2175" s="642" t="str">
        <f t="shared" si="101"/>
        <v/>
      </c>
    </row>
    <row r="2176" spans="1:26" s="127" customFormat="1" ht="25">
      <c r="A2176" s="636">
        <v>64041</v>
      </c>
      <c r="B2176" s="637" t="s">
        <v>33</v>
      </c>
      <c r="C2176" s="636" t="s">
        <v>2725</v>
      </c>
      <c r="D2176" s="637" t="s">
        <v>3157</v>
      </c>
      <c r="E2176" s="637" t="s">
        <v>3158</v>
      </c>
      <c r="F2176" s="636">
        <v>63681</v>
      </c>
      <c r="G2176" s="637" t="s">
        <v>57</v>
      </c>
      <c r="H2176" s="637" t="s">
        <v>1162</v>
      </c>
      <c r="I2176" s="637" t="s">
        <v>58</v>
      </c>
      <c r="J2176" s="636">
        <v>22</v>
      </c>
      <c r="K2176" s="636">
        <v>2</v>
      </c>
      <c r="L2176" s="637" t="s">
        <v>52</v>
      </c>
      <c r="M2176" s="637" t="s">
        <v>441</v>
      </c>
      <c r="N2176" s="637" t="s">
        <v>442</v>
      </c>
      <c r="O2176" s="637" t="s">
        <v>442</v>
      </c>
      <c r="P2176" s="637" t="s">
        <v>1156</v>
      </c>
      <c r="Q2176" s="638">
        <v>0</v>
      </c>
      <c r="R2176" s="638">
        <v>0</v>
      </c>
      <c r="S2176" s="638">
        <v>8797</v>
      </c>
      <c r="T2176" s="638">
        <v>8797</v>
      </c>
      <c r="U2176" s="638">
        <v>2578</v>
      </c>
      <c r="V2176" s="636">
        <v>2022</v>
      </c>
      <c r="W2176" s="640"/>
      <c r="X2176" s="641">
        <f t="shared" si="99"/>
        <v>3.4123351435221103</v>
      </c>
      <c r="Y2176" s="642" t="str">
        <f t="shared" si="100"/>
        <v/>
      </c>
      <c r="Z2176" s="642" t="str">
        <f t="shared" si="101"/>
        <v/>
      </c>
    </row>
    <row r="2177" spans="1:26" s="127" customFormat="1" ht="25">
      <c r="A2177" s="636">
        <v>64042</v>
      </c>
      <c r="B2177" s="637" t="s">
        <v>33</v>
      </c>
      <c r="C2177" s="636" t="s">
        <v>2725</v>
      </c>
      <c r="D2177" s="637" t="s">
        <v>3159</v>
      </c>
      <c r="E2177" s="637" t="s">
        <v>3160</v>
      </c>
      <c r="F2177" s="636">
        <v>63682</v>
      </c>
      <c r="G2177" s="637" t="s">
        <v>81</v>
      </c>
      <c r="H2177" s="637" t="s">
        <v>1163</v>
      </c>
      <c r="I2177" s="637" t="s">
        <v>58</v>
      </c>
      <c r="J2177" s="636">
        <v>22</v>
      </c>
      <c r="K2177" s="636">
        <v>2</v>
      </c>
      <c r="L2177" s="637" t="s">
        <v>52</v>
      </c>
      <c r="M2177" s="637" t="s">
        <v>441</v>
      </c>
      <c r="N2177" s="637" t="s">
        <v>442</v>
      </c>
      <c r="O2177" s="637" t="s">
        <v>442</v>
      </c>
      <c r="P2177" s="637" t="s">
        <v>1156</v>
      </c>
      <c r="Q2177" s="638">
        <v>0</v>
      </c>
      <c r="R2177" s="638">
        <v>0</v>
      </c>
      <c r="S2177" s="638">
        <v>17756</v>
      </c>
      <c r="T2177" s="638">
        <v>17756</v>
      </c>
      <c r="U2177" s="638">
        <v>5204</v>
      </c>
      <c r="V2177" s="636">
        <v>2022</v>
      </c>
      <c r="W2177" s="640"/>
      <c r="X2177" s="641">
        <f t="shared" si="99"/>
        <v>3.411990776325903</v>
      </c>
      <c r="Y2177" s="642" t="str">
        <f t="shared" si="100"/>
        <v/>
      </c>
      <c r="Z2177" s="642" t="str">
        <f t="shared" si="101"/>
        <v/>
      </c>
    </row>
    <row r="2178" spans="1:26" s="127" customFormat="1" ht="25">
      <c r="A2178" s="636">
        <v>64044</v>
      </c>
      <c r="B2178" s="637" t="s">
        <v>33</v>
      </c>
      <c r="C2178" s="636" t="s">
        <v>2725</v>
      </c>
      <c r="D2178" s="637" t="s">
        <v>3161</v>
      </c>
      <c r="E2178" s="637" t="s">
        <v>3162</v>
      </c>
      <c r="F2178" s="636">
        <v>63684</v>
      </c>
      <c r="G2178" s="637" t="s">
        <v>57</v>
      </c>
      <c r="H2178" s="637" t="s">
        <v>1162</v>
      </c>
      <c r="I2178" s="637" t="s">
        <v>58</v>
      </c>
      <c r="J2178" s="636">
        <v>22</v>
      </c>
      <c r="K2178" s="636">
        <v>2</v>
      </c>
      <c r="L2178" s="637" t="s">
        <v>52</v>
      </c>
      <c r="M2178" s="637" t="s">
        <v>441</v>
      </c>
      <c r="N2178" s="637" t="s">
        <v>442</v>
      </c>
      <c r="O2178" s="637" t="s">
        <v>442</v>
      </c>
      <c r="P2178" s="637" t="s">
        <v>1156</v>
      </c>
      <c r="Q2178" s="638">
        <v>0</v>
      </c>
      <c r="R2178" s="638">
        <v>0</v>
      </c>
      <c r="S2178" s="638">
        <v>21352</v>
      </c>
      <c r="T2178" s="638">
        <v>21352</v>
      </c>
      <c r="U2178" s="638">
        <v>6258</v>
      </c>
      <c r="V2178" s="636">
        <v>2022</v>
      </c>
      <c r="W2178" s="640"/>
      <c r="X2178" s="641">
        <f t="shared" si="99"/>
        <v>3.4119527005433046</v>
      </c>
      <c r="Y2178" s="642" t="str">
        <f t="shared" si="100"/>
        <v/>
      </c>
      <c r="Z2178" s="642" t="str">
        <f t="shared" si="101"/>
        <v/>
      </c>
    </row>
    <row r="2179" spans="1:26" s="127" customFormat="1" ht="25">
      <c r="A2179" s="636">
        <v>64045</v>
      </c>
      <c r="B2179" s="637" t="s">
        <v>33</v>
      </c>
      <c r="C2179" s="636" t="s">
        <v>2725</v>
      </c>
      <c r="D2179" s="637" t="s">
        <v>3163</v>
      </c>
      <c r="E2179" s="637" t="s">
        <v>3164</v>
      </c>
      <c r="F2179" s="636">
        <v>63685</v>
      </c>
      <c r="G2179" s="637" t="s">
        <v>81</v>
      </c>
      <c r="H2179" s="637" t="s">
        <v>1163</v>
      </c>
      <c r="I2179" s="637" t="s">
        <v>58</v>
      </c>
      <c r="J2179" s="636">
        <v>22</v>
      </c>
      <c r="K2179" s="636">
        <v>2</v>
      </c>
      <c r="L2179" s="637" t="s">
        <v>52</v>
      </c>
      <c r="M2179" s="637" t="s">
        <v>441</v>
      </c>
      <c r="N2179" s="637" t="s">
        <v>442</v>
      </c>
      <c r="O2179" s="637" t="s">
        <v>442</v>
      </c>
      <c r="P2179" s="637" t="s">
        <v>1156</v>
      </c>
      <c r="Q2179" s="638">
        <v>0</v>
      </c>
      <c r="R2179" s="638">
        <v>0</v>
      </c>
      <c r="S2179" s="638">
        <v>23610</v>
      </c>
      <c r="T2179" s="638">
        <v>23610</v>
      </c>
      <c r="U2179" s="638">
        <v>6919</v>
      </c>
      <c r="V2179" s="636">
        <v>2022</v>
      </c>
      <c r="W2179" s="640"/>
      <c r="X2179" s="641">
        <f t="shared" si="99"/>
        <v>3.41234282410753</v>
      </c>
      <c r="Y2179" s="642" t="str">
        <f t="shared" si="100"/>
        <v/>
      </c>
      <c r="Z2179" s="642" t="str">
        <f t="shared" si="101"/>
        <v/>
      </c>
    </row>
    <row r="2180" spans="1:26" s="127" customFormat="1" ht="25">
      <c r="A2180" s="636">
        <v>64046</v>
      </c>
      <c r="B2180" s="637" t="s">
        <v>33</v>
      </c>
      <c r="C2180" s="636" t="s">
        <v>2725</v>
      </c>
      <c r="D2180" s="637" t="s">
        <v>3165</v>
      </c>
      <c r="E2180" s="637" t="s">
        <v>3166</v>
      </c>
      <c r="F2180" s="636">
        <v>63686</v>
      </c>
      <c r="G2180" s="637" t="s">
        <v>57</v>
      </c>
      <c r="H2180" s="637" t="s">
        <v>1162</v>
      </c>
      <c r="I2180" s="637" t="s">
        <v>58</v>
      </c>
      <c r="J2180" s="636">
        <v>22</v>
      </c>
      <c r="K2180" s="636">
        <v>2</v>
      </c>
      <c r="L2180" s="637" t="s">
        <v>52</v>
      </c>
      <c r="M2180" s="637" t="s">
        <v>441</v>
      </c>
      <c r="N2180" s="637" t="s">
        <v>442</v>
      </c>
      <c r="O2180" s="637" t="s">
        <v>442</v>
      </c>
      <c r="P2180" s="637" t="s">
        <v>1156</v>
      </c>
      <c r="Q2180" s="638">
        <v>0</v>
      </c>
      <c r="R2180" s="638">
        <v>0</v>
      </c>
      <c r="S2180" s="638">
        <v>23996</v>
      </c>
      <c r="T2180" s="638">
        <v>23996</v>
      </c>
      <c r="U2180" s="638">
        <v>7033</v>
      </c>
      <c r="V2180" s="636">
        <v>2022</v>
      </c>
      <c r="W2180" s="640"/>
      <c r="X2180" s="641">
        <f t="shared" si="99"/>
        <v>3.4119152566472346</v>
      </c>
      <c r="Y2180" s="642" t="str">
        <f t="shared" si="100"/>
        <v/>
      </c>
      <c r="Z2180" s="642" t="str">
        <f t="shared" si="101"/>
        <v/>
      </c>
    </row>
    <row r="2181" spans="1:26" s="127" customFormat="1" ht="25">
      <c r="A2181" s="636">
        <v>64060</v>
      </c>
      <c r="B2181" s="637" t="s">
        <v>33</v>
      </c>
      <c r="C2181" s="636" t="s">
        <v>2725</v>
      </c>
      <c r="D2181" s="637" t="s">
        <v>3345</v>
      </c>
      <c r="E2181" s="637" t="s">
        <v>366</v>
      </c>
      <c r="F2181" s="636">
        <v>11806</v>
      </c>
      <c r="G2181" s="637" t="s">
        <v>81</v>
      </c>
      <c r="H2181" s="637" t="s">
        <v>1163</v>
      </c>
      <c r="I2181" s="637" t="s">
        <v>58</v>
      </c>
      <c r="J2181" s="636">
        <v>22</v>
      </c>
      <c r="K2181" s="636">
        <v>1</v>
      </c>
      <c r="L2181" s="637" t="s">
        <v>34</v>
      </c>
      <c r="M2181" s="637" t="s">
        <v>441</v>
      </c>
      <c r="N2181" s="637" t="s">
        <v>442</v>
      </c>
      <c r="O2181" s="637" t="s">
        <v>442</v>
      </c>
      <c r="P2181" s="637" t="s">
        <v>1156</v>
      </c>
      <c r="Q2181" s="638">
        <v>0</v>
      </c>
      <c r="R2181" s="638">
        <v>0</v>
      </c>
      <c r="S2181" s="638">
        <v>17249</v>
      </c>
      <c r="T2181" s="638">
        <v>17249</v>
      </c>
      <c r="U2181" s="638">
        <v>5055</v>
      </c>
      <c r="V2181" s="636">
        <v>2022</v>
      </c>
      <c r="W2181" s="640"/>
      <c r="X2181" s="641">
        <f t="shared" si="99"/>
        <v>3.4122650840751731</v>
      </c>
      <c r="Y2181" s="642" t="str">
        <f t="shared" si="100"/>
        <v/>
      </c>
      <c r="Z2181" s="642" t="str">
        <f t="shared" si="101"/>
        <v/>
      </c>
    </row>
    <row r="2182" spans="1:26" s="127" customFormat="1" ht="25">
      <c r="A2182" s="636">
        <v>64062</v>
      </c>
      <c r="B2182" s="637" t="s">
        <v>33</v>
      </c>
      <c r="C2182" s="636" t="s">
        <v>2725</v>
      </c>
      <c r="D2182" s="637" t="s">
        <v>3659</v>
      </c>
      <c r="E2182" s="637" t="s">
        <v>3660</v>
      </c>
      <c r="F2182" s="636">
        <v>63696</v>
      </c>
      <c r="G2182" s="637" t="s">
        <v>90</v>
      </c>
      <c r="H2182" s="637" t="s">
        <v>1163</v>
      </c>
      <c r="I2182" s="637" t="s">
        <v>58</v>
      </c>
      <c r="J2182" s="636">
        <v>22</v>
      </c>
      <c r="K2182" s="636">
        <v>2</v>
      </c>
      <c r="L2182" s="637" t="s">
        <v>52</v>
      </c>
      <c r="M2182" s="637" t="s">
        <v>441</v>
      </c>
      <c r="N2182" s="637" t="s">
        <v>442</v>
      </c>
      <c r="O2182" s="637" t="s">
        <v>442</v>
      </c>
      <c r="P2182" s="637" t="s">
        <v>1156</v>
      </c>
      <c r="Q2182" s="638">
        <v>0</v>
      </c>
      <c r="R2182" s="638">
        <v>0</v>
      </c>
      <c r="S2182" s="638">
        <v>19063</v>
      </c>
      <c r="T2182" s="638">
        <v>19063</v>
      </c>
      <c r="U2182" s="638">
        <v>5587</v>
      </c>
      <c r="V2182" s="636">
        <v>2022</v>
      </c>
      <c r="W2182" s="640"/>
      <c r="X2182" s="641">
        <f t="shared" si="99"/>
        <v>3.4120279219616969</v>
      </c>
      <c r="Y2182" s="642" t="str">
        <f t="shared" si="100"/>
        <v/>
      </c>
      <c r="Z2182" s="642" t="str">
        <f t="shared" si="101"/>
        <v/>
      </c>
    </row>
    <row r="2183" spans="1:26" s="127" customFormat="1" ht="25">
      <c r="A2183" s="636">
        <v>64068</v>
      </c>
      <c r="B2183" s="637" t="s">
        <v>33</v>
      </c>
      <c r="C2183" s="636" t="s">
        <v>2725</v>
      </c>
      <c r="D2183" s="637" t="s">
        <v>3661</v>
      </c>
      <c r="E2183" s="637" t="s">
        <v>3661</v>
      </c>
      <c r="F2183" s="636">
        <v>63698</v>
      </c>
      <c r="G2183" s="637" t="s">
        <v>90</v>
      </c>
      <c r="H2183" s="637" t="s">
        <v>1163</v>
      </c>
      <c r="I2183" s="637" t="s">
        <v>58</v>
      </c>
      <c r="J2183" s="636">
        <v>22</v>
      </c>
      <c r="K2183" s="636">
        <v>2</v>
      </c>
      <c r="L2183" s="637" t="s">
        <v>52</v>
      </c>
      <c r="M2183" s="637" t="s">
        <v>441</v>
      </c>
      <c r="N2183" s="637" t="s">
        <v>442</v>
      </c>
      <c r="O2183" s="637" t="s">
        <v>442</v>
      </c>
      <c r="P2183" s="637" t="s">
        <v>1156</v>
      </c>
      <c r="Q2183" s="638">
        <v>0</v>
      </c>
      <c r="R2183" s="638">
        <v>0</v>
      </c>
      <c r="S2183" s="638">
        <v>14616</v>
      </c>
      <c r="T2183" s="638">
        <v>14616</v>
      </c>
      <c r="U2183" s="638">
        <v>4284</v>
      </c>
      <c r="V2183" s="636">
        <v>2022</v>
      </c>
      <c r="W2183" s="640"/>
      <c r="X2183" s="641">
        <f t="shared" si="99"/>
        <v>3.4117647058823528</v>
      </c>
      <c r="Y2183" s="642" t="str">
        <f t="shared" si="100"/>
        <v/>
      </c>
      <c r="Z2183" s="642" t="str">
        <f t="shared" si="101"/>
        <v/>
      </c>
    </row>
    <row r="2184" spans="1:26" s="127" customFormat="1" ht="25">
      <c r="A2184" s="636">
        <v>64069</v>
      </c>
      <c r="B2184" s="637" t="s">
        <v>33</v>
      </c>
      <c r="C2184" s="636" t="s">
        <v>2725</v>
      </c>
      <c r="D2184" s="637" t="s">
        <v>3662</v>
      </c>
      <c r="E2184" s="637" t="s">
        <v>3663</v>
      </c>
      <c r="F2184" s="636">
        <v>63699</v>
      </c>
      <c r="G2184" s="637" t="s">
        <v>90</v>
      </c>
      <c r="H2184" s="637" t="s">
        <v>1163</v>
      </c>
      <c r="I2184" s="637" t="s">
        <v>58</v>
      </c>
      <c r="J2184" s="636">
        <v>22</v>
      </c>
      <c r="K2184" s="636">
        <v>2</v>
      </c>
      <c r="L2184" s="637" t="s">
        <v>52</v>
      </c>
      <c r="M2184" s="637" t="s">
        <v>441</v>
      </c>
      <c r="N2184" s="637" t="s">
        <v>442</v>
      </c>
      <c r="O2184" s="637" t="s">
        <v>442</v>
      </c>
      <c r="P2184" s="637" t="s">
        <v>1156</v>
      </c>
      <c r="Q2184" s="638">
        <v>0</v>
      </c>
      <c r="R2184" s="638">
        <v>0</v>
      </c>
      <c r="S2184" s="638">
        <v>15767</v>
      </c>
      <c r="T2184" s="638">
        <v>15767</v>
      </c>
      <c r="U2184" s="638">
        <v>4621</v>
      </c>
      <c r="V2184" s="636">
        <v>2022</v>
      </c>
      <c r="W2184" s="640"/>
      <c r="X2184" s="641">
        <f t="shared" ref="X2184:X2247" si="102">IF(OR(K2184&gt;3,T2184=0,NOT(U2184&gt;0)),"",T2184/U2184)</f>
        <v>3.4120320276996323</v>
      </c>
      <c r="Y2184" s="642" t="str">
        <f t="shared" ref="Y2184:Y2247" si="103">IF(AND($M2184=$Y$2,$N2184=$Y$3,NOT($Q2184=$R2184),NOT($U2184=0)),IF($K2184=5,$S2184/($U2184+(8/5)*$U2184),IF($K2184=7,$S2184/($U2184+(29/25)*$U2184),"")),"")</f>
        <v/>
      </c>
      <c r="Z2184" s="642" t="str">
        <f t="shared" si="101"/>
        <v/>
      </c>
    </row>
    <row r="2185" spans="1:26" s="127" customFormat="1" ht="25">
      <c r="A2185" s="636">
        <v>64070</v>
      </c>
      <c r="B2185" s="637" t="s">
        <v>33</v>
      </c>
      <c r="C2185" s="636" t="s">
        <v>2725</v>
      </c>
      <c r="D2185" s="637" t="s">
        <v>3664</v>
      </c>
      <c r="E2185" s="637" t="s">
        <v>3665</v>
      </c>
      <c r="F2185" s="636">
        <v>63700</v>
      </c>
      <c r="G2185" s="637" t="s">
        <v>90</v>
      </c>
      <c r="H2185" s="637" t="s">
        <v>1163</v>
      </c>
      <c r="I2185" s="637" t="s">
        <v>58</v>
      </c>
      <c r="J2185" s="636">
        <v>22</v>
      </c>
      <c r="K2185" s="636">
        <v>2</v>
      </c>
      <c r="L2185" s="637" t="s">
        <v>52</v>
      </c>
      <c r="M2185" s="637" t="s">
        <v>441</v>
      </c>
      <c r="N2185" s="637" t="s">
        <v>442</v>
      </c>
      <c r="O2185" s="637" t="s">
        <v>442</v>
      </c>
      <c r="P2185" s="637" t="s">
        <v>1156</v>
      </c>
      <c r="Q2185" s="638">
        <v>0</v>
      </c>
      <c r="R2185" s="638">
        <v>0</v>
      </c>
      <c r="S2185" s="638">
        <v>23860</v>
      </c>
      <c r="T2185" s="638">
        <v>23860</v>
      </c>
      <c r="U2185" s="638">
        <v>6993</v>
      </c>
      <c r="V2185" s="636">
        <v>2022</v>
      </c>
      <c r="W2185" s="640"/>
      <c r="X2185" s="641">
        <f t="shared" si="102"/>
        <v>3.411983411983412</v>
      </c>
      <c r="Y2185" s="642" t="str">
        <f t="shared" si="103"/>
        <v/>
      </c>
      <c r="Z2185" s="642" t="str">
        <f t="shared" si="101"/>
        <v/>
      </c>
    </row>
    <row r="2186" spans="1:26" s="127" customFormat="1" ht="25">
      <c r="A2186" s="636">
        <v>64078</v>
      </c>
      <c r="B2186" s="637" t="s">
        <v>33</v>
      </c>
      <c r="C2186" s="636" t="s">
        <v>2725</v>
      </c>
      <c r="D2186" s="637" t="s">
        <v>3167</v>
      </c>
      <c r="E2186" s="637" t="s">
        <v>3168</v>
      </c>
      <c r="F2186" s="636">
        <v>63712</v>
      </c>
      <c r="G2186" s="637" t="s">
        <v>90</v>
      </c>
      <c r="H2186" s="637" t="s">
        <v>1163</v>
      </c>
      <c r="I2186" s="637" t="s">
        <v>58</v>
      </c>
      <c r="J2186" s="636">
        <v>22</v>
      </c>
      <c r="K2186" s="636">
        <v>2</v>
      </c>
      <c r="L2186" s="637" t="s">
        <v>52</v>
      </c>
      <c r="M2186" s="637" t="s">
        <v>441</v>
      </c>
      <c r="N2186" s="637" t="s">
        <v>442</v>
      </c>
      <c r="O2186" s="637" t="s">
        <v>442</v>
      </c>
      <c r="P2186" s="637" t="s">
        <v>1156</v>
      </c>
      <c r="Q2186" s="638">
        <v>0</v>
      </c>
      <c r="R2186" s="638">
        <v>0</v>
      </c>
      <c r="S2186" s="638">
        <v>60983</v>
      </c>
      <c r="T2186" s="638">
        <v>60983</v>
      </c>
      <c r="U2186" s="638">
        <v>17873</v>
      </c>
      <c r="V2186" s="636">
        <v>2022</v>
      </c>
      <c r="W2186" s="640"/>
      <c r="X2186" s="641">
        <f t="shared" si="102"/>
        <v>3.4120181279024226</v>
      </c>
      <c r="Y2186" s="642" t="str">
        <f t="shared" si="103"/>
        <v/>
      </c>
      <c r="Z2186" s="642" t="str">
        <f t="shared" si="101"/>
        <v/>
      </c>
    </row>
    <row r="2187" spans="1:26" s="127" customFormat="1" ht="25">
      <c r="A2187" s="636">
        <v>64084</v>
      </c>
      <c r="B2187" s="637" t="s">
        <v>33</v>
      </c>
      <c r="C2187" s="636" t="s">
        <v>2725</v>
      </c>
      <c r="D2187" s="637" t="s">
        <v>3169</v>
      </c>
      <c r="E2187" s="637" t="s">
        <v>3170</v>
      </c>
      <c r="F2187" s="636">
        <v>63707</v>
      </c>
      <c r="G2187" s="637" t="s">
        <v>57</v>
      </c>
      <c r="H2187" s="637" t="s">
        <v>1162</v>
      </c>
      <c r="I2187" s="637" t="s">
        <v>58</v>
      </c>
      <c r="J2187" s="636">
        <v>22</v>
      </c>
      <c r="K2187" s="636">
        <v>2</v>
      </c>
      <c r="L2187" s="637" t="s">
        <v>52</v>
      </c>
      <c r="M2187" s="637" t="s">
        <v>1852</v>
      </c>
      <c r="N2187" s="637" t="s">
        <v>1035</v>
      </c>
      <c r="O2187" s="637" t="s">
        <v>82</v>
      </c>
      <c r="P2187" s="637" t="s">
        <v>2726</v>
      </c>
      <c r="Q2187" s="638">
        <v>0</v>
      </c>
      <c r="R2187" s="638">
        <v>0</v>
      </c>
      <c r="S2187" s="638">
        <v>0</v>
      </c>
      <c r="T2187" s="638">
        <v>0</v>
      </c>
      <c r="U2187" s="638">
        <v>0</v>
      </c>
      <c r="V2187" s="636">
        <v>2022</v>
      </c>
      <c r="W2187" s="640"/>
      <c r="X2187" s="641" t="str">
        <f t="shared" si="102"/>
        <v/>
      </c>
      <c r="Y2187" s="642" t="str">
        <f t="shared" si="103"/>
        <v/>
      </c>
      <c r="Z2187" s="642" t="str">
        <f t="shared" si="101"/>
        <v/>
      </c>
    </row>
    <row r="2188" spans="1:26" s="127" customFormat="1" ht="25">
      <c r="A2188" s="636">
        <v>64084</v>
      </c>
      <c r="B2188" s="637" t="s">
        <v>33</v>
      </c>
      <c r="C2188" s="636" t="s">
        <v>2725</v>
      </c>
      <c r="D2188" s="637" t="s">
        <v>3169</v>
      </c>
      <c r="E2188" s="637" t="s">
        <v>3170</v>
      </c>
      <c r="F2188" s="636">
        <v>63707</v>
      </c>
      <c r="G2188" s="637" t="s">
        <v>57</v>
      </c>
      <c r="H2188" s="637" t="s">
        <v>1162</v>
      </c>
      <c r="I2188" s="637" t="s">
        <v>58</v>
      </c>
      <c r="J2188" s="636">
        <v>22</v>
      </c>
      <c r="K2188" s="636">
        <v>2</v>
      </c>
      <c r="L2188" s="637" t="s">
        <v>52</v>
      </c>
      <c r="M2188" s="637" t="s">
        <v>441</v>
      </c>
      <c r="N2188" s="637" t="s">
        <v>442</v>
      </c>
      <c r="O2188" s="637" t="s">
        <v>442</v>
      </c>
      <c r="P2188" s="637" t="s">
        <v>1156</v>
      </c>
      <c r="Q2188" s="638">
        <v>0</v>
      </c>
      <c r="R2188" s="638">
        <v>0</v>
      </c>
      <c r="S2188" s="638">
        <v>26399</v>
      </c>
      <c r="T2188" s="638">
        <v>26399</v>
      </c>
      <c r="U2188" s="638">
        <v>7737</v>
      </c>
      <c r="V2188" s="636">
        <v>2022</v>
      </c>
      <c r="W2188" s="640"/>
      <c r="X2188" s="641">
        <f t="shared" si="102"/>
        <v>3.4120460126664081</v>
      </c>
      <c r="Y2188" s="642" t="str">
        <f t="shared" si="103"/>
        <v/>
      </c>
      <c r="Z2188" s="642" t="str">
        <f t="shared" si="101"/>
        <v/>
      </c>
    </row>
    <row r="2189" spans="1:26" s="127" customFormat="1" ht="25">
      <c r="A2189" s="636">
        <v>64085</v>
      </c>
      <c r="B2189" s="637" t="s">
        <v>33</v>
      </c>
      <c r="C2189" s="636" t="s">
        <v>2725</v>
      </c>
      <c r="D2189" s="637" t="s">
        <v>3171</v>
      </c>
      <c r="E2189" s="637" t="s">
        <v>3172</v>
      </c>
      <c r="F2189" s="636">
        <v>63693</v>
      </c>
      <c r="G2189" s="637" t="s">
        <v>130</v>
      </c>
      <c r="H2189" s="637" t="s">
        <v>1163</v>
      </c>
      <c r="I2189" s="637" t="s">
        <v>58</v>
      </c>
      <c r="J2189" s="636">
        <v>22</v>
      </c>
      <c r="K2189" s="636">
        <v>2</v>
      </c>
      <c r="L2189" s="637" t="s">
        <v>52</v>
      </c>
      <c r="M2189" s="637" t="s">
        <v>441</v>
      </c>
      <c r="N2189" s="637" t="s">
        <v>442</v>
      </c>
      <c r="O2189" s="637" t="s">
        <v>442</v>
      </c>
      <c r="P2189" s="637" t="s">
        <v>1156</v>
      </c>
      <c r="Q2189" s="638">
        <v>0</v>
      </c>
      <c r="R2189" s="638">
        <v>0</v>
      </c>
      <c r="S2189" s="638">
        <v>11301</v>
      </c>
      <c r="T2189" s="638">
        <v>11301</v>
      </c>
      <c r="U2189" s="638">
        <v>3312</v>
      </c>
      <c r="V2189" s="636">
        <v>2022</v>
      </c>
      <c r="W2189" s="640"/>
      <c r="X2189" s="641">
        <f t="shared" si="102"/>
        <v>3.4121376811594204</v>
      </c>
      <c r="Y2189" s="642" t="str">
        <f t="shared" si="103"/>
        <v/>
      </c>
      <c r="Z2189" s="642" t="str">
        <f t="shared" si="101"/>
        <v/>
      </c>
    </row>
    <row r="2190" spans="1:26" s="127" customFormat="1" ht="25">
      <c r="A2190" s="636">
        <v>64087</v>
      </c>
      <c r="B2190" s="637" t="s">
        <v>33</v>
      </c>
      <c r="C2190" s="636" t="s">
        <v>2725</v>
      </c>
      <c r="D2190" s="637" t="s">
        <v>3173</v>
      </c>
      <c r="E2190" s="637" t="s">
        <v>3174</v>
      </c>
      <c r="F2190" s="636">
        <v>63708</v>
      </c>
      <c r="G2190" s="637" t="s">
        <v>57</v>
      </c>
      <c r="H2190" s="637" t="s">
        <v>1162</v>
      </c>
      <c r="I2190" s="637" t="s">
        <v>58</v>
      </c>
      <c r="J2190" s="636">
        <v>22</v>
      </c>
      <c r="K2190" s="636">
        <v>2</v>
      </c>
      <c r="L2190" s="637" t="s">
        <v>52</v>
      </c>
      <c r="M2190" s="637" t="s">
        <v>1852</v>
      </c>
      <c r="N2190" s="637" t="s">
        <v>1035</v>
      </c>
      <c r="O2190" s="637" t="s">
        <v>82</v>
      </c>
      <c r="P2190" s="637" t="s">
        <v>2726</v>
      </c>
      <c r="Q2190" s="638">
        <v>0</v>
      </c>
      <c r="R2190" s="638">
        <v>0</v>
      </c>
      <c r="S2190" s="638">
        <v>0</v>
      </c>
      <c r="T2190" s="638">
        <v>0</v>
      </c>
      <c r="U2190" s="638">
        <v>0</v>
      </c>
      <c r="V2190" s="636">
        <v>2022</v>
      </c>
      <c r="W2190" s="640"/>
      <c r="X2190" s="641" t="str">
        <f t="shared" si="102"/>
        <v/>
      </c>
      <c r="Y2190" s="642" t="str">
        <f t="shared" si="103"/>
        <v/>
      </c>
      <c r="Z2190" s="642" t="str">
        <f t="shared" si="101"/>
        <v/>
      </c>
    </row>
    <row r="2191" spans="1:26" s="127" customFormat="1" ht="25">
      <c r="A2191" s="636">
        <v>64087</v>
      </c>
      <c r="B2191" s="637" t="s">
        <v>33</v>
      </c>
      <c r="C2191" s="636" t="s">
        <v>2725</v>
      </c>
      <c r="D2191" s="637" t="s">
        <v>3173</v>
      </c>
      <c r="E2191" s="637" t="s">
        <v>3174</v>
      </c>
      <c r="F2191" s="636">
        <v>63708</v>
      </c>
      <c r="G2191" s="637" t="s">
        <v>57</v>
      </c>
      <c r="H2191" s="637" t="s">
        <v>1162</v>
      </c>
      <c r="I2191" s="637" t="s">
        <v>58</v>
      </c>
      <c r="J2191" s="636">
        <v>22</v>
      </c>
      <c r="K2191" s="636">
        <v>2</v>
      </c>
      <c r="L2191" s="637" t="s">
        <v>52</v>
      </c>
      <c r="M2191" s="637" t="s">
        <v>441</v>
      </c>
      <c r="N2191" s="637" t="s">
        <v>442</v>
      </c>
      <c r="O2191" s="637" t="s">
        <v>442</v>
      </c>
      <c r="P2191" s="637" t="s">
        <v>1156</v>
      </c>
      <c r="Q2191" s="638">
        <v>0</v>
      </c>
      <c r="R2191" s="638">
        <v>0</v>
      </c>
      <c r="S2191" s="638">
        <v>28399</v>
      </c>
      <c r="T2191" s="638">
        <v>28399</v>
      </c>
      <c r="U2191" s="638">
        <v>8323</v>
      </c>
      <c r="V2191" s="636">
        <v>2022</v>
      </c>
      <c r="W2191" s="640"/>
      <c r="X2191" s="641">
        <f t="shared" si="102"/>
        <v>3.4121110176619007</v>
      </c>
      <c r="Y2191" s="642" t="str">
        <f t="shared" si="103"/>
        <v/>
      </c>
      <c r="Z2191" s="642" t="str">
        <f t="shared" si="101"/>
        <v/>
      </c>
    </row>
    <row r="2192" spans="1:26" s="127" customFormat="1" ht="25">
      <c r="A2192" s="636">
        <v>64090</v>
      </c>
      <c r="B2192" s="637" t="s">
        <v>33</v>
      </c>
      <c r="C2192" s="636" t="s">
        <v>2725</v>
      </c>
      <c r="D2192" s="637" t="s">
        <v>3175</v>
      </c>
      <c r="E2192" s="637" t="s">
        <v>3176</v>
      </c>
      <c r="F2192" s="636">
        <v>63709</v>
      </c>
      <c r="G2192" s="637" t="s">
        <v>57</v>
      </c>
      <c r="H2192" s="637" t="s">
        <v>1162</v>
      </c>
      <c r="I2192" s="637" t="s">
        <v>58</v>
      </c>
      <c r="J2192" s="636">
        <v>22</v>
      </c>
      <c r="K2192" s="636">
        <v>2</v>
      </c>
      <c r="L2192" s="637" t="s">
        <v>52</v>
      </c>
      <c r="M2192" s="637" t="s">
        <v>1852</v>
      </c>
      <c r="N2192" s="637" t="s">
        <v>1035</v>
      </c>
      <c r="O2192" s="637" t="s">
        <v>82</v>
      </c>
      <c r="P2192" s="637" t="s">
        <v>2726</v>
      </c>
      <c r="Q2192" s="638">
        <v>0</v>
      </c>
      <c r="R2192" s="638">
        <v>0</v>
      </c>
      <c r="S2192" s="638">
        <v>0</v>
      </c>
      <c r="T2192" s="638">
        <v>0</v>
      </c>
      <c r="U2192" s="638">
        <v>0</v>
      </c>
      <c r="V2192" s="636">
        <v>2022</v>
      </c>
      <c r="W2192" s="640"/>
      <c r="X2192" s="641" t="str">
        <f t="shared" si="102"/>
        <v/>
      </c>
      <c r="Y2192" s="642" t="str">
        <f t="shared" si="103"/>
        <v/>
      </c>
      <c r="Z2192" s="642" t="str">
        <f t="shared" ref="Z2192:Z2255" si="104">IF(AND($M2192=$Y$2,$N2192=$Y$4,NOT($Q2192=$R2192),NOT($U2192=0)),IF($K2192=5,$S2192/($U2192+(8/5)*$U2192),IF($K2192=7,$S2192/($U2192+(29/25)*$U2192),"")),"")</f>
        <v/>
      </c>
    </row>
    <row r="2193" spans="1:26" s="127" customFormat="1" ht="25">
      <c r="A2193" s="636">
        <v>64090</v>
      </c>
      <c r="B2193" s="637" t="s">
        <v>33</v>
      </c>
      <c r="C2193" s="636" t="s">
        <v>2725</v>
      </c>
      <c r="D2193" s="637" t="s">
        <v>3175</v>
      </c>
      <c r="E2193" s="637" t="s">
        <v>3176</v>
      </c>
      <c r="F2193" s="636">
        <v>63709</v>
      </c>
      <c r="G2193" s="637" t="s">
        <v>57</v>
      </c>
      <c r="H2193" s="637" t="s">
        <v>1162</v>
      </c>
      <c r="I2193" s="637" t="s">
        <v>58</v>
      </c>
      <c r="J2193" s="636">
        <v>22</v>
      </c>
      <c r="K2193" s="636">
        <v>2</v>
      </c>
      <c r="L2193" s="637" t="s">
        <v>52</v>
      </c>
      <c r="M2193" s="637" t="s">
        <v>441</v>
      </c>
      <c r="N2193" s="637" t="s">
        <v>442</v>
      </c>
      <c r="O2193" s="637" t="s">
        <v>442</v>
      </c>
      <c r="P2193" s="637" t="s">
        <v>1156</v>
      </c>
      <c r="Q2193" s="638">
        <v>0</v>
      </c>
      <c r="R2193" s="638">
        <v>0</v>
      </c>
      <c r="S2193" s="638">
        <v>18159</v>
      </c>
      <c r="T2193" s="638">
        <v>18159</v>
      </c>
      <c r="U2193" s="638">
        <v>5322</v>
      </c>
      <c r="V2193" s="636">
        <v>2022</v>
      </c>
      <c r="W2193" s="640"/>
      <c r="X2193" s="641">
        <f t="shared" si="102"/>
        <v>3.41206313416009</v>
      </c>
      <c r="Y2193" s="642" t="str">
        <f t="shared" si="103"/>
        <v/>
      </c>
      <c r="Z2193" s="642" t="str">
        <f t="shared" si="104"/>
        <v/>
      </c>
    </row>
    <row r="2194" spans="1:26" s="127" customFormat="1" ht="25">
      <c r="A2194" s="636">
        <v>64091</v>
      </c>
      <c r="B2194" s="637" t="s">
        <v>33</v>
      </c>
      <c r="C2194" s="636" t="s">
        <v>2725</v>
      </c>
      <c r="D2194" s="637" t="s">
        <v>3177</v>
      </c>
      <c r="E2194" s="637" t="s">
        <v>3178</v>
      </c>
      <c r="F2194" s="636">
        <v>63710</v>
      </c>
      <c r="G2194" s="637" t="s">
        <v>57</v>
      </c>
      <c r="H2194" s="637" t="s">
        <v>1162</v>
      </c>
      <c r="I2194" s="637" t="s">
        <v>58</v>
      </c>
      <c r="J2194" s="636">
        <v>22</v>
      </c>
      <c r="K2194" s="636">
        <v>2</v>
      </c>
      <c r="L2194" s="637" t="s">
        <v>52</v>
      </c>
      <c r="M2194" s="637" t="s">
        <v>441</v>
      </c>
      <c r="N2194" s="637" t="s">
        <v>442</v>
      </c>
      <c r="O2194" s="637" t="s">
        <v>442</v>
      </c>
      <c r="P2194" s="637" t="s">
        <v>1156</v>
      </c>
      <c r="Q2194" s="638">
        <v>0</v>
      </c>
      <c r="R2194" s="638">
        <v>0</v>
      </c>
      <c r="S2194" s="638">
        <v>23799</v>
      </c>
      <c r="T2194" s="638">
        <v>23799</v>
      </c>
      <c r="U2194" s="638">
        <v>6975</v>
      </c>
      <c r="V2194" s="636">
        <v>2022</v>
      </c>
      <c r="W2194" s="640"/>
      <c r="X2194" s="641">
        <f t="shared" si="102"/>
        <v>3.4120430107526882</v>
      </c>
      <c r="Y2194" s="642" t="str">
        <f t="shared" si="103"/>
        <v/>
      </c>
      <c r="Z2194" s="642" t="str">
        <f t="shared" si="104"/>
        <v/>
      </c>
    </row>
    <row r="2195" spans="1:26" s="127" customFormat="1" ht="25">
      <c r="A2195" s="636">
        <v>64092</v>
      </c>
      <c r="B2195" s="637" t="s">
        <v>33</v>
      </c>
      <c r="C2195" s="636" t="s">
        <v>2725</v>
      </c>
      <c r="D2195" s="637" t="s">
        <v>3179</v>
      </c>
      <c r="E2195" s="637" t="s">
        <v>3180</v>
      </c>
      <c r="F2195" s="636">
        <v>63711</v>
      </c>
      <c r="G2195" s="637" t="s">
        <v>57</v>
      </c>
      <c r="H2195" s="637" t="s">
        <v>1162</v>
      </c>
      <c r="I2195" s="637" t="s">
        <v>58</v>
      </c>
      <c r="J2195" s="636">
        <v>22</v>
      </c>
      <c r="K2195" s="636">
        <v>2</v>
      </c>
      <c r="L2195" s="637" t="s">
        <v>52</v>
      </c>
      <c r="M2195" s="637" t="s">
        <v>1852</v>
      </c>
      <c r="N2195" s="637" t="s">
        <v>1035</v>
      </c>
      <c r="O2195" s="637" t="s">
        <v>82</v>
      </c>
      <c r="P2195" s="637" t="s">
        <v>2726</v>
      </c>
      <c r="Q2195" s="638">
        <v>0</v>
      </c>
      <c r="R2195" s="638">
        <v>0</v>
      </c>
      <c r="S2195" s="638">
        <v>0</v>
      </c>
      <c r="T2195" s="638">
        <v>0</v>
      </c>
      <c r="U2195" s="638">
        <v>0</v>
      </c>
      <c r="V2195" s="636">
        <v>2022</v>
      </c>
      <c r="W2195" s="640"/>
      <c r="X2195" s="641" t="str">
        <f t="shared" si="102"/>
        <v/>
      </c>
      <c r="Y2195" s="642" t="str">
        <f t="shared" si="103"/>
        <v/>
      </c>
      <c r="Z2195" s="642" t="str">
        <f t="shared" si="104"/>
        <v/>
      </c>
    </row>
    <row r="2196" spans="1:26" s="127" customFormat="1" ht="25">
      <c r="A2196" s="636">
        <v>64092</v>
      </c>
      <c r="B2196" s="637" t="s">
        <v>33</v>
      </c>
      <c r="C2196" s="636" t="s">
        <v>2725</v>
      </c>
      <c r="D2196" s="637" t="s">
        <v>3179</v>
      </c>
      <c r="E2196" s="637" t="s">
        <v>3180</v>
      </c>
      <c r="F2196" s="636">
        <v>63711</v>
      </c>
      <c r="G2196" s="637" t="s">
        <v>57</v>
      </c>
      <c r="H2196" s="637" t="s">
        <v>1162</v>
      </c>
      <c r="I2196" s="637" t="s">
        <v>58</v>
      </c>
      <c r="J2196" s="636">
        <v>22</v>
      </c>
      <c r="K2196" s="636">
        <v>2</v>
      </c>
      <c r="L2196" s="637" t="s">
        <v>52</v>
      </c>
      <c r="M2196" s="637" t="s">
        <v>441</v>
      </c>
      <c r="N2196" s="637" t="s">
        <v>442</v>
      </c>
      <c r="O2196" s="637" t="s">
        <v>442</v>
      </c>
      <c r="P2196" s="637" t="s">
        <v>1156</v>
      </c>
      <c r="Q2196" s="638">
        <v>0</v>
      </c>
      <c r="R2196" s="638">
        <v>0</v>
      </c>
      <c r="S2196" s="638">
        <v>26724</v>
      </c>
      <c r="T2196" s="638">
        <v>26724</v>
      </c>
      <c r="U2196" s="638">
        <v>7832</v>
      </c>
      <c r="V2196" s="636">
        <v>2022</v>
      </c>
      <c r="W2196" s="640"/>
      <c r="X2196" s="641">
        <f t="shared" si="102"/>
        <v>3.4121552604698673</v>
      </c>
      <c r="Y2196" s="642" t="str">
        <f t="shared" si="103"/>
        <v/>
      </c>
      <c r="Z2196" s="642" t="str">
        <f t="shared" si="104"/>
        <v/>
      </c>
    </row>
    <row r="2197" spans="1:26" s="127" customFormat="1" ht="25">
      <c r="A2197" s="636">
        <v>64102</v>
      </c>
      <c r="B2197" s="637" t="s">
        <v>33</v>
      </c>
      <c r="C2197" s="636" t="s">
        <v>2725</v>
      </c>
      <c r="D2197" s="637" t="s">
        <v>3181</v>
      </c>
      <c r="E2197" s="637" t="s">
        <v>3182</v>
      </c>
      <c r="F2197" s="636">
        <v>63730</v>
      </c>
      <c r="G2197" s="637" t="s">
        <v>57</v>
      </c>
      <c r="H2197" s="637" t="s">
        <v>1162</v>
      </c>
      <c r="I2197" s="637" t="s">
        <v>58</v>
      </c>
      <c r="J2197" s="636">
        <v>22</v>
      </c>
      <c r="K2197" s="636">
        <v>2</v>
      </c>
      <c r="L2197" s="637" t="s">
        <v>52</v>
      </c>
      <c r="M2197" s="637" t="s">
        <v>441</v>
      </c>
      <c r="N2197" s="637" t="s">
        <v>442</v>
      </c>
      <c r="O2197" s="637" t="s">
        <v>442</v>
      </c>
      <c r="P2197" s="637" t="s">
        <v>1156</v>
      </c>
      <c r="Q2197" s="638">
        <v>0</v>
      </c>
      <c r="R2197" s="638">
        <v>0</v>
      </c>
      <c r="S2197" s="638">
        <v>36543</v>
      </c>
      <c r="T2197" s="638">
        <v>36543</v>
      </c>
      <c r="U2197" s="638">
        <v>10710</v>
      </c>
      <c r="V2197" s="636">
        <v>2022</v>
      </c>
      <c r="W2197" s="640"/>
      <c r="X2197" s="641">
        <f t="shared" si="102"/>
        <v>3.4120448179271707</v>
      </c>
      <c r="Y2197" s="642" t="str">
        <f t="shared" si="103"/>
        <v/>
      </c>
      <c r="Z2197" s="642" t="str">
        <f t="shared" si="104"/>
        <v/>
      </c>
    </row>
    <row r="2198" spans="1:26" s="127" customFormat="1" ht="25">
      <c r="A2198" s="636">
        <v>64107</v>
      </c>
      <c r="B2198" s="637" t="s">
        <v>33</v>
      </c>
      <c r="C2198" s="636" t="s">
        <v>2725</v>
      </c>
      <c r="D2198" s="637" t="s">
        <v>3183</v>
      </c>
      <c r="E2198" s="637" t="s">
        <v>3184</v>
      </c>
      <c r="F2198" s="636">
        <v>63735</v>
      </c>
      <c r="G2198" s="637" t="s">
        <v>81</v>
      </c>
      <c r="H2198" s="637" t="s">
        <v>1163</v>
      </c>
      <c r="I2198" s="637" t="s">
        <v>58</v>
      </c>
      <c r="J2198" s="636">
        <v>22</v>
      </c>
      <c r="K2198" s="636">
        <v>2</v>
      </c>
      <c r="L2198" s="637" t="s">
        <v>52</v>
      </c>
      <c r="M2198" s="637" t="s">
        <v>441</v>
      </c>
      <c r="N2198" s="637" t="s">
        <v>442</v>
      </c>
      <c r="O2198" s="637" t="s">
        <v>442</v>
      </c>
      <c r="P2198" s="637" t="s">
        <v>1156</v>
      </c>
      <c r="Q2198" s="638">
        <v>0</v>
      </c>
      <c r="R2198" s="638">
        <v>0</v>
      </c>
      <c r="S2198" s="638">
        <v>18782</v>
      </c>
      <c r="T2198" s="638">
        <v>18782</v>
      </c>
      <c r="U2198" s="638">
        <v>5505</v>
      </c>
      <c r="V2198" s="636">
        <v>2022</v>
      </c>
      <c r="W2198" s="640"/>
      <c r="X2198" s="641">
        <f t="shared" si="102"/>
        <v>3.4118074477747502</v>
      </c>
      <c r="Y2198" s="642" t="str">
        <f t="shared" si="103"/>
        <v/>
      </c>
      <c r="Z2198" s="642" t="str">
        <f t="shared" si="104"/>
        <v/>
      </c>
    </row>
    <row r="2199" spans="1:26" s="127" customFormat="1" ht="25">
      <c r="A2199" s="636">
        <v>64108</v>
      </c>
      <c r="B2199" s="637" t="s">
        <v>33</v>
      </c>
      <c r="C2199" s="636" t="s">
        <v>2725</v>
      </c>
      <c r="D2199" s="637" t="s">
        <v>3185</v>
      </c>
      <c r="E2199" s="637" t="s">
        <v>3186</v>
      </c>
      <c r="F2199" s="636">
        <v>63737</v>
      </c>
      <c r="G2199" s="637" t="s">
        <v>130</v>
      </c>
      <c r="H2199" s="637" t="s">
        <v>1163</v>
      </c>
      <c r="I2199" s="637" t="s">
        <v>58</v>
      </c>
      <c r="J2199" s="636">
        <v>22</v>
      </c>
      <c r="K2199" s="636">
        <v>2</v>
      </c>
      <c r="L2199" s="637" t="s">
        <v>52</v>
      </c>
      <c r="M2199" s="637" t="s">
        <v>441</v>
      </c>
      <c r="N2199" s="637" t="s">
        <v>442</v>
      </c>
      <c r="O2199" s="637" t="s">
        <v>442</v>
      </c>
      <c r="P2199" s="637" t="s">
        <v>1156</v>
      </c>
      <c r="Q2199" s="638">
        <v>0</v>
      </c>
      <c r="R2199" s="638">
        <v>0</v>
      </c>
      <c r="S2199" s="638">
        <v>100158</v>
      </c>
      <c r="T2199" s="638">
        <v>100158</v>
      </c>
      <c r="U2199" s="638">
        <v>29355</v>
      </c>
      <c r="V2199" s="636">
        <v>2022</v>
      </c>
      <c r="W2199" s="640"/>
      <c r="X2199" s="641">
        <f t="shared" si="102"/>
        <v>3.4119570771589167</v>
      </c>
      <c r="Y2199" s="642" t="str">
        <f t="shared" si="103"/>
        <v/>
      </c>
      <c r="Z2199" s="642" t="str">
        <f t="shared" si="104"/>
        <v/>
      </c>
    </row>
    <row r="2200" spans="1:26" s="127" customFormat="1" ht="25">
      <c r="A2200" s="636">
        <v>64109</v>
      </c>
      <c r="B2200" s="637" t="s">
        <v>33</v>
      </c>
      <c r="C2200" s="636" t="s">
        <v>2725</v>
      </c>
      <c r="D2200" s="637" t="s">
        <v>3187</v>
      </c>
      <c r="E2200" s="637" t="s">
        <v>3188</v>
      </c>
      <c r="F2200" s="636">
        <v>63738</v>
      </c>
      <c r="G2200" s="637" t="s">
        <v>81</v>
      </c>
      <c r="H2200" s="637" t="s">
        <v>1163</v>
      </c>
      <c r="I2200" s="637" t="s">
        <v>58</v>
      </c>
      <c r="J2200" s="636">
        <v>22</v>
      </c>
      <c r="K2200" s="636">
        <v>2</v>
      </c>
      <c r="L2200" s="637" t="s">
        <v>52</v>
      </c>
      <c r="M2200" s="637" t="s">
        <v>441</v>
      </c>
      <c r="N2200" s="637" t="s">
        <v>442</v>
      </c>
      <c r="O2200" s="637" t="s">
        <v>442</v>
      </c>
      <c r="P2200" s="637" t="s">
        <v>1156</v>
      </c>
      <c r="Q2200" s="638">
        <v>0</v>
      </c>
      <c r="R2200" s="638">
        <v>0</v>
      </c>
      <c r="S2200" s="638">
        <v>23503</v>
      </c>
      <c r="T2200" s="638">
        <v>23503</v>
      </c>
      <c r="U2200" s="638">
        <v>6888</v>
      </c>
      <c r="V2200" s="636">
        <v>2022</v>
      </c>
      <c r="W2200" s="640"/>
      <c r="X2200" s="641">
        <f t="shared" si="102"/>
        <v>3.4121660859465739</v>
      </c>
      <c r="Y2200" s="642" t="str">
        <f t="shared" si="103"/>
        <v/>
      </c>
      <c r="Z2200" s="642" t="str">
        <f t="shared" si="104"/>
        <v/>
      </c>
    </row>
    <row r="2201" spans="1:26" s="127" customFormat="1" ht="25">
      <c r="A2201" s="636">
        <v>64110</v>
      </c>
      <c r="B2201" s="637" t="s">
        <v>33</v>
      </c>
      <c r="C2201" s="636" t="s">
        <v>2725</v>
      </c>
      <c r="D2201" s="637" t="s">
        <v>3189</v>
      </c>
      <c r="E2201" s="637" t="s">
        <v>3190</v>
      </c>
      <c r="F2201" s="636">
        <v>63739</v>
      </c>
      <c r="G2201" s="637" t="s">
        <v>81</v>
      </c>
      <c r="H2201" s="637" t="s">
        <v>1163</v>
      </c>
      <c r="I2201" s="637" t="s">
        <v>58</v>
      </c>
      <c r="J2201" s="636">
        <v>22</v>
      </c>
      <c r="K2201" s="636">
        <v>2</v>
      </c>
      <c r="L2201" s="637" t="s">
        <v>52</v>
      </c>
      <c r="M2201" s="637" t="s">
        <v>441</v>
      </c>
      <c r="N2201" s="637" t="s">
        <v>442</v>
      </c>
      <c r="O2201" s="637" t="s">
        <v>442</v>
      </c>
      <c r="P2201" s="637" t="s">
        <v>1156</v>
      </c>
      <c r="Q2201" s="638">
        <v>0</v>
      </c>
      <c r="R2201" s="638">
        <v>0</v>
      </c>
      <c r="S2201" s="638">
        <v>20866</v>
      </c>
      <c r="T2201" s="638">
        <v>20866</v>
      </c>
      <c r="U2201" s="638">
        <v>6115</v>
      </c>
      <c r="V2201" s="636">
        <v>2022</v>
      </c>
      <c r="W2201" s="640"/>
      <c r="X2201" s="641">
        <f t="shared" si="102"/>
        <v>3.4122649223221586</v>
      </c>
      <c r="Y2201" s="642" t="str">
        <f t="shared" si="103"/>
        <v/>
      </c>
      <c r="Z2201" s="642" t="str">
        <f t="shared" si="104"/>
        <v/>
      </c>
    </row>
    <row r="2202" spans="1:26" s="127" customFormat="1" ht="25">
      <c r="A2202" s="636">
        <v>64111</v>
      </c>
      <c r="B2202" s="637" t="s">
        <v>33</v>
      </c>
      <c r="C2202" s="636" t="s">
        <v>2725</v>
      </c>
      <c r="D2202" s="637" t="s">
        <v>3191</v>
      </c>
      <c r="E2202" s="637" t="s">
        <v>3192</v>
      </c>
      <c r="F2202" s="636">
        <v>63740</v>
      </c>
      <c r="G2202" s="637" t="s">
        <v>130</v>
      </c>
      <c r="H2202" s="637" t="s">
        <v>1163</v>
      </c>
      <c r="I2202" s="637" t="s">
        <v>58</v>
      </c>
      <c r="J2202" s="636">
        <v>22</v>
      </c>
      <c r="K2202" s="636">
        <v>2</v>
      </c>
      <c r="L2202" s="637" t="s">
        <v>52</v>
      </c>
      <c r="M2202" s="637" t="s">
        <v>441</v>
      </c>
      <c r="N2202" s="637" t="s">
        <v>442</v>
      </c>
      <c r="O2202" s="637" t="s">
        <v>442</v>
      </c>
      <c r="P2202" s="637" t="s">
        <v>1156</v>
      </c>
      <c r="Q2202" s="638">
        <v>0</v>
      </c>
      <c r="R2202" s="638">
        <v>0</v>
      </c>
      <c r="S2202" s="638">
        <v>10335</v>
      </c>
      <c r="T2202" s="638">
        <v>10335</v>
      </c>
      <c r="U2202" s="638">
        <v>3029</v>
      </c>
      <c r="V2202" s="636">
        <v>2022</v>
      </c>
      <c r="W2202" s="640"/>
      <c r="X2202" s="641">
        <f t="shared" si="102"/>
        <v>3.4120171673819741</v>
      </c>
      <c r="Y2202" s="642" t="str">
        <f t="shared" si="103"/>
        <v/>
      </c>
      <c r="Z2202" s="642" t="str">
        <f t="shared" si="104"/>
        <v/>
      </c>
    </row>
    <row r="2203" spans="1:26" s="127" customFormat="1" ht="25">
      <c r="A2203" s="636">
        <v>64112</v>
      </c>
      <c r="B2203" s="637" t="s">
        <v>33</v>
      </c>
      <c r="C2203" s="636" t="s">
        <v>2725</v>
      </c>
      <c r="D2203" s="637" t="s">
        <v>3193</v>
      </c>
      <c r="E2203" s="637" t="s">
        <v>3194</v>
      </c>
      <c r="F2203" s="636">
        <v>63741</v>
      </c>
      <c r="G2203" s="637" t="s">
        <v>81</v>
      </c>
      <c r="H2203" s="637" t="s">
        <v>1163</v>
      </c>
      <c r="I2203" s="637" t="s">
        <v>58</v>
      </c>
      <c r="J2203" s="636">
        <v>22</v>
      </c>
      <c r="K2203" s="636">
        <v>2</v>
      </c>
      <c r="L2203" s="637" t="s">
        <v>52</v>
      </c>
      <c r="M2203" s="637" t="s">
        <v>441</v>
      </c>
      <c r="N2203" s="637" t="s">
        <v>442</v>
      </c>
      <c r="O2203" s="637" t="s">
        <v>442</v>
      </c>
      <c r="P2203" s="637" t="s">
        <v>1156</v>
      </c>
      <c r="Q2203" s="638">
        <v>0</v>
      </c>
      <c r="R2203" s="638">
        <v>0</v>
      </c>
      <c r="S2203" s="638">
        <v>14586</v>
      </c>
      <c r="T2203" s="638">
        <v>14586</v>
      </c>
      <c r="U2203" s="638">
        <v>4275</v>
      </c>
      <c r="V2203" s="636">
        <v>2022</v>
      </c>
      <c r="W2203" s="640"/>
      <c r="X2203" s="641">
        <f t="shared" si="102"/>
        <v>3.4119298245614034</v>
      </c>
      <c r="Y2203" s="642" t="str">
        <f t="shared" si="103"/>
        <v/>
      </c>
      <c r="Z2203" s="642" t="str">
        <f t="shared" si="104"/>
        <v/>
      </c>
    </row>
    <row r="2204" spans="1:26" s="127" customFormat="1" ht="25">
      <c r="A2204" s="636">
        <v>64113</v>
      </c>
      <c r="B2204" s="637" t="s">
        <v>33</v>
      </c>
      <c r="C2204" s="636" t="s">
        <v>2725</v>
      </c>
      <c r="D2204" s="637" t="s">
        <v>3195</v>
      </c>
      <c r="E2204" s="637" t="s">
        <v>3196</v>
      </c>
      <c r="F2204" s="636">
        <v>63742</v>
      </c>
      <c r="G2204" s="637" t="s">
        <v>130</v>
      </c>
      <c r="H2204" s="637" t="s">
        <v>1163</v>
      </c>
      <c r="I2204" s="637" t="s">
        <v>58</v>
      </c>
      <c r="J2204" s="636">
        <v>22</v>
      </c>
      <c r="K2204" s="636">
        <v>2</v>
      </c>
      <c r="L2204" s="637" t="s">
        <v>52</v>
      </c>
      <c r="M2204" s="637" t="s">
        <v>441</v>
      </c>
      <c r="N2204" s="637" t="s">
        <v>442</v>
      </c>
      <c r="O2204" s="637" t="s">
        <v>442</v>
      </c>
      <c r="P2204" s="637" t="s">
        <v>1156</v>
      </c>
      <c r="Q2204" s="638">
        <v>0</v>
      </c>
      <c r="R2204" s="638">
        <v>0</v>
      </c>
      <c r="S2204" s="638">
        <v>30152</v>
      </c>
      <c r="T2204" s="638">
        <v>30152</v>
      </c>
      <c r="U2204" s="638">
        <v>8837</v>
      </c>
      <c r="V2204" s="636">
        <v>2022</v>
      </c>
      <c r="W2204" s="640"/>
      <c r="X2204" s="641">
        <f t="shared" si="102"/>
        <v>3.4120176530496775</v>
      </c>
      <c r="Y2204" s="642" t="str">
        <f t="shared" si="103"/>
        <v/>
      </c>
      <c r="Z2204" s="642" t="str">
        <f t="shared" si="104"/>
        <v/>
      </c>
    </row>
    <row r="2205" spans="1:26" s="127" customFormat="1" ht="25">
      <c r="A2205" s="636">
        <v>64114</v>
      </c>
      <c r="B2205" s="637" t="s">
        <v>33</v>
      </c>
      <c r="C2205" s="636" t="s">
        <v>2725</v>
      </c>
      <c r="D2205" s="637" t="s">
        <v>3197</v>
      </c>
      <c r="E2205" s="637" t="s">
        <v>3198</v>
      </c>
      <c r="F2205" s="636">
        <v>63743</v>
      </c>
      <c r="G2205" s="637" t="s">
        <v>130</v>
      </c>
      <c r="H2205" s="637" t="s">
        <v>1163</v>
      </c>
      <c r="I2205" s="637" t="s">
        <v>58</v>
      </c>
      <c r="J2205" s="636">
        <v>22</v>
      </c>
      <c r="K2205" s="636">
        <v>2</v>
      </c>
      <c r="L2205" s="637" t="s">
        <v>52</v>
      </c>
      <c r="M2205" s="637" t="s">
        <v>441</v>
      </c>
      <c r="N2205" s="637" t="s">
        <v>442</v>
      </c>
      <c r="O2205" s="637" t="s">
        <v>442</v>
      </c>
      <c r="P2205" s="637" t="s">
        <v>1156</v>
      </c>
      <c r="Q2205" s="638">
        <v>0</v>
      </c>
      <c r="R2205" s="638">
        <v>0</v>
      </c>
      <c r="S2205" s="638">
        <v>7260</v>
      </c>
      <c r="T2205" s="638">
        <v>7260</v>
      </c>
      <c r="U2205" s="638">
        <v>2127</v>
      </c>
      <c r="V2205" s="636">
        <v>2022</v>
      </c>
      <c r="W2205" s="640"/>
      <c r="X2205" s="641">
        <f t="shared" si="102"/>
        <v>3.4132581100141044</v>
      </c>
      <c r="Y2205" s="642" t="str">
        <f t="shared" si="103"/>
        <v/>
      </c>
      <c r="Z2205" s="642" t="str">
        <f t="shared" si="104"/>
        <v/>
      </c>
    </row>
    <row r="2206" spans="1:26" s="127" customFormat="1" ht="25">
      <c r="A2206" s="636">
        <v>64115</v>
      </c>
      <c r="B2206" s="637" t="s">
        <v>33</v>
      </c>
      <c r="C2206" s="636" t="s">
        <v>2725</v>
      </c>
      <c r="D2206" s="637" t="s">
        <v>3199</v>
      </c>
      <c r="E2206" s="637" t="s">
        <v>3200</v>
      </c>
      <c r="F2206" s="636">
        <v>63744</v>
      </c>
      <c r="G2206" s="637" t="s">
        <v>81</v>
      </c>
      <c r="H2206" s="637" t="s">
        <v>1163</v>
      </c>
      <c r="I2206" s="637" t="s">
        <v>58</v>
      </c>
      <c r="J2206" s="636">
        <v>22</v>
      </c>
      <c r="K2206" s="636">
        <v>2</v>
      </c>
      <c r="L2206" s="637" t="s">
        <v>52</v>
      </c>
      <c r="M2206" s="637" t="s">
        <v>441</v>
      </c>
      <c r="N2206" s="637" t="s">
        <v>442</v>
      </c>
      <c r="O2206" s="637" t="s">
        <v>442</v>
      </c>
      <c r="P2206" s="637" t="s">
        <v>1156</v>
      </c>
      <c r="Q2206" s="638">
        <v>0</v>
      </c>
      <c r="R2206" s="638">
        <v>0</v>
      </c>
      <c r="S2206" s="638">
        <v>7158</v>
      </c>
      <c r="T2206" s="638">
        <v>7158</v>
      </c>
      <c r="U2206" s="638">
        <v>2098</v>
      </c>
      <c r="V2206" s="636">
        <v>2022</v>
      </c>
      <c r="W2206" s="640"/>
      <c r="X2206" s="641">
        <f t="shared" si="102"/>
        <v>3.411820781696854</v>
      </c>
      <c r="Y2206" s="642" t="str">
        <f t="shared" si="103"/>
        <v/>
      </c>
      <c r="Z2206" s="642" t="str">
        <f t="shared" si="104"/>
        <v/>
      </c>
    </row>
    <row r="2207" spans="1:26" s="127" customFormat="1" ht="25">
      <c r="A2207" s="636">
        <v>64116</v>
      </c>
      <c r="B2207" s="637" t="s">
        <v>33</v>
      </c>
      <c r="C2207" s="636" t="s">
        <v>2725</v>
      </c>
      <c r="D2207" s="637" t="s">
        <v>3201</v>
      </c>
      <c r="E2207" s="637" t="s">
        <v>3202</v>
      </c>
      <c r="F2207" s="636">
        <v>63745</v>
      </c>
      <c r="G2207" s="637" t="s">
        <v>130</v>
      </c>
      <c r="H2207" s="637" t="s">
        <v>1163</v>
      </c>
      <c r="I2207" s="637" t="s">
        <v>58</v>
      </c>
      <c r="J2207" s="636">
        <v>22</v>
      </c>
      <c r="K2207" s="636">
        <v>2</v>
      </c>
      <c r="L2207" s="637" t="s">
        <v>52</v>
      </c>
      <c r="M2207" s="637" t="s">
        <v>441</v>
      </c>
      <c r="N2207" s="637" t="s">
        <v>442</v>
      </c>
      <c r="O2207" s="637" t="s">
        <v>442</v>
      </c>
      <c r="P2207" s="637" t="s">
        <v>1156</v>
      </c>
      <c r="Q2207" s="638">
        <v>0</v>
      </c>
      <c r="R2207" s="638">
        <v>0</v>
      </c>
      <c r="S2207" s="638">
        <v>13326</v>
      </c>
      <c r="T2207" s="638">
        <v>13326</v>
      </c>
      <c r="U2207" s="638">
        <v>3906</v>
      </c>
      <c r="V2207" s="636">
        <v>2022</v>
      </c>
      <c r="W2207" s="640"/>
      <c r="X2207" s="641">
        <f t="shared" si="102"/>
        <v>3.4116743471582183</v>
      </c>
      <c r="Y2207" s="642" t="str">
        <f t="shared" si="103"/>
        <v/>
      </c>
      <c r="Z2207" s="642" t="str">
        <f t="shared" si="104"/>
        <v/>
      </c>
    </row>
    <row r="2208" spans="1:26" s="127" customFormat="1" ht="25">
      <c r="A2208" s="636">
        <v>64120</v>
      </c>
      <c r="B2208" s="637" t="s">
        <v>33</v>
      </c>
      <c r="C2208" s="636" t="s">
        <v>2725</v>
      </c>
      <c r="D2208" s="637" t="s">
        <v>3203</v>
      </c>
      <c r="E2208" s="637" t="s">
        <v>3204</v>
      </c>
      <c r="F2208" s="636">
        <v>63736</v>
      </c>
      <c r="G2208" s="637" t="s">
        <v>81</v>
      </c>
      <c r="H2208" s="637" t="s">
        <v>1163</v>
      </c>
      <c r="I2208" s="637" t="s">
        <v>58</v>
      </c>
      <c r="J2208" s="636">
        <v>22</v>
      </c>
      <c r="K2208" s="636">
        <v>2</v>
      </c>
      <c r="L2208" s="637" t="s">
        <v>52</v>
      </c>
      <c r="M2208" s="637" t="s">
        <v>441</v>
      </c>
      <c r="N2208" s="637" t="s">
        <v>442</v>
      </c>
      <c r="O2208" s="637" t="s">
        <v>442</v>
      </c>
      <c r="P2208" s="637" t="s">
        <v>1156</v>
      </c>
      <c r="Q2208" s="638">
        <v>0</v>
      </c>
      <c r="R2208" s="638">
        <v>0</v>
      </c>
      <c r="S2208" s="638">
        <v>9101</v>
      </c>
      <c r="T2208" s="638">
        <v>9101</v>
      </c>
      <c r="U2208" s="638">
        <v>2668</v>
      </c>
      <c r="V2208" s="636">
        <v>2022</v>
      </c>
      <c r="W2208" s="640"/>
      <c r="X2208" s="641">
        <f t="shared" si="102"/>
        <v>3.411169415292354</v>
      </c>
      <c r="Y2208" s="642" t="str">
        <f t="shared" si="103"/>
        <v/>
      </c>
      <c r="Z2208" s="642" t="str">
        <f t="shared" si="104"/>
        <v/>
      </c>
    </row>
    <row r="2209" spans="1:26" s="127" customFormat="1" ht="25">
      <c r="A2209" s="636">
        <v>64125</v>
      </c>
      <c r="B2209" s="637" t="s">
        <v>33</v>
      </c>
      <c r="C2209" s="636" t="s">
        <v>2725</v>
      </c>
      <c r="D2209" s="637" t="s">
        <v>3346</v>
      </c>
      <c r="E2209" s="637" t="s">
        <v>3064</v>
      </c>
      <c r="F2209" s="636">
        <v>63244</v>
      </c>
      <c r="G2209" s="637" t="s">
        <v>57</v>
      </c>
      <c r="H2209" s="637" t="s">
        <v>1162</v>
      </c>
      <c r="I2209" s="637" t="s">
        <v>58</v>
      </c>
      <c r="J2209" s="636">
        <v>22</v>
      </c>
      <c r="K2209" s="636">
        <v>2</v>
      </c>
      <c r="L2209" s="637" t="s">
        <v>52</v>
      </c>
      <c r="M2209" s="637" t="s">
        <v>441</v>
      </c>
      <c r="N2209" s="637" t="s">
        <v>442</v>
      </c>
      <c r="O2209" s="637" t="s">
        <v>442</v>
      </c>
      <c r="P2209" s="637" t="s">
        <v>1156</v>
      </c>
      <c r="Q2209" s="638">
        <v>0</v>
      </c>
      <c r="R2209" s="638">
        <v>0</v>
      </c>
      <c r="S2209" s="638">
        <v>27297</v>
      </c>
      <c r="T2209" s="638">
        <v>27297</v>
      </c>
      <c r="U2209" s="638">
        <v>8000</v>
      </c>
      <c r="V2209" s="636">
        <v>2022</v>
      </c>
      <c r="W2209" s="640"/>
      <c r="X2209" s="641">
        <f t="shared" si="102"/>
        <v>3.4121250000000001</v>
      </c>
      <c r="Y2209" s="642" t="str">
        <f t="shared" si="103"/>
        <v/>
      </c>
      <c r="Z2209" s="642" t="str">
        <f t="shared" si="104"/>
        <v/>
      </c>
    </row>
    <row r="2210" spans="1:26" s="127" customFormat="1" ht="25">
      <c r="A2210" s="636">
        <v>64126</v>
      </c>
      <c r="B2210" s="637" t="s">
        <v>33</v>
      </c>
      <c r="C2210" s="636" t="s">
        <v>2725</v>
      </c>
      <c r="D2210" s="637" t="s">
        <v>3205</v>
      </c>
      <c r="E2210" s="637" t="s">
        <v>3064</v>
      </c>
      <c r="F2210" s="636">
        <v>63244</v>
      </c>
      <c r="G2210" s="637" t="s">
        <v>57</v>
      </c>
      <c r="H2210" s="637" t="s">
        <v>1162</v>
      </c>
      <c r="I2210" s="637" t="s">
        <v>58</v>
      </c>
      <c r="J2210" s="636">
        <v>22</v>
      </c>
      <c r="K2210" s="636">
        <v>2</v>
      </c>
      <c r="L2210" s="637" t="s">
        <v>52</v>
      </c>
      <c r="M2210" s="637" t="s">
        <v>441</v>
      </c>
      <c r="N2210" s="637" t="s">
        <v>442</v>
      </c>
      <c r="O2210" s="637" t="s">
        <v>442</v>
      </c>
      <c r="P2210" s="637" t="s">
        <v>1156</v>
      </c>
      <c r="Q2210" s="638">
        <v>0</v>
      </c>
      <c r="R2210" s="638">
        <v>0</v>
      </c>
      <c r="S2210" s="638">
        <v>11534</v>
      </c>
      <c r="T2210" s="638">
        <v>11534</v>
      </c>
      <c r="U2210" s="638">
        <v>3380</v>
      </c>
      <c r="V2210" s="636">
        <v>2022</v>
      </c>
      <c r="W2210" s="640"/>
      <c r="X2210" s="641">
        <f t="shared" si="102"/>
        <v>3.4124260355029588</v>
      </c>
      <c r="Y2210" s="642" t="str">
        <f t="shared" si="103"/>
        <v/>
      </c>
      <c r="Z2210" s="642" t="str">
        <f t="shared" si="104"/>
        <v/>
      </c>
    </row>
    <row r="2211" spans="1:26" s="127" customFormat="1" ht="25">
      <c r="A2211" s="636">
        <v>64127</v>
      </c>
      <c r="B2211" s="637" t="s">
        <v>33</v>
      </c>
      <c r="C2211" s="636" t="s">
        <v>2725</v>
      </c>
      <c r="D2211" s="637" t="s">
        <v>3347</v>
      </c>
      <c r="E2211" s="637" t="s">
        <v>3064</v>
      </c>
      <c r="F2211" s="636">
        <v>63244</v>
      </c>
      <c r="G2211" s="637" t="s">
        <v>57</v>
      </c>
      <c r="H2211" s="637" t="s">
        <v>1162</v>
      </c>
      <c r="I2211" s="637" t="s">
        <v>58</v>
      </c>
      <c r="J2211" s="636">
        <v>22</v>
      </c>
      <c r="K2211" s="636">
        <v>2</v>
      </c>
      <c r="L2211" s="637" t="s">
        <v>52</v>
      </c>
      <c r="M2211" s="637" t="s">
        <v>441</v>
      </c>
      <c r="N2211" s="637" t="s">
        <v>442</v>
      </c>
      <c r="O2211" s="637" t="s">
        <v>442</v>
      </c>
      <c r="P2211" s="637" t="s">
        <v>1156</v>
      </c>
      <c r="Q2211" s="638">
        <v>0</v>
      </c>
      <c r="R2211" s="638">
        <v>0</v>
      </c>
      <c r="S2211" s="638">
        <v>21154</v>
      </c>
      <c r="T2211" s="638">
        <v>21154</v>
      </c>
      <c r="U2211" s="638">
        <v>6200</v>
      </c>
      <c r="V2211" s="636">
        <v>2022</v>
      </c>
      <c r="W2211" s="640"/>
      <c r="X2211" s="641">
        <f t="shared" si="102"/>
        <v>3.4119354838709679</v>
      </c>
      <c r="Y2211" s="642" t="str">
        <f t="shared" si="103"/>
        <v/>
      </c>
      <c r="Z2211" s="642" t="str">
        <f t="shared" si="104"/>
        <v/>
      </c>
    </row>
    <row r="2212" spans="1:26" s="127" customFormat="1" ht="25">
      <c r="A2212" s="636">
        <v>64128</v>
      </c>
      <c r="B2212" s="637" t="s">
        <v>33</v>
      </c>
      <c r="C2212" s="636" t="s">
        <v>2725</v>
      </c>
      <c r="D2212" s="637" t="s">
        <v>3348</v>
      </c>
      <c r="E2212" s="637" t="s">
        <v>3349</v>
      </c>
      <c r="F2212" s="636">
        <v>64059</v>
      </c>
      <c r="G2212" s="637" t="s">
        <v>81</v>
      </c>
      <c r="H2212" s="637" t="s">
        <v>1163</v>
      </c>
      <c r="I2212" s="637" t="s">
        <v>58</v>
      </c>
      <c r="J2212" s="636">
        <v>22</v>
      </c>
      <c r="K2212" s="636">
        <v>2</v>
      </c>
      <c r="L2212" s="637" t="s">
        <v>52</v>
      </c>
      <c r="M2212" s="637" t="s">
        <v>1852</v>
      </c>
      <c r="N2212" s="637" t="s">
        <v>1035</v>
      </c>
      <c r="O2212" s="637" t="s">
        <v>82</v>
      </c>
      <c r="P2212" s="637" t="s">
        <v>2726</v>
      </c>
      <c r="Q2212" s="638">
        <v>822</v>
      </c>
      <c r="R2212" s="638">
        <v>822</v>
      </c>
      <c r="S2212" s="638">
        <v>0</v>
      </c>
      <c r="T2212" s="638">
        <v>0</v>
      </c>
      <c r="U2212" s="638">
        <v>-44</v>
      </c>
      <c r="V2212" s="636">
        <v>2022</v>
      </c>
      <c r="W2212" s="640"/>
      <c r="X2212" s="641" t="str">
        <f t="shared" si="102"/>
        <v/>
      </c>
      <c r="Y2212" s="642" t="str">
        <f t="shared" si="103"/>
        <v/>
      </c>
      <c r="Z2212" s="642" t="str">
        <f t="shared" si="104"/>
        <v/>
      </c>
    </row>
    <row r="2213" spans="1:26" s="127" customFormat="1" ht="25">
      <c r="A2213" s="636">
        <v>64128</v>
      </c>
      <c r="B2213" s="637" t="s">
        <v>33</v>
      </c>
      <c r="C2213" s="636" t="s">
        <v>2725</v>
      </c>
      <c r="D2213" s="637" t="s">
        <v>3348</v>
      </c>
      <c r="E2213" s="637" t="s">
        <v>3349</v>
      </c>
      <c r="F2213" s="636">
        <v>64059</v>
      </c>
      <c r="G2213" s="637" t="s">
        <v>81</v>
      </c>
      <c r="H2213" s="637" t="s">
        <v>1163</v>
      </c>
      <c r="I2213" s="637" t="s">
        <v>58</v>
      </c>
      <c r="J2213" s="636">
        <v>22</v>
      </c>
      <c r="K2213" s="636">
        <v>2</v>
      </c>
      <c r="L2213" s="637" t="s">
        <v>52</v>
      </c>
      <c r="M2213" s="637" t="s">
        <v>441</v>
      </c>
      <c r="N2213" s="637" t="s">
        <v>442</v>
      </c>
      <c r="O2213" s="637" t="s">
        <v>442</v>
      </c>
      <c r="P2213" s="637" t="s">
        <v>1156</v>
      </c>
      <c r="Q2213" s="638">
        <v>0</v>
      </c>
      <c r="R2213" s="638">
        <v>0</v>
      </c>
      <c r="S2213" s="638">
        <v>18267</v>
      </c>
      <c r="T2213" s="638">
        <v>18267</v>
      </c>
      <c r="U2213" s="638">
        <v>5354</v>
      </c>
      <c r="V2213" s="636">
        <v>2022</v>
      </c>
      <c r="W2213" s="640"/>
      <c r="X2213" s="641">
        <f t="shared" si="102"/>
        <v>3.4118416137467316</v>
      </c>
      <c r="Y2213" s="642" t="str">
        <f t="shared" si="103"/>
        <v/>
      </c>
      <c r="Z2213" s="642" t="str">
        <f t="shared" si="104"/>
        <v/>
      </c>
    </row>
    <row r="2214" spans="1:26" s="127" customFormat="1" ht="25">
      <c r="A2214" s="636">
        <v>64129</v>
      </c>
      <c r="B2214" s="637" t="s">
        <v>33</v>
      </c>
      <c r="C2214" s="636" t="s">
        <v>2725</v>
      </c>
      <c r="D2214" s="637" t="s">
        <v>3350</v>
      </c>
      <c r="E2214" s="637" t="s">
        <v>3351</v>
      </c>
      <c r="F2214" s="636">
        <v>64058</v>
      </c>
      <c r="G2214" s="637" t="s">
        <v>81</v>
      </c>
      <c r="H2214" s="637" t="s">
        <v>1163</v>
      </c>
      <c r="I2214" s="637" t="s">
        <v>58</v>
      </c>
      <c r="J2214" s="636">
        <v>22</v>
      </c>
      <c r="K2214" s="636">
        <v>2</v>
      </c>
      <c r="L2214" s="637" t="s">
        <v>52</v>
      </c>
      <c r="M2214" s="637" t="s">
        <v>1852</v>
      </c>
      <c r="N2214" s="637" t="s">
        <v>1035</v>
      </c>
      <c r="O2214" s="637" t="s">
        <v>82</v>
      </c>
      <c r="P2214" s="637" t="s">
        <v>2726</v>
      </c>
      <c r="Q2214" s="638">
        <v>852</v>
      </c>
      <c r="R2214" s="638">
        <v>852</v>
      </c>
      <c r="S2214" s="638">
        <v>0</v>
      </c>
      <c r="T2214" s="638">
        <v>0</v>
      </c>
      <c r="U2214" s="638">
        <v>-31</v>
      </c>
      <c r="V2214" s="636">
        <v>2022</v>
      </c>
      <c r="W2214" s="640"/>
      <c r="X2214" s="641" t="str">
        <f t="shared" si="102"/>
        <v/>
      </c>
      <c r="Y2214" s="642" t="str">
        <f t="shared" si="103"/>
        <v/>
      </c>
      <c r="Z2214" s="642" t="str">
        <f t="shared" si="104"/>
        <v/>
      </c>
    </row>
    <row r="2215" spans="1:26" s="127" customFormat="1" ht="25">
      <c r="A2215" s="636">
        <v>64129</v>
      </c>
      <c r="B2215" s="637" t="s">
        <v>33</v>
      </c>
      <c r="C2215" s="636" t="s">
        <v>2725</v>
      </c>
      <c r="D2215" s="637" t="s">
        <v>3350</v>
      </c>
      <c r="E2215" s="637" t="s">
        <v>3351</v>
      </c>
      <c r="F2215" s="636">
        <v>64058</v>
      </c>
      <c r="G2215" s="637" t="s">
        <v>81</v>
      </c>
      <c r="H2215" s="637" t="s">
        <v>1163</v>
      </c>
      <c r="I2215" s="637" t="s">
        <v>58</v>
      </c>
      <c r="J2215" s="636">
        <v>22</v>
      </c>
      <c r="K2215" s="636">
        <v>2</v>
      </c>
      <c r="L2215" s="637" t="s">
        <v>52</v>
      </c>
      <c r="M2215" s="637" t="s">
        <v>441</v>
      </c>
      <c r="N2215" s="637" t="s">
        <v>442</v>
      </c>
      <c r="O2215" s="637" t="s">
        <v>442</v>
      </c>
      <c r="P2215" s="637" t="s">
        <v>1156</v>
      </c>
      <c r="Q2215" s="638">
        <v>0</v>
      </c>
      <c r="R2215" s="638">
        <v>0</v>
      </c>
      <c r="S2215" s="638">
        <v>28633</v>
      </c>
      <c r="T2215" s="638">
        <v>28633</v>
      </c>
      <c r="U2215" s="638">
        <v>8392</v>
      </c>
      <c r="V2215" s="636">
        <v>2022</v>
      </c>
      <c r="W2215" s="640"/>
      <c r="X2215" s="641">
        <f t="shared" si="102"/>
        <v>3.4119399428026691</v>
      </c>
      <c r="Y2215" s="642" t="str">
        <f t="shared" si="103"/>
        <v/>
      </c>
      <c r="Z2215" s="642" t="str">
        <f t="shared" si="104"/>
        <v/>
      </c>
    </row>
    <row r="2216" spans="1:26" s="127" customFormat="1" ht="25">
      <c r="A2216" s="636">
        <v>64137</v>
      </c>
      <c r="B2216" s="637" t="s">
        <v>33</v>
      </c>
      <c r="C2216" s="636" t="s">
        <v>2725</v>
      </c>
      <c r="D2216" s="637" t="s">
        <v>3206</v>
      </c>
      <c r="E2216" s="637" t="s">
        <v>3623</v>
      </c>
      <c r="F2216" s="636">
        <v>61944</v>
      </c>
      <c r="G2216" s="637" t="s">
        <v>81</v>
      </c>
      <c r="H2216" s="637" t="s">
        <v>1163</v>
      </c>
      <c r="I2216" s="637" t="s">
        <v>58</v>
      </c>
      <c r="J2216" s="636">
        <v>22</v>
      </c>
      <c r="K2216" s="636">
        <v>2</v>
      </c>
      <c r="L2216" s="637" t="s">
        <v>52</v>
      </c>
      <c r="M2216" s="637" t="s">
        <v>441</v>
      </c>
      <c r="N2216" s="637" t="s">
        <v>442</v>
      </c>
      <c r="O2216" s="637" t="s">
        <v>442</v>
      </c>
      <c r="P2216" s="637" t="s">
        <v>1156</v>
      </c>
      <c r="Q2216" s="638">
        <v>0</v>
      </c>
      <c r="R2216" s="638">
        <v>0</v>
      </c>
      <c r="S2216" s="638">
        <v>7660</v>
      </c>
      <c r="T2216" s="638">
        <v>7660</v>
      </c>
      <c r="U2216" s="638">
        <v>2245</v>
      </c>
      <c r="V2216" s="636">
        <v>2022</v>
      </c>
      <c r="W2216" s="640"/>
      <c r="X2216" s="641">
        <f t="shared" si="102"/>
        <v>3.4120267260579062</v>
      </c>
      <c r="Y2216" s="642" t="str">
        <f t="shared" si="103"/>
        <v/>
      </c>
      <c r="Z2216" s="642" t="str">
        <f t="shared" si="104"/>
        <v/>
      </c>
    </row>
    <row r="2217" spans="1:26" s="127" customFormat="1" ht="25">
      <c r="A2217" s="636">
        <v>64140</v>
      </c>
      <c r="B2217" s="637" t="s">
        <v>33</v>
      </c>
      <c r="C2217" s="636" t="s">
        <v>2725</v>
      </c>
      <c r="D2217" s="637" t="s">
        <v>3352</v>
      </c>
      <c r="E2217" s="637" t="s">
        <v>2166</v>
      </c>
      <c r="F2217" s="636">
        <v>61012</v>
      </c>
      <c r="G2217" s="637" t="s">
        <v>81</v>
      </c>
      <c r="H2217" s="637" t="s">
        <v>1163</v>
      </c>
      <c r="I2217" s="637" t="s">
        <v>58</v>
      </c>
      <c r="J2217" s="636">
        <v>22</v>
      </c>
      <c r="K2217" s="636">
        <v>2</v>
      </c>
      <c r="L2217" s="637" t="s">
        <v>52</v>
      </c>
      <c r="M2217" s="637" t="s">
        <v>1852</v>
      </c>
      <c r="N2217" s="637" t="s">
        <v>1035</v>
      </c>
      <c r="O2217" s="637" t="s">
        <v>82</v>
      </c>
      <c r="P2217" s="637" t="s">
        <v>2726</v>
      </c>
      <c r="Q2217" s="638">
        <v>47</v>
      </c>
      <c r="R2217" s="638">
        <v>47</v>
      </c>
      <c r="S2217" s="638">
        <v>0</v>
      </c>
      <c r="T2217" s="638">
        <v>0</v>
      </c>
      <c r="U2217" s="638">
        <v>-4</v>
      </c>
      <c r="V2217" s="636">
        <v>2022</v>
      </c>
      <c r="W2217" s="640"/>
      <c r="X2217" s="641" t="str">
        <f t="shared" si="102"/>
        <v/>
      </c>
      <c r="Y2217" s="642" t="str">
        <f t="shared" si="103"/>
        <v/>
      </c>
      <c r="Z2217" s="642" t="str">
        <f t="shared" si="104"/>
        <v/>
      </c>
    </row>
    <row r="2218" spans="1:26" s="127" customFormat="1" ht="25">
      <c r="A2218" s="636">
        <v>64140</v>
      </c>
      <c r="B2218" s="637" t="s">
        <v>33</v>
      </c>
      <c r="C2218" s="636" t="s">
        <v>2725</v>
      </c>
      <c r="D2218" s="637" t="s">
        <v>3352</v>
      </c>
      <c r="E2218" s="637" t="s">
        <v>2166</v>
      </c>
      <c r="F2218" s="636">
        <v>61012</v>
      </c>
      <c r="G2218" s="637" t="s">
        <v>81</v>
      </c>
      <c r="H2218" s="637" t="s">
        <v>1163</v>
      </c>
      <c r="I2218" s="637" t="s">
        <v>58</v>
      </c>
      <c r="J2218" s="636">
        <v>22</v>
      </c>
      <c r="K2218" s="636">
        <v>2</v>
      </c>
      <c r="L2218" s="637" t="s">
        <v>52</v>
      </c>
      <c r="M2218" s="637" t="s">
        <v>441</v>
      </c>
      <c r="N2218" s="637" t="s">
        <v>442</v>
      </c>
      <c r="O2218" s="637" t="s">
        <v>442</v>
      </c>
      <c r="P2218" s="637" t="s">
        <v>1156</v>
      </c>
      <c r="Q2218" s="638">
        <v>0</v>
      </c>
      <c r="R2218" s="638">
        <v>0</v>
      </c>
      <c r="S2218" s="638">
        <v>3651</v>
      </c>
      <c r="T2218" s="638">
        <v>3651</v>
      </c>
      <c r="U2218" s="638">
        <v>1070</v>
      </c>
      <c r="V2218" s="636">
        <v>2022</v>
      </c>
      <c r="W2218" s="640"/>
      <c r="X2218" s="641">
        <f t="shared" si="102"/>
        <v>3.4121495327102802</v>
      </c>
      <c r="Y2218" s="642" t="str">
        <f t="shared" si="103"/>
        <v/>
      </c>
      <c r="Z2218" s="642" t="str">
        <f t="shared" si="104"/>
        <v/>
      </c>
    </row>
    <row r="2219" spans="1:26" s="127" customFormat="1" ht="25">
      <c r="A2219" s="636">
        <v>64143</v>
      </c>
      <c r="B2219" s="637" t="s">
        <v>33</v>
      </c>
      <c r="C2219" s="636" t="s">
        <v>2725</v>
      </c>
      <c r="D2219" s="637" t="s">
        <v>3207</v>
      </c>
      <c r="E2219" s="637" t="s">
        <v>3053</v>
      </c>
      <c r="F2219" s="636">
        <v>60571</v>
      </c>
      <c r="G2219" s="637" t="s">
        <v>57</v>
      </c>
      <c r="H2219" s="637" t="s">
        <v>1162</v>
      </c>
      <c r="I2219" s="637" t="s">
        <v>58</v>
      </c>
      <c r="J2219" s="636">
        <v>22</v>
      </c>
      <c r="K2219" s="636">
        <v>2</v>
      </c>
      <c r="L2219" s="637" t="s">
        <v>52</v>
      </c>
      <c r="M2219" s="637" t="s">
        <v>1232</v>
      </c>
      <c r="N2219" s="637" t="s">
        <v>39</v>
      </c>
      <c r="O2219" s="637" t="s">
        <v>39</v>
      </c>
      <c r="P2219" s="637" t="s">
        <v>1020</v>
      </c>
      <c r="Q2219" s="638">
        <v>114457</v>
      </c>
      <c r="R2219" s="638">
        <v>114457</v>
      </c>
      <c r="S2219" s="638">
        <v>118119</v>
      </c>
      <c r="T2219" s="638">
        <v>118119</v>
      </c>
      <c r="U2219" s="638">
        <v>16635</v>
      </c>
      <c r="V2219" s="636">
        <v>2022</v>
      </c>
      <c r="W2219" s="640"/>
      <c r="X2219" s="641">
        <f t="shared" si="102"/>
        <v>7.1006311992786291</v>
      </c>
      <c r="Y2219" s="642" t="str">
        <f t="shared" si="103"/>
        <v/>
      </c>
      <c r="Z2219" s="642" t="str">
        <f t="shared" si="104"/>
        <v/>
      </c>
    </row>
    <row r="2220" spans="1:26" s="127" customFormat="1" ht="25">
      <c r="A2220" s="636">
        <v>64147</v>
      </c>
      <c r="B2220" s="637" t="s">
        <v>33</v>
      </c>
      <c r="C2220" s="636" t="s">
        <v>2725</v>
      </c>
      <c r="D2220" s="637" t="s">
        <v>3353</v>
      </c>
      <c r="E2220" s="637" t="s">
        <v>2166</v>
      </c>
      <c r="F2220" s="636">
        <v>61012</v>
      </c>
      <c r="G2220" s="637" t="s">
        <v>81</v>
      </c>
      <c r="H2220" s="637" t="s">
        <v>1163</v>
      </c>
      <c r="I2220" s="637" t="s">
        <v>58</v>
      </c>
      <c r="J2220" s="636">
        <v>22</v>
      </c>
      <c r="K2220" s="636">
        <v>2</v>
      </c>
      <c r="L2220" s="637" t="s">
        <v>52</v>
      </c>
      <c r="M2220" s="637" t="s">
        <v>1852</v>
      </c>
      <c r="N2220" s="637" t="s">
        <v>1035</v>
      </c>
      <c r="O2220" s="637" t="s">
        <v>82</v>
      </c>
      <c r="P2220" s="637" t="s">
        <v>2726</v>
      </c>
      <c r="Q2220" s="638">
        <v>482</v>
      </c>
      <c r="R2220" s="638">
        <v>482</v>
      </c>
      <c r="S2220" s="638">
        <v>0</v>
      </c>
      <c r="T2220" s="638">
        <v>0</v>
      </c>
      <c r="U2220" s="638">
        <v>-34</v>
      </c>
      <c r="V2220" s="636">
        <v>2022</v>
      </c>
      <c r="W2220" s="640"/>
      <c r="X2220" s="641" t="str">
        <f t="shared" si="102"/>
        <v/>
      </c>
      <c r="Y2220" s="642" t="str">
        <f t="shared" si="103"/>
        <v/>
      </c>
      <c r="Z2220" s="642" t="str">
        <f t="shared" si="104"/>
        <v/>
      </c>
    </row>
    <row r="2221" spans="1:26" s="127" customFormat="1" ht="25">
      <c r="A2221" s="636">
        <v>64147</v>
      </c>
      <c r="B2221" s="637" t="s">
        <v>33</v>
      </c>
      <c r="C2221" s="636" t="s">
        <v>2725</v>
      </c>
      <c r="D2221" s="637" t="s">
        <v>3353</v>
      </c>
      <c r="E2221" s="637" t="s">
        <v>2166</v>
      </c>
      <c r="F2221" s="636">
        <v>61012</v>
      </c>
      <c r="G2221" s="637" t="s">
        <v>81</v>
      </c>
      <c r="H2221" s="637" t="s">
        <v>1163</v>
      </c>
      <c r="I2221" s="637" t="s">
        <v>58</v>
      </c>
      <c r="J2221" s="636">
        <v>22</v>
      </c>
      <c r="K2221" s="636">
        <v>2</v>
      </c>
      <c r="L2221" s="637" t="s">
        <v>52</v>
      </c>
      <c r="M2221" s="637" t="s">
        <v>441</v>
      </c>
      <c r="N2221" s="637" t="s">
        <v>442</v>
      </c>
      <c r="O2221" s="637" t="s">
        <v>442</v>
      </c>
      <c r="P2221" s="637" t="s">
        <v>1156</v>
      </c>
      <c r="Q2221" s="638">
        <v>0</v>
      </c>
      <c r="R2221" s="638">
        <v>0</v>
      </c>
      <c r="S2221" s="638">
        <v>23785</v>
      </c>
      <c r="T2221" s="638">
        <v>23785</v>
      </c>
      <c r="U2221" s="638">
        <v>6971</v>
      </c>
      <c r="V2221" s="636">
        <v>2022</v>
      </c>
      <c r="W2221" s="640"/>
      <c r="X2221" s="641">
        <f t="shared" si="102"/>
        <v>3.4119925405250324</v>
      </c>
      <c r="Y2221" s="642" t="str">
        <f t="shared" si="103"/>
        <v/>
      </c>
      <c r="Z2221" s="642" t="str">
        <f t="shared" si="104"/>
        <v/>
      </c>
    </row>
    <row r="2222" spans="1:26" s="127" customFormat="1" ht="25">
      <c r="A2222" s="636">
        <v>64162</v>
      </c>
      <c r="B2222" s="637" t="s">
        <v>33</v>
      </c>
      <c r="C2222" s="636" t="s">
        <v>2725</v>
      </c>
      <c r="D2222" s="637" t="s">
        <v>3208</v>
      </c>
      <c r="E2222" s="637" t="s">
        <v>3209</v>
      </c>
      <c r="F2222" s="636">
        <v>63706</v>
      </c>
      <c r="G2222" s="637" t="s">
        <v>81</v>
      </c>
      <c r="H2222" s="637" t="s">
        <v>1163</v>
      </c>
      <c r="I2222" s="637" t="s">
        <v>58</v>
      </c>
      <c r="J2222" s="636">
        <v>22</v>
      </c>
      <c r="K2222" s="636">
        <v>2</v>
      </c>
      <c r="L2222" s="637" t="s">
        <v>52</v>
      </c>
      <c r="M2222" s="637" t="s">
        <v>441</v>
      </c>
      <c r="N2222" s="637" t="s">
        <v>442</v>
      </c>
      <c r="O2222" s="637" t="s">
        <v>442</v>
      </c>
      <c r="P2222" s="637" t="s">
        <v>1156</v>
      </c>
      <c r="Q2222" s="638">
        <v>0</v>
      </c>
      <c r="R2222" s="638">
        <v>0</v>
      </c>
      <c r="S2222" s="638">
        <v>9884</v>
      </c>
      <c r="T2222" s="638">
        <v>9884</v>
      </c>
      <c r="U2222" s="638">
        <v>2897</v>
      </c>
      <c r="V2222" s="636">
        <v>2022</v>
      </c>
      <c r="W2222" s="640"/>
      <c r="X2222" s="641">
        <f t="shared" si="102"/>
        <v>3.4118053158439765</v>
      </c>
      <c r="Y2222" s="642" t="str">
        <f t="shared" si="103"/>
        <v/>
      </c>
      <c r="Z2222" s="642" t="str">
        <f t="shared" si="104"/>
        <v/>
      </c>
    </row>
    <row r="2223" spans="1:26" s="127" customFormat="1" ht="25">
      <c r="A2223" s="636">
        <v>64170</v>
      </c>
      <c r="B2223" s="637" t="s">
        <v>33</v>
      </c>
      <c r="C2223" s="636" t="s">
        <v>2725</v>
      </c>
      <c r="D2223" s="637" t="s">
        <v>3354</v>
      </c>
      <c r="E2223" s="637" t="s">
        <v>2166</v>
      </c>
      <c r="F2223" s="636">
        <v>61012</v>
      </c>
      <c r="G2223" s="637" t="s">
        <v>81</v>
      </c>
      <c r="H2223" s="637" t="s">
        <v>1163</v>
      </c>
      <c r="I2223" s="637" t="s">
        <v>58</v>
      </c>
      <c r="J2223" s="636">
        <v>22</v>
      </c>
      <c r="K2223" s="636">
        <v>2</v>
      </c>
      <c r="L2223" s="637" t="s">
        <v>52</v>
      </c>
      <c r="M2223" s="637" t="s">
        <v>1852</v>
      </c>
      <c r="N2223" s="637" t="s">
        <v>1035</v>
      </c>
      <c r="O2223" s="637" t="s">
        <v>82</v>
      </c>
      <c r="P2223" s="637" t="s">
        <v>2726</v>
      </c>
      <c r="Q2223" s="638">
        <v>283</v>
      </c>
      <c r="R2223" s="638">
        <v>283</v>
      </c>
      <c r="S2223" s="638">
        <v>0</v>
      </c>
      <c r="T2223" s="638">
        <v>0</v>
      </c>
      <c r="U2223" s="638">
        <v>-33</v>
      </c>
      <c r="V2223" s="636">
        <v>2022</v>
      </c>
      <c r="W2223" s="640"/>
      <c r="X2223" s="641" t="str">
        <f t="shared" si="102"/>
        <v/>
      </c>
      <c r="Y2223" s="642" t="str">
        <f t="shared" si="103"/>
        <v/>
      </c>
      <c r="Z2223" s="642" t="str">
        <f t="shared" si="104"/>
        <v/>
      </c>
    </row>
    <row r="2224" spans="1:26" s="127" customFormat="1" ht="25">
      <c r="A2224" s="636">
        <v>64170</v>
      </c>
      <c r="B2224" s="637" t="s">
        <v>33</v>
      </c>
      <c r="C2224" s="636" t="s">
        <v>2725</v>
      </c>
      <c r="D2224" s="637" t="s">
        <v>3354</v>
      </c>
      <c r="E2224" s="637" t="s">
        <v>2166</v>
      </c>
      <c r="F2224" s="636">
        <v>61012</v>
      </c>
      <c r="G2224" s="637" t="s">
        <v>81</v>
      </c>
      <c r="H2224" s="637" t="s">
        <v>1163</v>
      </c>
      <c r="I2224" s="637" t="s">
        <v>58</v>
      </c>
      <c r="J2224" s="636">
        <v>22</v>
      </c>
      <c r="K2224" s="636">
        <v>2</v>
      </c>
      <c r="L2224" s="637" t="s">
        <v>52</v>
      </c>
      <c r="M2224" s="637" t="s">
        <v>441</v>
      </c>
      <c r="N2224" s="637" t="s">
        <v>442</v>
      </c>
      <c r="O2224" s="637" t="s">
        <v>442</v>
      </c>
      <c r="P2224" s="637" t="s">
        <v>1156</v>
      </c>
      <c r="Q2224" s="638">
        <v>0</v>
      </c>
      <c r="R2224" s="638">
        <v>0</v>
      </c>
      <c r="S2224" s="638">
        <v>6571</v>
      </c>
      <c r="T2224" s="638">
        <v>6571</v>
      </c>
      <c r="U2224" s="638">
        <v>1926</v>
      </c>
      <c r="V2224" s="636">
        <v>2022</v>
      </c>
      <c r="W2224" s="640"/>
      <c r="X2224" s="641">
        <f t="shared" si="102"/>
        <v>3.4117341640706127</v>
      </c>
      <c r="Y2224" s="642" t="str">
        <f t="shared" si="103"/>
        <v/>
      </c>
      <c r="Z2224" s="642" t="str">
        <f t="shared" si="104"/>
        <v/>
      </c>
    </row>
    <row r="2225" spans="1:26" s="127" customFormat="1" ht="25">
      <c r="A2225" s="636">
        <v>64182</v>
      </c>
      <c r="B2225" s="637" t="s">
        <v>33</v>
      </c>
      <c r="C2225" s="636" t="s">
        <v>2725</v>
      </c>
      <c r="D2225" s="637" t="s">
        <v>3355</v>
      </c>
      <c r="E2225" s="637" t="s">
        <v>2166</v>
      </c>
      <c r="F2225" s="636">
        <v>61012</v>
      </c>
      <c r="G2225" s="637" t="s">
        <v>81</v>
      </c>
      <c r="H2225" s="637" t="s">
        <v>1163</v>
      </c>
      <c r="I2225" s="637" t="s">
        <v>58</v>
      </c>
      <c r="J2225" s="636">
        <v>22</v>
      </c>
      <c r="K2225" s="636">
        <v>2</v>
      </c>
      <c r="L2225" s="637" t="s">
        <v>52</v>
      </c>
      <c r="M2225" s="637" t="s">
        <v>1852</v>
      </c>
      <c r="N2225" s="637" t="s">
        <v>1035</v>
      </c>
      <c r="O2225" s="637" t="s">
        <v>82</v>
      </c>
      <c r="P2225" s="637" t="s">
        <v>2726</v>
      </c>
      <c r="Q2225" s="638">
        <v>886</v>
      </c>
      <c r="R2225" s="638">
        <v>886</v>
      </c>
      <c r="S2225" s="638">
        <v>0</v>
      </c>
      <c r="T2225" s="638">
        <v>0</v>
      </c>
      <c r="U2225" s="638">
        <v>-58</v>
      </c>
      <c r="V2225" s="636">
        <v>2022</v>
      </c>
      <c r="W2225" s="640"/>
      <c r="X2225" s="641" t="str">
        <f t="shared" si="102"/>
        <v/>
      </c>
      <c r="Y2225" s="642" t="str">
        <f t="shared" si="103"/>
        <v/>
      </c>
      <c r="Z2225" s="642" t="str">
        <f t="shared" si="104"/>
        <v/>
      </c>
    </row>
    <row r="2226" spans="1:26" s="127" customFormat="1" ht="25">
      <c r="A2226" s="636">
        <v>64182</v>
      </c>
      <c r="B2226" s="637" t="s">
        <v>33</v>
      </c>
      <c r="C2226" s="636" t="s">
        <v>2725</v>
      </c>
      <c r="D2226" s="637" t="s">
        <v>3355</v>
      </c>
      <c r="E2226" s="637" t="s">
        <v>2166</v>
      </c>
      <c r="F2226" s="636">
        <v>61012</v>
      </c>
      <c r="G2226" s="637" t="s">
        <v>81</v>
      </c>
      <c r="H2226" s="637" t="s">
        <v>1163</v>
      </c>
      <c r="I2226" s="637" t="s">
        <v>58</v>
      </c>
      <c r="J2226" s="636">
        <v>22</v>
      </c>
      <c r="K2226" s="636">
        <v>2</v>
      </c>
      <c r="L2226" s="637" t="s">
        <v>52</v>
      </c>
      <c r="M2226" s="637" t="s">
        <v>441</v>
      </c>
      <c r="N2226" s="637" t="s">
        <v>442</v>
      </c>
      <c r="O2226" s="637" t="s">
        <v>442</v>
      </c>
      <c r="P2226" s="637" t="s">
        <v>1156</v>
      </c>
      <c r="Q2226" s="638">
        <v>0</v>
      </c>
      <c r="R2226" s="638">
        <v>0</v>
      </c>
      <c r="S2226" s="638">
        <v>31247</v>
      </c>
      <c r="T2226" s="638">
        <v>31247</v>
      </c>
      <c r="U2226" s="638">
        <v>9158</v>
      </c>
      <c r="V2226" s="636">
        <v>2022</v>
      </c>
      <c r="W2226" s="640"/>
      <c r="X2226" s="641">
        <f t="shared" si="102"/>
        <v>3.4119895173618695</v>
      </c>
      <c r="Y2226" s="642" t="str">
        <f t="shared" si="103"/>
        <v/>
      </c>
      <c r="Z2226" s="642" t="str">
        <f t="shared" si="104"/>
        <v/>
      </c>
    </row>
    <row r="2227" spans="1:26" s="127" customFormat="1" ht="25">
      <c r="A2227" s="636">
        <v>64184</v>
      </c>
      <c r="B2227" s="637" t="s">
        <v>33</v>
      </c>
      <c r="C2227" s="636" t="s">
        <v>2725</v>
      </c>
      <c r="D2227" s="637" t="s">
        <v>3356</v>
      </c>
      <c r="E2227" s="637" t="s">
        <v>2166</v>
      </c>
      <c r="F2227" s="636">
        <v>61012</v>
      </c>
      <c r="G2227" s="637" t="s">
        <v>81</v>
      </c>
      <c r="H2227" s="637" t="s">
        <v>1163</v>
      </c>
      <c r="I2227" s="637" t="s">
        <v>58</v>
      </c>
      <c r="J2227" s="636">
        <v>22</v>
      </c>
      <c r="K2227" s="636">
        <v>2</v>
      </c>
      <c r="L2227" s="637" t="s">
        <v>52</v>
      </c>
      <c r="M2227" s="637" t="s">
        <v>441</v>
      </c>
      <c r="N2227" s="637" t="s">
        <v>442</v>
      </c>
      <c r="O2227" s="637" t="s">
        <v>442</v>
      </c>
      <c r="P2227" s="637" t="s">
        <v>1156</v>
      </c>
      <c r="Q2227" s="638">
        <v>0</v>
      </c>
      <c r="R2227" s="638">
        <v>0</v>
      </c>
      <c r="S2227" s="638">
        <v>2662</v>
      </c>
      <c r="T2227" s="638">
        <v>2662</v>
      </c>
      <c r="U2227" s="638">
        <v>780</v>
      </c>
      <c r="V2227" s="636">
        <v>2022</v>
      </c>
      <c r="W2227" s="640"/>
      <c r="X2227" s="641">
        <f t="shared" si="102"/>
        <v>3.4128205128205127</v>
      </c>
      <c r="Y2227" s="642" t="str">
        <f t="shared" si="103"/>
        <v/>
      </c>
      <c r="Z2227" s="642" t="str">
        <f t="shared" si="104"/>
        <v/>
      </c>
    </row>
    <row r="2228" spans="1:26" s="127" customFormat="1" ht="25">
      <c r="A2228" s="636">
        <v>64185</v>
      </c>
      <c r="B2228" s="637" t="s">
        <v>33</v>
      </c>
      <c r="C2228" s="636" t="s">
        <v>2725</v>
      </c>
      <c r="D2228" s="637" t="s">
        <v>3357</v>
      </c>
      <c r="E2228" s="637" t="s">
        <v>2166</v>
      </c>
      <c r="F2228" s="636">
        <v>61012</v>
      </c>
      <c r="G2228" s="637" t="s">
        <v>81</v>
      </c>
      <c r="H2228" s="637" t="s">
        <v>1163</v>
      </c>
      <c r="I2228" s="637" t="s">
        <v>58</v>
      </c>
      <c r="J2228" s="636">
        <v>22</v>
      </c>
      <c r="K2228" s="636">
        <v>2</v>
      </c>
      <c r="L2228" s="637" t="s">
        <v>52</v>
      </c>
      <c r="M2228" s="637" t="s">
        <v>1852</v>
      </c>
      <c r="N2228" s="637" t="s">
        <v>1035</v>
      </c>
      <c r="O2228" s="637" t="s">
        <v>82</v>
      </c>
      <c r="P2228" s="637" t="s">
        <v>2726</v>
      </c>
      <c r="Q2228" s="638">
        <v>248</v>
      </c>
      <c r="R2228" s="638">
        <v>248</v>
      </c>
      <c r="S2228" s="638">
        <v>0</v>
      </c>
      <c r="T2228" s="638">
        <v>0</v>
      </c>
      <c r="U2228" s="638">
        <v>54</v>
      </c>
      <c r="V2228" s="636">
        <v>2022</v>
      </c>
      <c r="W2228" s="640"/>
      <c r="X2228" s="641" t="str">
        <f t="shared" si="102"/>
        <v/>
      </c>
      <c r="Y2228" s="642" t="str">
        <f t="shared" si="103"/>
        <v/>
      </c>
      <c r="Z2228" s="642" t="str">
        <f t="shared" si="104"/>
        <v/>
      </c>
    </row>
    <row r="2229" spans="1:26" s="127" customFormat="1" ht="25">
      <c r="A2229" s="636">
        <v>64185</v>
      </c>
      <c r="B2229" s="637" t="s">
        <v>33</v>
      </c>
      <c r="C2229" s="636" t="s">
        <v>2725</v>
      </c>
      <c r="D2229" s="637" t="s">
        <v>3357</v>
      </c>
      <c r="E2229" s="637" t="s">
        <v>2166</v>
      </c>
      <c r="F2229" s="636">
        <v>61012</v>
      </c>
      <c r="G2229" s="637" t="s">
        <v>81</v>
      </c>
      <c r="H2229" s="637" t="s">
        <v>1163</v>
      </c>
      <c r="I2229" s="637" t="s">
        <v>58</v>
      </c>
      <c r="J2229" s="636">
        <v>22</v>
      </c>
      <c r="K2229" s="636">
        <v>2</v>
      </c>
      <c r="L2229" s="637" t="s">
        <v>52</v>
      </c>
      <c r="M2229" s="637" t="s">
        <v>441</v>
      </c>
      <c r="N2229" s="637" t="s">
        <v>442</v>
      </c>
      <c r="O2229" s="637" t="s">
        <v>442</v>
      </c>
      <c r="P2229" s="637" t="s">
        <v>1156</v>
      </c>
      <c r="Q2229" s="638">
        <v>0</v>
      </c>
      <c r="R2229" s="638">
        <v>0</v>
      </c>
      <c r="S2229" s="638">
        <v>9361</v>
      </c>
      <c r="T2229" s="638">
        <v>9361</v>
      </c>
      <c r="U2229" s="638">
        <v>2744</v>
      </c>
      <c r="V2229" s="636">
        <v>2022</v>
      </c>
      <c r="W2229" s="640"/>
      <c r="X2229" s="641">
        <f t="shared" si="102"/>
        <v>3.4114431486880465</v>
      </c>
      <c r="Y2229" s="642" t="str">
        <f t="shared" si="103"/>
        <v/>
      </c>
      <c r="Z2229" s="642" t="str">
        <f t="shared" si="104"/>
        <v/>
      </c>
    </row>
    <row r="2230" spans="1:26" s="127" customFormat="1" ht="25">
      <c r="A2230" s="636">
        <v>64187</v>
      </c>
      <c r="B2230" s="637" t="s">
        <v>33</v>
      </c>
      <c r="C2230" s="636" t="s">
        <v>2725</v>
      </c>
      <c r="D2230" s="637" t="s">
        <v>3358</v>
      </c>
      <c r="E2230" s="637" t="s">
        <v>2166</v>
      </c>
      <c r="F2230" s="636">
        <v>61012</v>
      </c>
      <c r="G2230" s="637" t="s">
        <v>81</v>
      </c>
      <c r="H2230" s="637" t="s">
        <v>1163</v>
      </c>
      <c r="I2230" s="637" t="s">
        <v>58</v>
      </c>
      <c r="J2230" s="636">
        <v>22</v>
      </c>
      <c r="K2230" s="636">
        <v>2</v>
      </c>
      <c r="L2230" s="637" t="s">
        <v>52</v>
      </c>
      <c r="M2230" s="637" t="s">
        <v>1852</v>
      </c>
      <c r="N2230" s="637" t="s">
        <v>1035</v>
      </c>
      <c r="O2230" s="637" t="s">
        <v>82</v>
      </c>
      <c r="P2230" s="637" t="s">
        <v>2726</v>
      </c>
      <c r="Q2230" s="638">
        <v>52</v>
      </c>
      <c r="R2230" s="638">
        <v>52</v>
      </c>
      <c r="S2230" s="638">
        <v>0</v>
      </c>
      <c r="T2230" s="638">
        <v>0</v>
      </c>
      <c r="U2230" s="638">
        <v>27</v>
      </c>
      <c r="V2230" s="636">
        <v>2022</v>
      </c>
      <c r="W2230" s="640"/>
      <c r="X2230" s="641" t="str">
        <f t="shared" si="102"/>
        <v/>
      </c>
      <c r="Y2230" s="642" t="str">
        <f t="shared" si="103"/>
        <v/>
      </c>
      <c r="Z2230" s="642" t="str">
        <f t="shared" si="104"/>
        <v/>
      </c>
    </row>
    <row r="2231" spans="1:26" s="127" customFormat="1" ht="25">
      <c r="A2231" s="636">
        <v>64187</v>
      </c>
      <c r="B2231" s="637" t="s">
        <v>33</v>
      </c>
      <c r="C2231" s="636" t="s">
        <v>2725</v>
      </c>
      <c r="D2231" s="637" t="s">
        <v>3358</v>
      </c>
      <c r="E2231" s="637" t="s">
        <v>2166</v>
      </c>
      <c r="F2231" s="636">
        <v>61012</v>
      </c>
      <c r="G2231" s="637" t="s">
        <v>81</v>
      </c>
      <c r="H2231" s="637" t="s">
        <v>1163</v>
      </c>
      <c r="I2231" s="637" t="s">
        <v>58</v>
      </c>
      <c r="J2231" s="636">
        <v>22</v>
      </c>
      <c r="K2231" s="636">
        <v>2</v>
      </c>
      <c r="L2231" s="637" t="s">
        <v>52</v>
      </c>
      <c r="M2231" s="637" t="s">
        <v>441</v>
      </c>
      <c r="N2231" s="637" t="s">
        <v>442</v>
      </c>
      <c r="O2231" s="637" t="s">
        <v>442</v>
      </c>
      <c r="P2231" s="637" t="s">
        <v>1156</v>
      </c>
      <c r="Q2231" s="638">
        <v>0</v>
      </c>
      <c r="R2231" s="638">
        <v>0</v>
      </c>
      <c r="S2231" s="638">
        <v>5864</v>
      </c>
      <c r="T2231" s="638">
        <v>5864</v>
      </c>
      <c r="U2231" s="638">
        <v>1719</v>
      </c>
      <c r="V2231" s="636">
        <v>2022</v>
      </c>
      <c r="W2231" s="640"/>
      <c r="X2231" s="641">
        <f t="shared" si="102"/>
        <v>3.411285631180919</v>
      </c>
      <c r="Y2231" s="642" t="str">
        <f t="shared" si="103"/>
        <v/>
      </c>
      <c r="Z2231" s="642" t="str">
        <f t="shared" si="104"/>
        <v/>
      </c>
    </row>
    <row r="2232" spans="1:26" s="127" customFormat="1" ht="25">
      <c r="A2232" s="636">
        <v>64213</v>
      </c>
      <c r="B2232" s="637" t="s">
        <v>33</v>
      </c>
      <c r="C2232" s="636" t="s">
        <v>2725</v>
      </c>
      <c r="D2232" s="637" t="s">
        <v>3666</v>
      </c>
      <c r="E2232" s="637" t="s">
        <v>3667</v>
      </c>
      <c r="F2232" s="636">
        <v>61514</v>
      </c>
      <c r="G2232" s="637" t="s">
        <v>81</v>
      </c>
      <c r="H2232" s="637" t="s">
        <v>1163</v>
      </c>
      <c r="I2232" s="637" t="s">
        <v>58</v>
      </c>
      <c r="J2232" s="636">
        <v>22</v>
      </c>
      <c r="K2232" s="636">
        <v>2</v>
      </c>
      <c r="L2232" s="637" t="s">
        <v>52</v>
      </c>
      <c r="M2232" s="637" t="s">
        <v>1852</v>
      </c>
      <c r="N2232" s="637" t="s">
        <v>1035</v>
      </c>
      <c r="O2232" s="637" t="s">
        <v>82</v>
      </c>
      <c r="P2232" s="637" t="s">
        <v>2726</v>
      </c>
      <c r="Q2232" s="638">
        <v>269</v>
      </c>
      <c r="R2232" s="638">
        <v>269</v>
      </c>
      <c r="S2232" s="638">
        <v>0</v>
      </c>
      <c r="T2232" s="638">
        <v>0</v>
      </c>
      <c r="U2232" s="638">
        <v>-32</v>
      </c>
      <c r="V2232" s="636">
        <v>2022</v>
      </c>
      <c r="W2232" s="640"/>
      <c r="X2232" s="641" t="str">
        <f t="shared" si="102"/>
        <v/>
      </c>
      <c r="Y2232" s="642" t="str">
        <f t="shared" si="103"/>
        <v/>
      </c>
      <c r="Z2232" s="642" t="str">
        <f t="shared" si="104"/>
        <v/>
      </c>
    </row>
    <row r="2233" spans="1:26" s="127" customFormat="1" ht="25">
      <c r="A2233" s="636">
        <v>64213</v>
      </c>
      <c r="B2233" s="637" t="s">
        <v>33</v>
      </c>
      <c r="C2233" s="636" t="s">
        <v>2725</v>
      </c>
      <c r="D2233" s="637" t="s">
        <v>3666</v>
      </c>
      <c r="E2233" s="637" t="s">
        <v>3667</v>
      </c>
      <c r="F2233" s="636">
        <v>61514</v>
      </c>
      <c r="G2233" s="637" t="s">
        <v>81</v>
      </c>
      <c r="H2233" s="637" t="s">
        <v>1163</v>
      </c>
      <c r="I2233" s="637" t="s">
        <v>58</v>
      </c>
      <c r="J2233" s="636">
        <v>22</v>
      </c>
      <c r="K2233" s="636">
        <v>2</v>
      </c>
      <c r="L2233" s="637" t="s">
        <v>52</v>
      </c>
      <c r="M2233" s="637" t="s">
        <v>441</v>
      </c>
      <c r="N2233" s="637" t="s">
        <v>442</v>
      </c>
      <c r="O2233" s="637" t="s">
        <v>442</v>
      </c>
      <c r="P2233" s="637" t="s">
        <v>1156</v>
      </c>
      <c r="Q2233" s="638">
        <v>0</v>
      </c>
      <c r="R2233" s="638">
        <v>0</v>
      </c>
      <c r="S2233" s="638">
        <v>18712</v>
      </c>
      <c r="T2233" s="638">
        <v>18712</v>
      </c>
      <c r="U2233" s="638">
        <v>5484</v>
      </c>
      <c r="V2233" s="636">
        <v>2022</v>
      </c>
      <c r="W2233" s="640"/>
      <c r="X2233" s="641">
        <f t="shared" si="102"/>
        <v>3.4121079504011669</v>
      </c>
      <c r="Y2233" s="642" t="str">
        <f t="shared" si="103"/>
        <v/>
      </c>
      <c r="Z2233" s="642" t="str">
        <f t="shared" si="104"/>
        <v/>
      </c>
    </row>
    <row r="2234" spans="1:26" s="127" customFormat="1" ht="25">
      <c r="A2234" s="636">
        <v>64217</v>
      </c>
      <c r="B2234" s="637" t="s">
        <v>33</v>
      </c>
      <c r="C2234" s="636" t="s">
        <v>2725</v>
      </c>
      <c r="D2234" s="637" t="s">
        <v>3359</v>
      </c>
      <c r="E2234" s="637" t="s">
        <v>1926</v>
      </c>
      <c r="F2234" s="636">
        <v>58135</v>
      </c>
      <c r="G2234" s="637" t="s">
        <v>41</v>
      </c>
      <c r="H2234" s="637" t="s">
        <v>1163</v>
      </c>
      <c r="I2234" s="637" t="s">
        <v>58</v>
      </c>
      <c r="J2234" s="636">
        <v>22</v>
      </c>
      <c r="K2234" s="636">
        <v>2</v>
      </c>
      <c r="L2234" s="637" t="s">
        <v>52</v>
      </c>
      <c r="M2234" s="637" t="s">
        <v>441</v>
      </c>
      <c r="N2234" s="637" t="s">
        <v>442</v>
      </c>
      <c r="O2234" s="637" t="s">
        <v>442</v>
      </c>
      <c r="P2234" s="637" t="s">
        <v>1156</v>
      </c>
      <c r="Q2234" s="638">
        <v>0</v>
      </c>
      <c r="R2234" s="638">
        <v>0</v>
      </c>
      <c r="S2234" s="638">
        <v>5709</v>
      </c>
      <c r="T2234" s="638">
        <v>5709</v>
      </c>
      <c r="U2234" s="638">
        <v>1673</v>
      </c>
      <c r="V2234" s="636">
        <v>2022</v>
      </c>
      <c r="W2234" s="640"/>
      <c r="X2234" s="641">
        <f t="shared" si="102"/>
        <v>3.4124327555289899</v>
      </c>
      <c r="Y2234" s="642" t="str">
        <f t="shared" si="103"/>
        <v/>
      </c>
      <c r="Z2234" s="642" t="str">
        <f t="shared" si="104"/>
        <v/>
      </c>
    </row>
    <row r="2235" spans="1:26" s="127" customFormat="1" ht="25">
      <c r="A2235" s="636">
        <v>64218</v>
      </c>
      <c r="B2235" s="637" t="s">
        <v>33</v>
      </c>
      <c r="C2235" s="636" t="s">
        <v>2725</v>
      </c>
      <c r="D2235" s="637" t="s">
        <v>3360</v>
      </c>
      <c r="E2235" s="637" t="s">
        <v>1926</v>
      </c>
      <c r="F2235" s="636">
        <v>58135</v>
      </c>
      <c r="G2235" s="637" t="s">
        <v>41</v>
      </c>
      <c r="H2235" s="637" t="s">
        <v>1163</v>
      </c>
      <c r="I2235" s="637" t="s">
        <v>58</v>
      </c>
      <c r="J2235" s="636">
        <v>22</v>
      </c>
      <c r="K2235" s="636">
        <v>2</v>
      </c>
      <c r="L2235" s="637" t="s">
        <v>52</v>
      </c>
      <c r="M2235" s="637" t="s">
        <v>441</v>
      </c>
      <c r="N2235" s="637" t="s">
        <v>442</v>
      </c>
      <c r="O2235" s="637" t="s">
        <v>442</v>
      </c>
      <c r="P2235" s="637" t="s">
        <v>1156</v>
      </c>
      <c r="Q2235" s="638">
        <v>0</v>
      </c>
      <c r="R2235" s="638">
        <v>0</v>
      </c>
      <c r="S2235" s="638">
        <v>5789</v>
      </c>
      <c r="T2235" s="638">
        <v>5789</v>
      </c>
      <c r="U2235" s="638">
        <v>1697</v>
      </c>
      <c r="V2235" s="636">
        <v>2022</v>
      </c>
      <c r="W2235" s="640"/>
      <c r="X2235" s="641">
        <f t="shared" si="102"/>
        <v>3.4113140836770772</v>
      </c>
      <c r="Y2235" s="642" t="str">
        <f t="shared" si="103"/>
        <v/>
      </c>
      <c r="Z2235" s="642" t="str">
        <f t="shared" si="104"/>
        <v/>
      </c>
    </row>
    <row r="2236" spans="1:26" s="127" customFormat="1" ht="25">
      <c r="A2236" s="636">
        <v>64219</v>
      </c>
      <c r="B2236" s="637" t="s">
        <v>33</v>
      </c>
      <c r="C2236" s="636" t="s">
        <v>2725</v>
      </c>
      <c r="D2236" s="637" t="s">
        <v>3361</v>
      </c>
      <c r="E2236" s="637" t="s">
        <v>1926</v>
      </c>
      <c r="F2236" s="636">
        <v>58135</v>
      </c>
      <c r="G2236" s="637" t="s">
        <v>41</v>
      </c>
      <c r="H2236" s="637" t="s">
        <v>1163</v>
      </c>
      <c r="I2236" s="637" t="s">
        <v>58</v>
      </c>
      <c r="J2236" s="636">
        <v>22</v>
      </c>
      <c r="K2236" s="636">
        <v>2</v>
      </c>
      <c r="L2236" s="637" t="s">
        <v>52</v>
      </c>
      <c r="M2236" s="637" t="s">
        <v>441</v>
      </c>
      <c r="N2236" s="637" t="s">
        <v>442</v>
      </c>
      <c r="O2236" s="637" t="s">
        <v>442</v>
      </c>
      <c r="P2236" s="637" t="s">
        <v>1156</v>
      </c>
      <c r="Q2236" s="638">
        <v>0</v>
      </c>
      <c r="R2236" s="638">
        <v>0</v>
      </c>
      <c r="S2236" s="638">
        <v>5806</v>
      </c>
      <c r="T2236" s="638">
        <v>5806</v>
      </c>
      <c r="U2236" s="638">
        <v>1702</v>
      </c>
      <c r="V2236" s="636">
        <v>2022</v>
      </c>
      <c r="W2236" s="640"/>
      <c r="X2236" s="641">
        <f t="shared" si="102"/>
        <v>3.4112808460634549</v>
      </c>
      <c r="Y2236" s="642" t="str">
        <f t="shared" si="103"/>
        <v/>
      </c>
      <c r="Z2236" s="642" t="str">
        <f t="shared" si="104"/>
        <v/>
      </c>
    </row>
    <row r="2237" spans="1:26" s="127" customFormat="1" ht="25">
      <c r="A2237" s="636">
        <v>64231</v>
      </c>
      <c r="B2237" s="637" t="s">
        <v>33</v>
      </c>
      <c r="C2237" s="636" t="s">
        <v>2725</v>
      </c>
      <c r="D2237" s="637" t="s">
        <v>3210</v>
      </c>
      <c r="E2237" s="637" t="s">
        <v>3211</v>
      </c>
      <c r="F2237" s="636">
        <v>63841</v>
      </c>
      <c r="G2237" s="637" t="s">
        <v>81</v>
      </c>
      <c r="H2237" s="637" t="s">
        <v>1163</v>
      </c>
      <c r="I2237" s="637" t="s">
        <v>58</v>
      </c>
      <c r="J2237" s="636">
        <v>22</v>
      </c>
      <c r="K2237" s="636">
        <v>2</v>
      </c>
      <c r="L2237" s="637" t="s">
        <v>52</v>
      </c>
      <c r="M2237" s="637" t="s">
        <v>441</v>
      </c>
      <c r="N2237" s="637" t="s">
        <v>442</v>
      </c>
      <c r="O2237" s="637" t="s">
        <v>442</v>
      </c>
      <c r="P2237" s="637" t="s">
        <v>1156</v>
      </c>
      <c r="Q2237" s="638">
        <v>0</v>
      </c>
      <c r="R2237" s="638">
        <v>0</v>
      </c>
      <c r="S2237" s="638">
        <v>8651</v>
      </c>
      <c r="T2237" s="638">
        <v>8651</v>
      </c>
      <c r="U2237" s="638">
        <v>2535</v>
      </c>
      <c r="V2237" s="636">
        <v>2022</v>
      </c>
      <c r="W2237" s="640"/>
      <c r="X2237" s="641">
        <f t="shared" si="102"/>
        <v>3.4126232741617355</v>
      </c>
      <c r="Y2237" s="642" t="str">
        <f t="shared" si="103"/>
        <v/>
      </c>
      <c r="Z2237" s="642" t="str">
        <f t="shared" si="104"/>
        <v/>
      </c>
    </row>
    <row r="2238" spans="1:26" s="127" customFormat="1" ht="25">
      <c r="A2238" s="636">
        <v>64232</v>
      </c>
      <c r="B2238" s="637" t="s">
        <v>33</v>
      </c>
      <c r="C2238" s="636" t="s">
        <v>2725</v>
      </c>
      <c r="D2238" s="637" t="s">
        <v>3212</v>
      </c>
      <c r="E2238" s="637" t="s">
        <v>3213</v>
      </c>
      <c r="F2238" s="636">
        <v>63822</v>
      </c>
      <c r="G2238" s="637" t="s">
        <v>81</v>
      </c>
      <c r="H2238" s="637" t="s">
        <v>1163</v>
      </c>
      <c r="I2238" s="637" t="s">
        <v>58</v>
      </c>
      <c r="J2238" s="636">
        <v>22</v>
      </c>
      <c r="K2238" s="636">
        <v>2</v>
      </c>
      <c r="L2238" s="637" t="s">
        <v>52</v>
      </c>
      <c r="M2238" s="637" t="s">
        <v>441</v>
      </c>
      <c r="N2238" s="637" t="s">
        <v>442</v>
      </c>
      <c r="O2238" s="637" t="s">
        <v>442</v>
      </c>
      <c r="P2238" s="637" t="s">
        <v>1156</v>
      </c>
      <c r="Q2238" s="638">
        <v>0</v>
      </c>
      <c r="R2238" s="638">
        <v>0</v>
      </c>
      <c r="S2238" s="638">
        <v>11980</v>
      </c>
      <c r="T2238" s="638">
        <v>11980</v>
      </c>
      <c r="U2238" s="638">
        <v>3511</v>
      </c>
      <c r="V2238" s="636">
        <v>2022</v>
      </c>
      <c r="W2238" s="640"/>
      <c r="X2238" s="641">
        <f t="shared" si="102"/>
        <v>3.4121332953574481</v>
      </c>
      <c r="Y2238" s="642" t="str">
        <f t="shared" si="103"/>
        <v/>
      </c>
      <c r="Z2238" s="642" t="str">
        <f t="shared" si="104"/>
        <v/>
      </c>
    </row>
    <row r="2239" spans="1:26" s="127" customFormat="1" ht="25">
      <c r="A2239" s="636">
        <v>64268</v>
      </c>
      <c r="B2239" s="637" t="s">
        <v>33</v>
      </c>
      <c r="C2239" s="636" t="s">
        <v>2725</v>
      </c>
      <c r="D2239" s="637" t="s">
        <v>3214</v>
      </c>
      <c r="E2239" s="637" t="s">
        <v>2277</v>
      </c>
      <c r="F2239" s="636">
        <v>60025</v>
      </c>
      <c r="G2239" s="637" t="s">
        <v>89</v>
      </c>
      <c r="H2239" s="637" t="s">
        <v>1163</v>
      </c>
      <c r="I2239" s="637" t="s">
        <v>58</v>
      </c>
      <c r="J2239" s="636">
        <v>22</v>
      </c>
      <c r="K2239" s="636">
        <v>2</v>
      </c>
      <c r="L2239" s="637" t="s">
        <v>52</v>
      </c>
      <c r="M2239" s="637" t="s">
        <v>441</v>
      </c>
      <c r="N2239" s="637" t="s">
        <v>442</v>
      </c>
      <c r="O2239" s="637" t="s">
        <v>442</v>
      </c>
      <c r="P2239" s="637" t="s">
        <v>1156</v>
      </c>
      <c r="Q2239" s="638">
        <v>0</v>
      </c>
      <c r="R2239" s="638">
        <v>0</v>
      </c>
      <c r="S2239" s="638">
        <v>10565</v>
      </c>
      <c r="T2239" s="638">
        <v>10565</v>
      </c>
      <c r="U2239" s="638">
        <v>3097</v>
      </c>
      <c r="V2239" s="636">
        <v>2022</v>
      </c>
      <c r="W2239" s="640"/>
      <c r="X2239" s="641">
        <f t="shared" si="102"/>
        <v>3.4113658379076526</v>
      </c>
      <c r="Y2239" s="642" t="str">
        <f t="shared" si="103"/>
        <v/>
      </c>
      <c r="Z2239" s="642" t="str">
        <f t="shared" si="104"/>
        <v/>
      </c>
    </row>
    <row r="2240" spans="1:26" s="127" customFormat="1" ht="25">
      <c r="A2240" s="636">
        <v>64299</v>
      </c>
      <c r="B2240" s="637" t="s">
        <v>33</v>
      </c>
      <c r="C2240" s="636" t="s">
        <v>2725</v>
      </c>
      <c r="D2240" s="637" t="s">
        <v>3362</v>
      </c>
      <c r="E2240" s="637" t="s">
        <v>3668</v>
      </c>
      <c r="F2240" s="636">
        <v>62679</v>
      </c>
      <c r="G2240" s="637" t="s">
        <v>130</v>
      </c>
      <c r="H2240" s="637" t="s">
        <v>1163</v>
      </c>
      <c r="I2240" s="637" t="s">
        <v>58</v>
      </c>
      <c r="J2240" s="636">
        <v>22</v>
      </c>
      <c r="K2240" s="636">
        <v>2</v>
      </c>
      <c r="L2240" s="637" t="s">
        <v>52</v>
      </c>
      <c r="M2240" s="637" t="s">
        <v>441</v>
      </c>
      <c r="N2240" s="637" t="s">
        <v>442</v>
      </c>
      <c r="O2240" s="637" t="s">
        <v>442</v>
      </c>
      <c r="P2240" s="637" t="s">
        <v>1156</v>
      </c>
      <c r="Q2240" s="638">
        <v>0</v>
      </c>
      <c r="R2240" s="638">
        <v>0</v>
      </c>
      <c r="S2240" s="638">
        <v>15115</v>
      </c>
      <c r="T2240" s="638">
        <v>15115</v>
      </c>
      <c r="U2240" s="638">
        <v>4430</v>
      </c>
      <c r="V2240" s="636">
        <v>2022</v>
      </c>
      <c r="W2240" s="640"/>
      <c r="X2240" s="641">
        <f t="shared" si="102"/>
        <v>3.4119638826185104</v>
      </c>
      <c r="Y2240" s="642" t="str">
        <f t="shared" si="103"/>
        <v/>
      </c>
      <c r="Z2240" s="642" t="str">
        <f t="shared" si="104"/>
        <v/>
      </c>
    </row>
    <row r="2241" spans="1:26" s="127" customFormat="1" ht="25">
      <c r="A2241" s="636">
        <v>64310</v>
      </c>
      <c r="B2241" s="637" t="s">
        <v>33</v>
      </c>
      <c r="C2241" s="636" t="s">
        <v>2725</v>
      </c>
      <c r="D2241" s="637" t="s">
        <v>3215</v>
      </c>
      <c r="E2241" s="637" t="s">
        <v>3216</v>
      </c>
      <c r="F2241" s="636">
        <v>63900</v>
      </c>
      <c r="G2241" s="637" t="s">
        <v>57</v>
      </c>
      <c r="H2241" s="637" t="s">
        <v>1162</v>
      </c>
      <c r="I2241" s="637" t="s">
        <v>58</v>
      </c>
      <c r="J2241" s="636">
        <v>22</v>
      </c>
      <c r="K2241" s="636">
        <v>2</v>
      </c>
      <c r="L2241" s="637" t="s">
        <v>52</v>
      </c>
      <c r="M2241" s="637" t="s">
        <v>441</v>
      </c>
      <c r="N2241" s="637" t="s">
        <v>442</v>
      </c>
      <c r="O2241" s="637" t="s">
        <v>442</v>
      </c>
      <c r="P2241" s="637" t="s">
        <v>1156</v>
      </c>
      <c r="Q2241" s="638">
        <v>0</v>
      </c>
      <c r="R2241" s="638">
        <v>0</v>
      </c>
      <c r="S2241" s="638">
        <v>27426</v>
      </c>
      <c r="T2241" s="638">
        <v>27426</v>
      </c>
      <c r="U2241" s="638">
        <v>8038</v>
      </c>
      <c r="V2241" s="636">
        <v>2022</v>
      </c>
      <c r="W2241" s="640"/>
      <c r="X2241" s="641">
        <f t="shared" si="102"/>
        <v>3.4120427967156011</v>
      </c>
      <c r="Y2241" s="642" t="str">
        <f t="shared" si="103"/>
        <v/>
      </c>
      <c r="Z2241" s="642" t="str">
        <f t="shared" si="104"/>
        <v/>
      </c>
    </row>
    <row r="2242" spans="1:26" s="127" customFormat="1" ht="25">
      <c r="A2242" s="636">
        <v>64333</v>
      </c>
      <c r="B2242" s="637" t="s">
        <v>33</v>
      </c>
      <c r="C2242" s="636" t="s">
        <v>2725</v>
      </c>
      <c r="D2242" s="637" t="s">
        <v>3217</v>
      </c>
      <c r="E2242" s="637" t="s">
        <v>3217</v>
      </c>
      <c r="F2242" s="636">
        <v>63904</v>
      </c>
      <c r="G2242" s="637" t="s">
        <v>130</v>
      </c>
      <c r="H2242" s="637" t="s">
        <v>1163</v>
      </c>
      <c r="I2242" s="637" t="s">
        <v>58</v>
      </c>
      <c r="J2242" s="636">
        <v>22</v>
      </c>
      <c r="K2242" s="636">
        <v>2</v>
      </c>
      <c r="L2242" s="637" t="s">
        <v>52</v>
      </c>
      <c r="M2242" s="637" t="s">
        <v>441</v>
      </c>
      <c r="N2242" s="637" t="s">
        <v>442</v>
      </c>
      <c r="O2242" s="637" t="s">
        <v>442</v>
      </c>
      <c r="P2242" s="637" t="s">
        <v>1156</v>
      </c>
      <c r="Q2242" s="638">
        <v>0</v>
      </c>
      <c r="R2242" s="638">
        <v>0</v>
      </c>
      <c r="S2242" s="638">
        <v>14422</v>
      </c>
      <c r="T2242" s="638">
        <v>14422</v>
      </c>
      <c r="U2242" s="638">
        <v>4227</v>
      </c>
      <c r="V2242" s="636">
        <v>2022</v>
      </c>
      <c r="W2242" s="640"/>
      <c r="X2242" s="641">
        <f t="shared" si="102"/>
        <v>3.4118760350130115</v>
      </c>
      <c r="Y2242" s="642" t="str">
        <f t="shared" si="103"/>
        <v/>
      </c>
      <c r="Z2242" s="642" t="str">
        <f t="shared" si="104"/>
        <v/>
      </c>
    </row>
    <row r="2243" spans="1:26" s="127" customFormat="1" ht="25">
      <c r="A2243" s="636">
        <v>64334</v>
      </c>
      <c r="B2243" s="637" t="s">
        <v>33</v>
      </c>
      <c r="C2243" s="636" t="s">
        <v>2725</v>
      </c>
      <c r="D2243" s="637" t="s">
        <v>3218</v>
      </c>
      <c r="E2243" s="637" t="s">
        <v>3218</v>
      </c>
      <c r="F2243" s="636">
        <v>63905</v>
      </c>
      <c r="G2243" s="637" t="s">
        <v>130</v>
      </c>
      <c r="H2243" s="637" t="s">
        <v>1163</v>
      </c>
      <c r="I2243" s="637" t="s">
        <v>58</v>
      </c>
      <c r="J2243" s="636">
        <v>22</v>
      </c>
      <c r="K2243" s="636">
        <v>2</v>
      </c>
      <c r="L2243" s="637" t="s">
        <v>52</v>
      </c>
      <c r="M2243" s="637" t="s">
        <v>441</v>
      </c>
      <c r="N2243" s="637" t="s">
        <v>442</v>
      </c>
      <c r="O2243" s="637" t="s">
        <v>442</v>
      </c>
      <c r="P2243" s="637" t="s">
        <v>1156</v>
      </c>
      <c r="Q2243" s="638">
        <v>0</v>
      </c>
      <c r="R2243" s="638">
        <v>0</v>
      </c>
      <c r="S2243" s="638">
        <v>10314</v>
      </c>
      <c r="T2243" s="638">
        <v>10314</v>
      </c>
      <c r="U2243" s="638">
        <v>3023</v>
      </c>
      <c r="V2243" s="636">
        <v>2022</v>
      </c>
      <c r="W2243" s="640"/>
      <c r="X2243" s="641">
        <f t="shared" si="102"/>
        <v>3.4118425405226596</v>
      </c>
      <c r="Y2243" s="642" t="str">
        <f t="shared" si="103"/>
        <v/>
      </c>
      <c r="Z2243" s="642" t="str">
        <f t="shared" si="104"/>
        <v/>
      </c>
    </row>
    <row r="2244" spans="1:26" s="127" customFormat="1" ht="25">
      <c r="A2244" s="636">
        <v>64337</v>
      </c>
      <c r="B2244" s="637" t="s">
        <v>33</v>
      </c>
      <c r="C2244" s="636" t="s">
        <v>2725</v>
      </c>
      <c r="D2244" s="637" t="s">
        <v>3363</v>
      </c>
      <c r="E2244" s="637" t="s">
        <v>3364</v>
      </c>
      <c r="F2244" s="636">
        <v>63955</v>
      </c>
      <c r="G2244" s="637" t="s">
        <v>90</v>
      </c>
      <c r="H2244" s="637" t="s">
        <v>1163</v>
      </c>
      <c r="I2244" s="637" t="s">
        <v>58</v>
      </c>
      <c r="J2244" s="636">
        <v>22</v>
      </c>
      <c r="K2244" s="636">
        <v>2</v>
      </c>
      <c r="L2244" s="637" t="s">
        <v>52</v>
      </c>
      <c r="M2244" s="637" t="s">
        <v>441</v>
      </c>
      <c r="N2244" s="637" t="s">
        <v>442</v>
      </c>
      <c r="O2244" s="637" t="s">
        <v>442</v>
      </c>
      <c r="P2244" s="637" t="s">
        <v>1156</v>
      </c>
      <c r="Q2244" s="638">
        <v>0</v>
      </c>
      <c r="R2244" s="638">
        <v>0</v>
      </c>
      <c r="S2244" s="638">
        <v>456786</v>
      </c>
      <c r="T2244" s="638">
        <v>456786</v>
      </c>
      <c r="U2244" s="638">
        <v>133876</v>
      </c>
      <c r="V2244" s="636">
        <v>2022</v>
      </c>
      <c r="W2244" s="640"/>
      <c r="X2244" s="641">
        <f t="shared" si="102"/>
        <v>3.4120081269234217</v>
      </c>
      <c r="Y2244" s="642" t="str">
        <f t="shared" si="103"/>
        <v/>
      </c>
      <c r="Z2244" s="642" t="str">
        <f t="shared" si="104"/>
        <v/>
      </c>
    </row>
    <row r="2245" spans="1:26" s="127" customFormat="1" ht="25">
      <c r="A2245" s="636">
        <v>64350</v>
      </c>
      <c r="B2245" s="637" t="s">
        <v>33</v>
      </c>
      <c r="C2245" s="636" t="s">
        <v>2725</v>
      </c>
      <c r="D2245" s="637" t="s">
        <v>3219</v>
      </c>
      <c r="E2245" s="637" t="s">
        <v>3220</v>
      </c>
      <c r="F2245" s="636">
        <v>63963</v>
      </c>
      <c r="G2245" s="637" t="s">
        <v>57</v>
      </c>
      <c r="H2245" s="637" t="s">
        <v>1162</v>
      </c>
      <c r="I2245" s="637" t="s">
        <v>58</v>
      </c>
      <c r="J2245" s="636">
        <v>22</v>
      </c>
      <c r="K2245" s="636">
        <v>2</v>
      </c>
      <c r="L2245" s="637" t="s">
        <v>52</v>
      </c>
      <c r="M2245" s="637" t="s">
        <v>1232</v>
      </c>
      <c r="N2245" s="637" t="s">
        <v>39</v>
      </c>
      <c r="O2245" s="637" t="s">
        <v>39</v>
      </c>
      <c r="P2245" s="637" t="s">
        <v>1020</v>
      </c>
      <c r="Q2245" s="638">
        <v>347536</v>
      </c>
      <c r="R2245" s="638">
        <v>347536</v>
      </c>
      <c r="S2245" s="638">
        <v>347536</v>
      </c>
      <c r="T2245" s="638">
        <v>347536</v>
      </c>
      <c r="U2245" s="638">
        <v>48770</v>
      </c>
      <c r="V2245" s="636">
        <v>2022</v>
      </c>
      <c r="W2245" s="640"/>
      <c r="X2245" s="641">
        <f t="shared" si="102"/>
        <v>7.1260200943202792</v>
      </c>
      <c r="Y2245" s="642" t="str">
        <f t="shared" si="103"/>
        <v/>
      </c>
      <c r="Z2245" s="642" t="str">
        <f t="shared" si="104"/>
        <v/>
      </c>
    </row>
    <row r="2246" spans="1:26" s="127" customFormat="1" ht="25">
      <c r="A2246" s="636">
        <v>64351</v>
      </c>
      <c r="B2246" s="637" t="s">
        <v>33</v>
      </c>
      <c r="C2246" s="636" t="s">
        <v>2725</v>
      </c>
      <c r="D2246" s="637" t="s">
        <v>3365</v>
      </c>
      <c r="E2246" s="637" t="s">
        <v>3366</v>
      </c>
      <c r="F2246" s="636">
        <v>63962</v>
      </c>
      <c r="G2246" s="637" t="s">
        <v>57</v>
      </c>
      <c r="H2246" s="637" t="s">
        <v>1162</v>
      </c>
      <c r="I2246" s="637" t="s">
        <v>58</v>
      </c>
      <c r="J2246" s="636">
        <v>22</v>
      </c>
      <c r="K2246" s="636">
        <v>2</v>
      </c>
      <c r="L2246" s="637" t="s">
        <v>52</v>
      </c>
      <c r="M2246" s="637" t="s">
        <v>441</v>
      </c>
      <c r="N2246" s="637" t="s">
        <v>442</v>
      </c>
      <c r="O2246" s="637" t="s">
        <v>442</v>
      </c>
      <c r="P2246" s="637" t="s">
        <v>1156</v>
      </c>
      <c r="Q2246" s="638">
        <v>0</v>
      </c>
      <c r="R2246" s="638">
        <v>0</v>
      </c>
      <c r="S2246" s="638">
        <v>0</v>
      </c>
      <c r="T2246" s="638">
        <v>0</v>
      </c>
      <c r="U2246" s="638">
        <v>0</v>
      </c>
      <c r="V2246" s="636">
        <v>2022</v>
      </c>
      <c r="W2246" s="640"/>
      <c r="X2246" s="641" t="str">
        <f t="shared" si="102"/>
        <v/>
      </c>
      <c r="Y2246" s="642" t="str">
        <f t="shared" si="103"/>
        <v/>
      </c>
      <c r="Z2246" s="642" t="str">
        <f t="shared" si="104"/>
        <v/>
      </c>
    </row>
    <row r="2247" spans="1:26" s="127" customFormat="1" ht="25">
      <c r="A2247" s="636">
        <v>64370</v>
      </c>
      <c r="B2247" s="637" t="s">
        <v>33</v>
      </c>
      <c r="C2247" s="636" t="s">
        <v>2725</v>
      </c>
      <c r="D2247" s="637" t="s">
        <v>3221</v>
      </c>
      <c r="E2247" s="637" t="s">
        <v>1926</v>
      </c>
      <c r="F2247" s="636">
        <v>58135</v>
      </c>
      <c r="G2247" s="637" t="s">
        <v>41</v>
      </c>
      <c r="H2247" s="637" t="s">
        <v>1163</v>
      </c>
      <c r="I2247" s="637" t="s">
        <v>58</v>
      </c>
      <c r="J2247" s="636">
        <v>22</v>
      </c>
      <c r="K2247" s="636">
        <v>2</v>
      </c>
      <c r="L2247" s="637" t="s">
        <v>52</v>
      </c>
      <c r="M2247" s="637" t="s">
        <v>441</v>
      </c>
      <c r="N2247" s="637" t="s">
        <v>442</v>
      </c>
      <c r="O2247" s="637" t="s">
        <v>442</v>
      </c>
      <c r="P2247" s="637" t="s">
        <v>1156</v>
      </c>
      <c r="Q2247" s="638">
        <v>0</v>
      </c>
      <c r="R2247" s="638">
        <v>0</v>
      </c>
      <c r="S2247" s="638">
        <v>5002</v>
      </c>
      <c r="T2247" s="638">
        <v>5002</v>
      </c>
      <c r="U2247" s="638">
        <v>1466</v>
      </c>
      <c r="V2247" s="636">
        <v>2022</v>
      </c>
      <c r="W2247" s="640"/>
      <c r="X2247" s="641">
        <f t="shared" si="102"/>
        <v>3.4120054570259208</v>
      </c>
      <c r="Y2247" s="642" t="str">
        <f t="shared" si="103"/>
        <v/>
      </c>
      <c r="Z2247" s="642" t="str">
        <f t="shared" si="104"/>
        <v/>
      </c>
    </row>
    <row r="2248" spans="1:26" s="127" customFormat="1" ht="25">
      <c r="A2248" s="636">
        <v>64371</v>
      </c>
      <c r="B2248" s="637" t="s">
        <v>33</v>
      </c>
      <c r="C2248" s="636" t="s">
        <v>2725</v>
      </c>
      <c r="D2248" s="637" t="s">
        <v>3367</v>
      </c>
      <c r="E2248" s="637" t="s">
        <v>3368</v>
      </c>
      <c r="F2248" s="636">
        <v>63991</v>
      </c>
      <c r="G2248" s="637" t="s">
        <v>57</v>
      </c>
      <c r="H2248" s="637" t="s">
        <v>1162</v>
      </c>
      <c r="I2248" s="637" t="s">
        <v>58</v>
      </c>
      <c r="J2248" s="636">
        <v>22</v>
      </c>
      <c r="K2248" s="636">
        <v>2</v>
      </c>
      <c r="L2248" s="637" t="s">
        <v>52</v>
      </c>
      <c r="M2248" s="637" t="s">
        <v>441</v>
      </c>
      <c r="N2248" s="637" t="s">
        <v>442</v>
      </c>
      <c r="O2248" s="637" t="s">
        <v>442</v>
      </c>
      <c r="P2248" s="637" t="s">
        <v>1156</v>
      </c>
      <c r="Q2248" s="638">
        <v>0</v>
      </c>
      <c r="R2248" s="638">
        <v>0</v>
      </c>
      <c r="S2248" s="638">
        <v>19463</v>
      </c>
      <c r="T2248" s="638">
        <v>19463</v>
      </c>
      <c r="U2248" s="638">
        <v>5704</v>
      </c>
      <c r="V2248" s="636">
        <v>2022</v>
      </c>
      <c r="W2248" s="640"/>
      <c r="X2248" s="641">
        <f t="shared" ref="X2248:X2311" si="105">IF(OR(K2248&gt;3,T2248=0,NOT(U2248&gt;0)),"",T2248/U2248)</f>
        <v>3.4121669004207575</v>
      </c>
      <c r="Y2248" s="642" t="str">
        <f t="shared" ref="Y2248:Y2311" si="106">IF(AND($M2248=$Y$2,$N2248=$Y$3,NOT($Q2248=$R2248),NOT($U2248=0)),IF($K2248=5,$S2248/($U2248+(8/5)*$U2248),IF($K2248=7,$S2248/($U2248+(29/25)*$U2248),"")),"")</f>
        <v/>
      </c>
      <c r="Z2248" s="642" t="str">
        <f t="shared" si="104"/>
        <v/>
      </c>
    </row>
    <row r="2249" spans="1:26" s="127" customFormat="1" ht="25">
      <c r="A2249" s="636">
        <v>64372</v>
      </c>
      <c r="B2249" s="637" t="s">
        <v>33</v>
      </c>
      <c r="C2249" s="636" t="s">
        <v>2725</v>
      </c>
      <c r="D2249" s="637" t="s">
        <v>3369</v>
      </c>
      <c r="E2249" s="637" t="s">
        <v>3368</v>
      </c>
      <c r="F2249" s="636">
        <v>63991</v>
      </c>
      <c r="G2249" s="637" t="s">
        <v>57</v>
      </c>
      <c r="H2249" s="637" t="s">
        <v>1162</v>
      </c>
      <c r="I2249" s="637" t="s">
        <v>58</v>
      </c>
      <c r="J2249" s="636">
        <v>22</v>
      </c>
      <c r="K2249" s="636">
        <v>2</v>
      </c>
      <c r="L2249" s="637" t="s">
        <v>52</v>
      </c>
      <c r="M2249" s="637" t="s">
        <v>441</v>
      </c>
      <c r="N2249" s="637" t="s">
        <v>442</v>
      </c>
      <c r="O2249" s="637" t="s">
        <v>442</v>
      </c>
      <c r="P2249" s="637" t="s">
        <v>1156</v>
      </c>
      <c r="Q2249" s="638">
        <v>0</v>
      </c>
      <c r="R2249" s="638">
        <v>0</v>
      </c>
      <c r="S2249" s="638">
        <v>20762</v>
      </c>
      <c r="T2249" s="638">
        <v>20762</v>
      </c>
      <c r="U2249" s="638">
        <v>6085</v>
      </c>
      <c r="V2249" s="636">
        <v>2022</v>
      </c>
      <c r="W2249" s="640"/>
      <c r="X2249" s="641">
        <f t="shared" si="105"/>
        <v>3.4119967132292524</v>
      </c>
      <c r="Y2249" s="642" t="str">
        <f t="shared" si="106"/>
        <v/>
      </c>
      <c r="Z2249" s="642" t="str">
        <f t="shared" si="104"/>
        <v/>
      </c>
    </row>
    <row r="2250" spans="1:26" s="127" customFormat="1" ht="25">
      <c r="A2250" s="636">
        <v>64373</v>
      </c>
      <c r="B2250" s="637" t="s">
        <v>33</v>
      </c>
      <c r="C2250" s="636" t="s">
        <v>2725</v>
      </c>
      <c r="D2250" s="637" t="s">
        <v>3370</v>
      </c>
      <c r="E2250" s="637" t="s">
        <v>3368</v>
      </c>
      <c r="F2250" s="636">
        <v>63991</v>
      </c>
      <c r="G2250" s="637" t="s">
        <v>57</v>
      </c>
      <c r="H2250" s="637" t="s">
        <v>1162</v>
      </c>
      <c r="I2250" s="637" t="s">
        <v>58</v>
      </c>
      <c r="J2250" s="636">
        <v>22</v>
      </c>
      <c r="K2250" s="636">
        <v>2</v>
      </c>
      <c r="L2250" s="637" t="s">
        <v>52</v>
      </c>
      <c r="M2250" s="637" t="s">
        <v>441</v>
      </c>
      <c r="N2250" s="637" t="s">
        <v>442</v>
      </c>
      <c r="O2250" s="637" t="s">
        <v>442</v>
      </c>
      <c r="P2250" s="637" t="s">
        <v>1156</v>
      </c>
      <c r="Q2250" s="638">
        <v>0</v>
      </c>
      <c r="R2250" s="638">
        <v>0</v>
      </c>
      <c r="S2250" s="638">
        <v>9919</v>
      </c>
      <c r="T2250" s="638">
        <v>9919</v>
      </c>
      <c r="U2250" s="638">
        <v>2907</v>
      </c>
      <c r="V2250" s="636">
        <v>2022</v>
      </c>
      <c r="W2250" s="640"/>
      <c r="X2250" s="641">
        <f t="shared" si="105"/>
        <v>3.4121087031303752</v>
      </c>
      <c r="Y2250" s="642" t="str">
        <f t="shared" si="106"/>
        <v/>
      </c>
      <c r="Z2250" s="642" t="str">
        <f t="shared" si="104"/>
        <v/>
      </c>
    </row>
    <row r="2251" spans="1:26" s="127" customFormat="1" ht="25">
      <c r="A2251" s="636">
        <v>64374</v>
      </c>
      <c r="B2251" s="637" t="s">
        <v>33</v>
      </c>
      <c r="C2251" s="636" t="s">
        <v>2725</v>
      </c>
      <c r="D2251" s="637" t="s">
        <v>3371</v>
      </c>
      <c r="E2251" s="637" t="s">
        <v>3368</v>
      </c>
      <c r="F2251" s="636">
        <v>63991</v>
      </c>
      <c r="G2251" s="637" t="s">
        <v>57</v>
      </c>
      <c r="H2251" s="637" t="s">
        <v>1162</v>
      </c>
      <c r="I2251" s="637" t="s">
        <v>58</v>
      </c>
      <c r="J2251" s="636">
        <v>22</v>
      </c>
      <c r="K2251" s="636">
        <v>2</v>
      </c>
      <c r="L2251" s="637" t="s">
        <v>52</v>
      </c>
      <c r="M2251" s="637" t="s">
        <v>1852</v>
      </c>
      <c r="N2251" s="637" t="s">
        <v>1035</v>
      </c>
      <c r="O2251" s="637" t="s">
        <v>82</v>
      </c>
      <c r="P2251" s="637" t="s">
        <v>2726</v>
      </c>
      <c r="Q2251" s="638">
        <v>2154</v>
      </c>
      <c r="R2251" s="638">
        <v>2154</v>
      </c>
      <c r="S2251" s="638">
        <v>0</v>
      </c>
      <c r="T2251" s="638">
        <v>0</v>
      </c>
      <c r="U2251" s="638">
        <v>-162</v>
      </c>
      <c r="V2251" s="636">
        <v>2022</v>
      </c>
      <c r="W2251" s="640"/>
      <c r="X2251" s="641" t="str">
        <f t="shared" si="105"/>
        <v/>
      </c>
      <c r="Y2251" s="642" t="str">
        <f t="shared" si="106"/>
        <v/>
      </c>
      <c r="Z2251" s="642" t="str">
        <f t="shared" si="104"/>
        <v/>
      </c>
    </row>
    <row r="2252" spans="1:26" s="127" customFormat="1" ht="25">
      <c r="A2252" s="636">
        <v>64374</v>
      </c>
      <c r="B2252" s="637" t="s">
        <v>33</v>
      </c>
      <c r="C2252" s="636" t="s">
        <v>2725</v>
      </c>
      <c r="D2252" s="637" t="s">
        <v>3371</v>
      </c>
      <c r="E2252" s="637" t="s">
        <v>3368</v>
      </c>
      <c r="F2252" s="636">
        <v>63991</v>
      </c>
      <c r="G2252" s="637" t="s">
        <v>57</v>
      </c>
      <c r="H2252" s="637" t="s">
        <v>1162</v>
      </c>
      <c r="I2252" s="637" t="s">
        <v>58</v>
      </c>
      <c r="J2252" s="636">
        <v>22</v>
      </c>
      <c r="K2252" s="636">
        <v>2</v>
      </c>
      <c r="L2252" s="637" t="s">
        <v>52</v>
      </c>
      <c r="M2252" s="637" t="s">
        <v>441</v>
      </c>
      <c r="N2252" s="637" t="s">
        <v>442</v>
      </c>
      <c r="O2252" s="637" t="s">
        <v>442</v>
      </c>
      <c r="P2252" s="637" t="s">
        <v>1156</v>
      </c>
      <c r="Q2252" s="638">
        <v>0</v>
      </c>
      <c r="R2252" s="638">
        <v>0</v>
      </c>
      <c r="S2252" s="638">
        <v>28211</v>
      </c>
      <c r="T2252" s="638">
        <v>28211</v>
      </c>
      <c r="U2252" s="638">
        <v>8268</v>
      </c>
      <c r="V2252" s="636">
        <v>2022</v>
      </c>
      <c r="W2252" s="640"/>
      <c r="X2252" s="641">
        <f t="shared" si="105"/>
        <v>3.4120706337687472</v>
      </c>
      <c r="Y2252" s="642" t="str">
        <f t="shared" si="106"/>
        <v/>
      </c>
      <c r="Z2252" s="642" t="str">
        <f t="shared" si="104"/>
        <v/>
      </c>
    </row>
    <row r="2253" spans="1:26" s="127" customFormat="1" ht="37.5" hidden="1">
      <c r="A2253" s="636">
        <v>64378</v>
      </c>
      <c r="B2253" s="637" t="s">
        <v>33</v>
      </c>
      <c r="C2253" s="636" t="s">
        <v>2725</v>
      </c>
      <c r="D2253" s="637" t="s">
        <v>3222</v>
      </c>
      <c r="E2253" s="637" t="s">
        <v>3372</v>
      </c>
      <c r="F2253" s="636">
        <v>64585</v>
      </c>
      <c r="G2253" s="637" t="s">
        <v>81</v>
      </c>
      <c r="H2253" s="637" t="s">
        <v>1163</v>
      </c>
      <c r="I2253" s="637" t="s">
        <v>58</v>
      </c>
      <c r="J2253" s="636">
        <v>311</v>
      </c>
      <c r="K2253" s="636">
        <v>6</v>
      </c>
      <c r="L2253" s="637" t="s">
        <v>404</v>
      </c>
      <c r="M2253" s="637" t="s">
        <v>51</v>
      </c>
      <c r="N2253" s="637" t="s">
        <v>46</v>
      </c>
      <c r="O2253" s="637" t="s">
        <v>46</v>
      </c>
      <c r="P2253" s="637" t="s">
        <v>47</v>
      </c>
      <c r="Q2253" s="638">
        <v>3</v>
      </c>
      <c r="R2253" s="638">
        <v>3</v>
      </c>
      <c r="S2253" s="638">
        <v>18</v>
      </c>
      <c r="T2253" s="638">
        <v>18</v>
      </c>
      <c r="U2253" s="638">
        <v>1</v>
      </c>
      <c r="V2253" s="636">
        <v>2022</v>
      </c>
      <c r="W2253" s="640"/>
      <c r="X2253" s="641" t="str">
        <f t="shared" si="105"/>
        <v/>
      </c>
      <c r="Y2253" s="642" t="str">
        <f t="shared" si="106"/>
        <v/>
      </c>
      <c r="Z2253" s="642" t="str">
        <f t="shared" si="104"/>
        <v/>
      </c>
    </row>
    <row r="2254" spans="1:26" s="127" customFormat="1" ht="37.5" hidden="1">
      <c r="A2254" s="636">
        <v>64382</v>
      </c>
      <c r="B2254" s="637" t="s">
        <v>33</v>
      </c>
      <c r="C2254" s="636" t="s">
        <v>2725</v>
      </c>
      <c r="D2254" s="637" t="s">
        <v>3223</v>
      </c>
      <c r="E2254" s="637" t="s">
        <v>3224</v>
      </c>
      <c r="F2254" s="636">
        <v>63994</v>
      </c>
      <c r="G2254" s="637" t="s">
        <v>81</v>
      </c>
      <c r="H2254" s="637" t="s">
        <v>1163</v>
      </c>
      <c r="I2254" s="637" t="s">
        <v>58</v>
      </c>
      <c r="J2254" s="636">
        <v>334</v>
      </c>
      <c r="K2254" s="636">
        <v>6</v>
      </c>
      <c r="L2254" s="637" t="s">
        <v>404</v>
      </c>
      <c r="M2254" s="637" t="s">
        <v>51</v>
      </c>
      <c r="N2254" s="637" t="s">
        <v>46</v>
      </c>
      <c r="O2254" s="637" t="s">
        <v>46</v>
      </c>
      <c r="P2254" s="637" t="s">
        <v>47</v>
      </c>
      <c r="Q2254" s="638">
        <v>5</v>
      </c>
      <c r="R2254" s="638">
        <v>5</v>
      </c>
      <c r="S2254" s="638">
        <v>29</v>
      </c>
      <c r="T2254" s="638">
        <v>29</v>
      </c>
      <c r="U2254" s="638">
        <v>2.1739999999999999</v>
      </c>
      <c r="V2254" s="636">
        <v>2022</v>
      </c>
      <c r="W2254" s="640"/>
      <c r="X2254" s="641" t="str">
        <f t="shared" si="105"/>
        <v/>
      </c>
      <c r="Y2254" s="642" t="str">
        <f t="shared" si="106"/>
        <v/>
      </c>
      <c r="Z2254" s="642" t="str">
        <f t="shared" si="104"/>
        <v/>
      </c>
    </row>
    <row r="2255" spans="1:26" s="127" customFormat="1" ht="37.5" hidden="1">
      <c r="A2255" s="636">
        <v>64382</v>
      </c>
      <c r="B2255" s="637" t="s">
        <v>33</v>
      </c>
      <c r="C2255" s="636" t="s">
        <v>2725</v>
      </c>
      <c r="D2255" s="637" t="s">
        <v>3223</v>
      </c>
      <c r="E2255" s="637" t="s">
        <v>3224</v>
      </c>
      <c r="F2255" s="636">
        <v>63994</v>
      </c>
      <c r="G2255" s="637" t="s">
        <v>81</v>
      </c>
      <c r="H2255" s="637" t="s">
        <v>1163</v>
      </c>
      <c r="I2255" s="637" t="s">
        <v>58</v>
      </c>
      <c r="J2255" s="636">
        <v>334</v>
      </c>
      <c r="K2255" s="636">
        <v>6</v>
      </c>
      <c r="L2255" s="637" t="s">
        <v>404</v>
      </c>
      <c r="M2255" s="637" t="s">
        <v>51</v>
      </c>
      <c r="N2255" s="637" t="s">
        <v>39</v>
      </c>
      <c r="O2255" s="637" t="s">
        <v>39</v>
      </c>
      <c r="P2255" s="637" t="s">
        <v>1020</v>
      </c>
      <c r="Q2255" s="638">
        <v>207</v>
      </c>
      <c r="R2255" s="638">
        <v>207</v>
      </c>
      <c r="S2255" s="638">
        <v>209</v>
      </c>
      <c r="T2255" s="638">
        <v>209</v>
      </c>
      <c r="U2255" s="638">
        <v>15.826000000000001</v>
      </c>
      <c r="V2255" s="636">
        <v>2022</v>
      </c>
      <c r="W2255" s="640"/>
      <c r="X2255" s="641" t="str">
        <f t="shared" si="105"/>
        <v/>
      </c>
      <c r="Y2255" s="642" t="str">
        <f t="shared" si="106"/>
        <v/>
      </c>
      <c r="Z2255" s="642" t="str">
        <f t="shared" si="104"/>
        <v/>
      </c>
    </row>
    <row r="2256" spans="1:26" s="127" customFormat="1" ht="25">
      <c r="A2256" s="636">
        <v>64387</v>
      </c>
      <c r="B2256" s="637" t="s">
        <v>33</v>
      </c>
      <c r="C2256" s="636" t="s">
        <v>2725</v>
      </c>
      <c r="D2256" s="637" t="s">
        <v>3373</v>
      </c>
      <c r="E2256" s="637" t="s">
        <v>3374</v>
      </c>
      <c r="F2256" s="636">
        <v>63999</v>
      </c>
      <c r="G2256" s="637" t="s">
        <v>41</v>
      </c>
      <c r="H2256" s="637" t="s">
        <v>1163</v>
      </c>
      <c r="I2256" s="637" t="s">
        <v>58</v>
      </c>
      <c r="J2256" s="636">
        <v>22</v>
      </c>
      <c r="K2256" s="636">
        <v>2</v>
      </c>
      <c r="L2256" s="637" t="s">
        <v>52</v>
      </c>
      <c r="M2256" s="637" t="s">
        <v>441</v>
      </c>
      <c r="N2256" s="637" t="s">
        <v>442</v>
      </c>
      <c r="O2256" s="637" t="s">
        <v>442</v>
      </c>
      <c r="P2256" s="637" t="s">
        <v>1156</v>
      </c>
      <c r="Q2256" s="638">
        <v>0</v>
      </c>
      <c r="R2256" s="638">
        <v>0</v>
      </c>
      <c r="S2256" s="638">
        <v>288051</v>
      </c>
      <c r="T2256" s="638">
        <v>288051</v>
      </c>
      <c r="U2256" s="638">
        <v>84423</v>
      </c>
      <c r="V2256" s="636">
        <v>2022</v>
      </c>
      <c r="W2256" s="640"/>
      <c r="X2256" s="641">
        <f t="shared" si="105"/>
        <v>3.4119967307487298</v>
      </c>
      <c r="Y2256" s="642" t="str">
        <f t="shared" si="106"/>
        <v/>
      </c>
      <c r="Z2256" s="642" t="str">
        <f t="shared" ref="Z2256:Z2319" si="107">IF(AND($M2256=$Y$2,$N2256=$Y$4,NOT($Q2256=$R2256),NOT($U2256=0)),IF($K2256=5,$S2256/($U2256+(8/5)*$U2256),IF($K2256=7,$S2256/($U2256+(29/25)*$U2256),"")),"")</f>
        <v/>
      </c>
    </row>
    <row r="2257" spans="1:26" s="127" customFormat="1" ht="25">
      <c r="A2257" s="636">
        <v>64395</v>
      </c>
      <c r="B2257" s="637" t="s">
        <v>33</v>
      </c>
      <c r="C2257" s="636" t="s">
        <v>2725</v>
      </c>
      <c r="D2257" s="637" t="s">
        <v>3375</v>
      </c>
      <c r="E2257" s="637" t="s">
        <v>2166</v>
      </c>
      <c r="F2257" s="636">
        <v>61012</v>
      </c>
      <c r="G2257" s="637" t="s">
        <v>81</v>
      </c>
      <c r="H2257" s="637" t="s">
        <v>1163</v>
      </c>
      <c r="I2257" s="637" t="s">
        <v>58</v>
      </c>
      <c r="J2257" s="636">
        <v>22</v>
      </c>
      <c r="K2257" s="636">
        <v>2</v>
      </c>
      <c r="L2257" s="637" t="s">
        <v>52</v>
      </c>
      <c r="M2257" s="637" t="s">
        <v>1852</v>
      </c>
      <c r="N2257" s="637" t="s">
        <v>1035</v>
      </c>
      <c r="O2257" s="637" t="s">
        <v>82</v>
      </c>
      <c r="P2257" s="637" t="s">
        <v>2726</v>
      </c>
      <c r="Q2257" s="638">
        <v>449</v>
      </c>
      <c r="R2257" s="638">
        <v>449</v>
      </c>
      <c r="S2257" s="638">
        <v>0</v>
      </c>
      <c r="T2257" s="638">
        <v>0</v>
      </c>
      <c r="U2257" s="638">
        <v>-46</v>
      </c>
      <c r="V2257" s="636">
        <v>2022</v>
      </c>
      <c r="W2257" s="640"/>
      <c r="X2257" s="641" t="str">
        <f t="shared" si="105"/>
        <v/>
      </c>
      <c r="Y2257" s="642" t="str">
        <f t="shared" si="106"/>
        <v/>
      </c>
      <c r="Z2257" s="642" t="str">
        <f t="shared" si="107"/>
        <v/>
      </c>
    </row>
    <row r="2258" spans="1:26" s="127" customFormat="1" ht="25">
      <c r="A2258" s="636">
        <v>64395</v>
      </c>
      <c r="B2258" s="637" t="s">
        <v>33</v>
      </c>
      <c r="C2258" s="636" t="s">
        <v>2725</v>
      </c>
      <c r="D2258" s="637" t="s">
        <v>3375</v>
      </c>
      <c r="E2258" s="637" t="s">
        <v>2166</v>
      </c>
      <c r="F2258" s="636">
        <v>61012</v>
      </c>
      <c r="G2258" s="637" t="s">
        <v>81</v>
      </c>
      <c r="H2258" s="637" t="s">
        <v>1163</v>
      </c>
      <c r="I2258" s="637" t="s">
        <v>58</v>
      </c>
      <c r="J2258" s="636">
        <v>22</v>
      </c>
      <c r="K2258" s="636">
        <v>2</v>
      </c>
      <c r="L2258" s="637" t="s">
        <v>52</v>
      </c>
      <c r="M2258" s="637" t="s">
        <v>441</v>
      </c>
      <c r="N2258" s="637" t="s">
        <v>442</v>
      </c>
      <c r="O2258" s="637" t="s">
        <v>442</v>
      </c>
      <c r="P2258" s="637" t="s">
        <v>1156</v>
      </c>
      <c r="Q2258" s="638">
        <v>0</v>
      </c>
      <c r="R2258" s="638">
        <v>0</v>
      </c>
      <c r="S2258" s="638">
        <v>19803</v>
      </c>
      <c r="T2258" s="638">
        <v>19803</v>
      </c>
      <c r="U2258" s="638">
        <v>5804</v>
      </c>
      <c r="V2258" s="636">
        <v>2022</v>
      </c>
      <c r="W2258" s="640"/>
      <c r="X2258" s="641">
        <f t="shared" si="105"/>
        <v>3.4119572708476911</v>
      </c>
      <c r="Y2258" s="642" t="str">
        <f t="shared" si="106"/>
        <v/>
      </c>
      <c r="Z2258" s="642" t="str">
        <f t="shared" si="107"/>
        <v/>
      </c>
    </row>
    <row r="2259" spans="1:26" s="127" customFormat="1" ht="25">
      <c r="A2259" s="636">
        <v>64408</v>
      </c>
      <c r="B2259" s="637" t="s">
        <v>54</v>
      </c>
      <c r="C2259" s="636" t="s">
        <v>2725</v>
      </c>
      <c r="D2259" s="637" t="s">
        <v>3225</v>
      </c>
      <c r="E2259" s="637" t="s">
        <v>857</v>
      </c>
      <c r="F2259" s="636">
        <v>16191</v>
      </c>
      <c r="G2259" s="637" t="s">
        <v>90</v>
      </c>
      <c r="H2259" s="637" t="s">
        <v>1163</v>
      </c>
      <c r="I2259" s="637" t="s">
        <v>58</v>
      </c>
      <c r="J2259" s="636">
        <v>22</v>
      </c>
      <c r="K2259" s="636">
        <v>3</v>
      </c>
      <c r="L2259" s="637" t="s">
        <v>55</v>
      </c>
      <c r="M2259" s="637" t="s">
        <v>42</v>
      </c>
      <c r="N2259" s="637" t="s">
        <v>69</v>
      </c>
      <c r="O2259" s="637" t="s">
        <v>70</v>
      </c>
      <c r="P2259" s="637" t="s">
        <v>45</v>
      </c>
      <c r="Q2259" s="638">
        <v>95542</v>
      </c>
      <c r="R2259" s="638">
        <v>54402</v>
      </c>
      <c r="S2259" s="638">
        <v>812110</v>
      </c>
      <c r="T2259" s="638">
        <v>462417</v>
      </c>
      <c r="U2259" s="638">
        <v>35342</v>
      </c>
      <c r="V2259" s="636">
        <v>2022</v>
      </c>
      <c r="W2259" s="640"/>
      <c r="X2259" s="641">
        <f t="shared" si="105"/>
        <v>13.084064286118499</v>
      </c>
      <c r="Y2259" s="642" t="str">
        <f t="shared" si="106"/>
        <v/>
      </c>
      <c r="Z2259" s="642" t="str">
        <f t="shared" si="107"/>
        <v/>
      </c>
    </row>
    <row r="2260" spans="1:26" s="127" customFormat="1" ht="25">
      <c r="A2260" s="636">
        <v>64417</v>
      </c>
      <c r="B2260" s="637" t="s">
        <v>33</v>
      </c>
      <c r="C2260" s="636" t="s">
        <v>2725</v>
      </c>
      <c r="D2260" s="637" t="s">
        <v>3226</v>
      </c>
      <c r="E2260" s="637" t="s">
        <v>3227</v>
      </c>
      <c r="F2260" s="636">
        <v>64057</v>
      </c>
      <c r="G2260" s="637" t="s">
        <v>81</v>
      </c>
      <c r="H2260" s="637" t="s">
        <v>1163</v>
      </c>
      <c r="I2260" s="637" t="s">
        <v>58</v>
      </c>
      <c r="J2260" s="636">
        <v>22</v>
      </c>
      <c r="K2260" s="636">
        <v>2</v>
      </c>
      <c r="L2260" s="637" t="s">
        <v>52</v>
      </c>
      <c r="M2260" s="637" t="s">
        <v>441</v>
      </c>
      <c r="N2260" s="637" t="s">
        <v>442</v>
      </c>
      <c r="O2260" s="637" t="s">
        <v>442</v>
      </c>
      <c r="P2260" s="637" t="s">
        <v>1156</v>
      </c>
      <c r="Q2260" s="638">
        <v>0</v>
      </c>
      <c r="R2260" s="638">
        <v>0</v>
      </c>
      <c r="S2260" s="638">
        <v>19979</v>
      </c>
      <c r="T2260" s="638">
        <v>19979</v>
      </c>
      <c r="U2260" s="638">
        <v>5856</v>
      </c>
      <c r="V2260" s="636">
        <v>2022</v>
      </c>
      <c r="W2260" s="640"/>
      <c r="X2260" s="641">
        <f t="shared" si="105"/>
        <v>3.4117144808743167</v>
      </c>
      <c r="Y2260" s="642" t="str">
        <f t="shared" si="106"/>
        <v/>
      </c>
      <c r="Z2260" s="642" t="str">
        <f t="shared" si="107"/>
        <v/>
      </c>
    </row>
    <row r="2261" spans="1:26" s="127" customFormat="1" ht="25">
      <c r="A2261" s="636">
        <v>64419</v>
      </c>
      <c r="B2261" s="637" t="s">
        <v>33</v>
      </c>
      <c r="C2261" s="636" t="s">
        <v>2725</v>
      </c>
      <c r="D2261" s="637" t="s">
        <v>3228</v>
      </c>
      <c r="E2261" s="637" t="s">
        <v>3229</v>
      </c>
      <c r="F2261" s="636">
        <v>64067</v>
      </c>
      <c r="G2261" s="637" t="s">
        <v>81</v>
      </c>
      <c r="H2261" s="637" t="s">
        <v>1163</v>
      </c>
      <c r="I2261" s="637" t="s">
        <v>58</v>
      </c>
      <c r="J2261" s="636">
        <v>22</v>
      </c>
      <c r="K2261" s="636">
        <v>2</v>
      </c>
      <c r="L2261" s="637" t="s">
        <v>52</v>
      </c>
      <c r="M2261" s="637" t="s">
        <v>441</v>
      </c>
      <c r="N2261" s="637" t="s">
        <v>442</v>
      </c>
      <c r="O2261" s="637" t="s">
        <v>442</v>
      </c>
      <c r="P2261" s="637" t="s">
        <v>1156</v>
      </c>
      <c r="Q2261" s="638">
        <v>0</v>
      </c>
      <c r="R2261" s="638">
        <v>0</v>
      </c>
      <c r="S2261" s="638">
        <v>26807</v>
      </c>
      <c r="T2261" s="638">
        <v>26807</v>
      </c>
      <c r="U2261" s="638">
        <v>7857</v>
      </c>
      <c r="V2261" s="636">
        <v>2022</v>
      </c>
      <c r="W2261" s="640"/>
      <c r="X2261" s="641">
        <f t="shared" si="105"/>
        <v>3.4118620338551611</v>
      </c>
      <c r="Y2261" s="642" t="str">
        <f t="shared" si="106"/>
        <v/>
      </c>
      <c r="Z2261" s="642" t="str">
        <f t="shared" si="107"/>
        <v/>
      </c>
    </row>
    <row r="2262" spans="1:26" s="127" customFormat="1" ht="25">
      <c r="A2262" s="636">
        <v>64421</v>
      </c>
      <c r="B2262" s="637" t="s">
        <v>33</v>
      </c>
      <c r="C2262" s="636" t="s">
        <v>2725</v>
      </c>
      <c r="D2262" s="637" t="s">
        <v>3230</v>
      </c>
      <c r="E2262" s="637" t="s">
        <v>2862</v>
      </c>
      <c r="F2262" s="636">
        <v>62719</v>
      </c>
      <c r="G2262" s="637" t="s">
        <v>57</v>
      </c>
      <c r="H2262" s="637" t="s">
        <v>1162</v>
      </c>
      <c r="I2262" s="637" t="s">
        <v>58</v>
      </c>
      <c r="J2262" s="636">
        <v>22</v>
      </c>
      <c r="K2262" s="636">
        <v>2</v>
      </c>
      <c r="L2262" s="637" t="s">
        <v>52</v>
      </c>
      <c r="M2262" s="637" t="s">
        <v>441</v>
      </c>
      <c r="N2262" s="637" t="s">
        <v>442</v>
      </c>
      <c r="O2262" s="637" t="s">
        <v>442</v>
      </c>
      <c r="P2262" s="637" t="s">
        <v>1156</v>
      </c>
      <c r="Q2262" s="638">
        <v>0</v>
      </c>
      <c r="R2262" s="638">
        <v>0</v>
      </c>
      <c r="S2262" s="638">
        <v>10950</v>
      </c>
      <c r="T2262" s="638">
        <v>10950</v>
      </c>
      <c r="U2262" s="638">
        <v>3209</v>
      </c>
      <c r="V2262" s="636">
        <v>2022</v>
      </c>
      <c r="W2262" s="640"/>
      <c r="X2262" s="641">
        <f t="shared" si="105"/>
        <v>3.4122779682143971</v>
      </c>
      <c r="Y2262" s="642" t="str">
        <f t="shared" si="106"/>
        <v/>
      </c>
      <c r="Z2262" s="642" t="str">
        <f t="shared" si="107"/>
        <v/>
      </c>
    </row>
    <row r="2263" spans="1:26" s="127" customFormat="1" ht="25">
      <c r="A2263" s="636">
        <v>64432</v>
      </c>
      <c r="B2263" s="637" t="s">
        <v>33</v>
      </c>
      <c r="C2263" s="636" t="s">
        <v>2725</v>
      </c>
      <c r="D2263" s="637" t="s">
        <v>3231</v>
      </c>
      <c r="E2263" s="637" t="s">
        <v>3232</v>
      </c>
      <c r="F2263" s="636">
        <v>64069</v>
      </c>
      <c r="G2263" s="637" t="s">
        <v>81</v>
      </c>
      <c r="H2263" s="637" t="s">
        <v>1163</v>
      </c>
      <c r="I2263" s="637" t="s">
        <v>58</v>
      </c>
      <c r="J2263" s="636">
        <v>22</v>
      </c>
      <c r="K2263" s="636">
        <v>2</v>
      </c>
      <c r="L2263" s="637" t="s">
        <v>52</v>
      </c>
      <c r="M2263" s="637" t="s">
        <v>1852</v>
      </c>
      <c r="N2263" s="637" t="s">
        <v>1035</v>
      </c>
      <c r="O2263" s="637" t="s">
        <v>82</v>
      </c>
      <c r="P2263" s="637" t="s">
        <v>2726</v>
      </c>
      <c r="Q2263" s="638">
        <v>464</v>
      </c>
      <c r="R2263" s="638">
        <v>464</v>
      </c>
      <c r="S2263" s="638">
        <v>0</v>
      </c>
      <c r="T2263" s="638">
        <v>0</v>
      </c>
      <c r="U2263" s="638">
        <v>-37</v>
      </c>
      <c r="V2263" s="636">
        <v>2022</v>
      </c>
      <c r="W2263" s="640"/>
      <c r="X2263" s="641" t="str">
        <f t="shared" si="105"/>
        <v/>
      </c>
      <c r="Y2263" s="642" t="str">
        <f t="shared" si="106"/>
        <v/>
      </c>
      <c r="Z2263" s="642" t="str">
        <f t="shared" si="107"/>
        <v/>
      </c>
    </row>
    <row r="2264" spans="1:26" s="127" customFormat="1" ht="25">
      <c r="A2264" s="636">
        <v>64432</v>
      </c>
      <c r="B2264" s="637" t="s">
        <v>33</v>
      </c>
      <c r="C2264" s="636" t="s">
        <v>2725</v>
      </c>
      <c r="D2264" s="637" t="s">
        <v>3231</v>
      </c>
      <c r="E2264" s="637" t="s">
        <v>3232</v>
      </c>
      <c r="F2264" s="636">
        <v>64069</v>
      </c>
      <c r="G2264" s="637" t="s">
        <v>81</v>
      </c>
      <c r="H2264" s="637" t="s">
        <v>1163</v>
      </c>
      <c r="I2264" s="637" t="s">
        <v>58</v>
      </c>
      <c r="J2264" s="636">
        <v>22</v>
      </c>
      <c r="K2264" s="636">
        <v>2</v>
      </c>
      <c r="L2264" s="637" t="s">
        <v>52</v>
      </c>
      <c r="M2264" s="637" t="s">
        <v>441</v>
      </c>
      <c r="N2264" s="637" t="s">
        <v>442</v>
      </c>
      <c r="O2264" s="637" t="s">
        <v>442</v>
      </c>
      <c r="P2264" s="637" t="s">
        <v>1156</v>
      </c>
      <c r="Q2264" s="638">
        <v>0</v>
      </c>
      <c r="R2264" s="638">
        <v>0</v>
      </c>
      <c r="S2264" s="638">
        <v>24096</v>
      </c>
      <c r="T2264" s="638">
        <v>24096</v>
      </c>
      <c r="U2264" s="638">
        <v>7062</v>
      </c>
      <c r="V2264" s="636">
        <v>2022</v>
      </c>
      <c r="W2264" s="640"/>
      <c r="X2264" s="641">
        <f t="shared" si="105"/>
        <v>3.4120645709430755</v>
      </c>
      <c r="Y2264" s="642" t="str">
        <f t="shared" si="106"/>
        <v/>
      </c>
      <c r="Z2264" s="642" t="str">
        <f t="shared" si="107"/>
        <v/>
      </c>
    </row>
    <row r="2265" spans="1:26" s="127" customFormat="1" ht="25">
      <c r="A2265" s="636">
        <v>64434</v>
      </c>
      <c r="B2265" s="637" t="s">
        <v>33</v>
      </c>
      <c r="C2265" s="636" t="s">
        <v>2725</v>
      </c>
      <c r="D2265" s="637" t="s">
        <v>3233</v>
      </c>
      <c r="E2265" s="637" t="s">
        <v>3234</v>
      </c>
      <c r="F2265" s="636">
        <v>64071</v>
      </c>
      <c r="G2265" s="637" t="s">
        <v>81</v>
      </c>
      <c r="H2265" s="637" t="s">
        <v>1163</v>
      </c>
      <c r="I2265" s="637" t="s">
        <v>58</v>
      </c>
      <c r="J2265" s="636">
        <v>22</v>
      </c>
      <c r="K2265" s="636">
        <v>2</v>
      </c>
      <c r="L2265" s="637" t="s">
        <v>52</v>
      </c>
      <c r="M2265" s="637" t="s">
        <v>441</v>
      </c>
      <c r="N2265" s="637" t="s">
        <v>442</v>
      </c>
      <c r="O2265" s="637" t="s">
        <v>442</v>
      </c>
      <c r="P2265" s="637" t="s">
        <v>1156</v>
      </c>
      <c r="Q2265" s="638">
        <v>0</v>
      </c>
      <c r="R2265" s="638">
        <v>0</v>
      </c>
      <c r="S2265" s="638">
        <v>15020</v>
      </c>
      <c r="T2265" s="638">
        <v>15020</v>
      </c>
      <c r="U2265" s="638">
        <v>4402</v>
      </c>
      <c r="V2265" s="636">
        <v>2022</v>
      </c>
      <c r="W2265" s="640"/>
      <c r="X2265" s="641">
        <f t="shared" si="105"/>
        <v>3.412085415720127</v>
      </c>
      <c r="Y2265" s="642" t="str">
        <f t="shared" si="106"/>
        <v/>
      </c>
      <c r="Z2265" s="642" t="str">
        <f t="shared" si="107"/>
        <v/>
      </c>
    </row>
    <row r="2266" spans="1:26" s="127" customFormat="1" ht="25">
      <c r="A2266" s="636">
        <v>64435</v>
      </c>
      <c r="B2266" s="637" t="s">
        <v>33</v>
      </c>
      <c r="C2266" s="636" t="s">
        <v>2725</v>
      </c>
      <c r="D2266" s="637" t="s">
        <v>3376</v>
      </c>
      <c r="E2266" s="637" t="s">
        <v>3377</v>
      </c>
      <c r="F2266" s="636">
        <v>64072</v>
      </c>
      <c r="G2266" s="637" t="s">
        <v>81</v>
      </c>
      <c r="H2266" s="637" t="s">
        <v>1163</v>
      </c>
      <c r="I2266" s="637" t="s">
        <v>58</v>
      </c>
      <c r="J2266" s="636">
        <v>22</v>
      </c>
      <c r="K2266" s="636">
        <v>2</v>
      </c>
      <c r="L2266" s="637" t="s">
        <v>52</v>
      </c>
      <c r="M2266" s="637" t="s">
        <v>441</v>
      </c>
      <c r="N2266" s="637" t="s">
        <v>442</v>
      </c>
      <c r="O2266" s="637" t="s">
        <v>442</v>
      </c>
      <c r="P2266" s="637" t="s">
        <v>1156</v>
      </c>
      <c r="Q2266" s="638">
        <v>0</v>
      </c>
      <c r="R2266" s="638">
        <v>0</v>
      </c>
      <c r="S2266" s="638">
        <v>8430</v>
      </c>
      <c r="T2266" s="638">
        <v>8430</v>
      </c>
      <c r="U2266" s="638">
        <v>2471</v>
      </c>
      <c r="V2266" s="636">
        <v>2022</v>
      </c>
      <c r="W2266" s="640"/>
      <c r="X2266" s="641">
        <f t="shared" si="105"/>
        <v>3.4115742614326185</v>
      </c>
      <c r="Y2266" s="642" t="str">
        <f t="shared" si="106"/>
        <v/>
      </c>
      <c r="Z2266" s="642" t="str">
        <f t="shared" si="107"/>
        <v/>
      </c>
    </row>
    <row r="2267" spans="1:26" s="127" customFormat="1" ht="25">
      <c r="A2267" s="636">
        <v>64436</v>
      </c>
      <c r="B2267" s="637" t="s">
        <v>33</v>
      </c>
      <c r="C2267" s="636" t="s">
        <v>2725</v>
      </c>
      <c r="D2267" s="637" t="s">
        <v>3235</v>
      </c>
      <c r="E2267" s="637" t="s">
        <v>3236</v>
      </c>
      <c r="F2267" s="636">
        <v>64073</v>
      </c>
      <c r="G2267" s="637" t="s">
        <v>81</v>
      </c>
      <c r="H2267" s="637" t="s">
        <v>1163</v>
      </c>
      <c r="I2267" s="637" t="s">
        <v>58</v>
      </c>
      <c r="J2267" s="636">
        <v>22</v>
      </c>
      <c r="K2267" s="636">
        <v>2</v>
      </c>
      <c r="L2267" s="637" t="s">
        <v>52</v>
      </c>
      <c r="M2267" s="637" t="s">
        <v>1852</v>
      </c>
      <c r="N2267" s="637" t="s">
        <v>1035</v>
      </c>
      <c r="O2267" s="637" t="s">
        <v>82</v>
      </c>
      <c r="P2267" s="637" t="s">
        <v>2726</v>
      </c>
      <c r="Q2267" s="638">
        <v>426</v>
      </c>
      <c r="R2267" s="638">
        <v>426</v>
      </c>
      <c r="S2267" s="638">
        <v>0</v>
      </c>
      <c r="T2267" s="638">
        <v>0</v>
      </c>
      <c r="U2267" s="638">
        <v>-117</v>
      </c>
      <c r="V2267" s="636">
        <v>2022</v>
      </c>
      <c r="W2267" s="640"/>
      <c r="X2267" s="641" t="str">
        <f t="shared" si="105"/>
        <v/>
      </c>
      <c r="Y2267" s="642" t="str">
        <f t="shared" si="106"/>
        <v/>
      </c>
      <c r="Z2267" s="642" t="str">
        <f t="shared" si="107"/>
        <v/>
      </c>
    </row>
    <row r="2268" spans="1:26" s="127" customFormat="1" ht="25">
      <c r="A2268" s="636">
        <v>64436</v>
      </c>
      <c r="B2268" s="637" t="s">
        <v>33</v>
      </c>
      <c r="C2268" s="636" t="s">
        <v>2725</v>
      </c>
      <c r="D2268" s="637" t="s">
        <v>3235</v>
      </c>
      <c r="E2268" s="637" t="s">
        <v>3236</v>
      </c>
      <c r="F2268" s="636">
        <v>64073</v>
      </c>
      <c r="G2268" s="637" t="s">
        <v>81</v>
      </c>
      <c r="H2268" s="637" t="s">
        <v>1163</v>
      </c>
      <c r="I2268" s="637" t="s">
        <v>58</v>
      </c>
      <c r="J2268" s="636">
        <v>22</v>
      </c>
      <c r="K2268" s="636">
        <v>2</v>
      </c>
      <c r="L2268" s="637" t="s">
        <v>52</v>
      </c>
      <c r="M2268" s="637" t="s">
        <v>441</v>
      </c>
      <c r="N2268" s="637" t="s">
        <v>442</v>
      </c>
      <c r="O2268" s="637" t="s">
        <v>442</v>
      </c>
      <c r="P2268" s="637" t="s">
        <v>1156</v>
      </c>
      <c r="Q2268" s="638">
        <v>0</v>
      </c>
      <c r="R2268" s="638">
        <v>0</v>
      </c>
      <c r="S2268" s="638">
        <v>29444</v>
      </c>
      <c r="T2268" s="638">
        <v>29444</v>
      </c>
      <c r="U2268" s="638">
        <v>8629</v>
      </c>
      <c r="V2268" s="636">
        <v>2022</v>
      </c>
      <c r="W2268" s="640"/>
      <c r="X2268" s="641">
        <f t="shared" si="105"/>
        <v>3.4122146251014023</v>
      </c>
      <c r="Y2268" s="642" t="str">
        <f t="shared" si="106"/>
        <v/>
      </c>
      <c r="Z2268" s="642" t="str">
        <f t="shared" si="107"/>
        <v/>
      </c>
    </row>
    <row r="2269" spans="1:26" s="127" customFormat="1" ht="25">
      <c r="A2269" s="636">
        <v>64437</v>
      </c>
      <c r="B2269" s="637" t="s">
        <v>33</v>
      </c>
      <c r="C2269" s="636" t="s">
        <v>2725</v>
      </c>
      <c r="D2269" s="637" t="s">
        <v>3378</v>
      </c>
      <c r="E2269" s="637" t="s">
        <v>3379</v>
      </c>
      <c r="F2269" s="636">
        <v>64070</v>
      </c>
      <c r="G2269" s="637" t="s">
        <v>81</v>
      </c>
      <c r="H2269" s="637" t="s">
        <v>1163</v>
      </c>
      <c r="I2269" s="637" t="s">
        <v>58</v>
      </c>
      <c r="J2269" s="636">
        <v>22</v>
      </c>
      <c r="K2269" s="636">
        <v>2</v>
      </c>
      <c r="L2269" s="637" t="s">
        <v>52</v>
      </c>
      <c r="M2269" s="637" t="s">
        <v>441</v>
      </c>
      <c r="N2269" s="637" t="s">
        <v>442</v>
      </c>
      <c r="O2269" s="637" t="s">
        <v>442</v>
      </c>
      <c r="P2269" s="637" t="s">
        <v>1156</v>
      </c>
      <c r="Q2269" s="638">
        <v>0</v>
      </c>
      <c r="R2269" s="638">
        <v>0</v>
      </c>
      <c r="S2269" s="638">
        <v>21361</v>
      </c>
      <c r="T2269" s="638">
        <v>21361</v>
      </c>
      <c r="U2269" s="638">
        <v>6261</v>
      </c>
      <c r="V2269" s="636">
        <v>2022</v>
      </c>
      <c r="W2269" s="640"/>
      <c r="X2269" s="641">
        <f t="shared" si="105"/>
        <v>3.4117553106532501</v>
      </c>
      <c r="Y2269" s="642" t="str">
        <f t="shared" si="106"/>
        <v/>
      </c>
      <c r="Z2269" s="642" t="str">
        <f t="shared" si="107"/>
        <v/>
      </c>
    </row>
    <row r="2270" spans="1:26" s="127" customFormat="1" ht="25">
      <c r="A2270" s="636">
        <v>64442</v>
      </c>
      <c r="B2270" s="637" t="s">
        <v>33</v>
      </c>
      <c r="C2270" s="636" t="s">
        <v>2725</v>
      </c>
      <c r="D2270" s="637" t="s">
        <v>3669</v>
      </c>
      <c r="E2270" s="637" t="s">
        <v>3620</v>
      </c>
      <c r="F2270" s="636">
        <v>57365</v>
      </c>
      <c r="G2270" s="637" t="s">
        <v>57</v>
      </c>
      <c r="H2270" s="637" t="s">
        <v>1162</v>
      </c>
      <c r="I2270" s="637" t="s">
        <v>58</v>
      </c>
      <c r="J2270" s="636">
        <v>22</v>
      </c>
      <c r="K2270" s="636">
        <v>2</v>
      </c>
      <c r="L2270" s="637" t="s">
        <v>52</v>
      </c>
      <c r="M2270" s="637" t="s">
        <v>1852</v>
      </c>
      <c r="N2270" s="637" t="s">
        <v>1035</v>
      </c>
      <c r="O2270" s="637" t="s">
        <v>82</v>
      </c>
      <c r="P2270" s="637" t="s">
        <v>2726</v>
      </c>
      <c r="Q2270" s="638">
        <v>0</v>
      </c>
      <c r="R2270" s="638">
        <v>0</v>
      </c>
      <c r="S2270" s="638">
        <v>0</v>
      </c>
      <c r="T2270" s="638">
        <v>0</v>
      </c>
      <c r="U2270" s="638">
        <v>0</v>
      </c>
      <c r="V2270" s="636">
        <v>2022</v>
      </c>
      <c r="W2270" s="640"/>
      <c r="X2270" s="641" t="str">
        <f t="shared" si="105"/>
        <v/>
      </c>
      <c r="Y2270" s="642" t="str">
        <f t="shared" si="106"/>
        <v/>
      </c>
      <c r="Z2270" s="642" t="str">
        <f t="shared" si="107"/>
        <v/>
      </c>
    </row>
    <row r="2271" spans="1:26" s="127" customFormat="1" ht="25">
      <c r="A2271" s="636">
        <v>64442</v>
      </c>
      <c r="B2271" s="637" t="s">
        <v>33</v>
      </c>
      <c r="C2271" s="636" t="s">
        <v>2725</v>
      </c>
      <c r="D2271" s="637" t="s">
        <v>3669</v>
      </c>
      <c r="E2271" s="637" t="s">
        <v>3620</v>
      </c>
      <c r="F2271" s="636">
        <v>57365</v>
      </c>
      <c r="G2271" s="637" t="s">
        <v>57</v>
      </c>
      <c r="H2271" s="637" t="s">
        <v>1162</v>
      </c>
      <c r="I2271" s="637" t="s">
        <v>58</v>
      </c>
      <c r="J2271" s="636">
        <v>22</v>
      </c>
      <c r="K2271" s="636">
        <v>2</v>
      </c>
      <c r="L2271" s="637" t="s">
        <v>52</v>
      </c>
      <c r="M2271" s="637" t="s">
        <v>441</v>
      </c>
      <c r="N2271" s="637" t="s">
        <v>442</v>
      </c>
      <c r="O2271" s="637" t="s">
        <v>442</v>
      </c>
      <c r="P2271" s="637" t="s">
        <v>1156</v>
      </c>
      <c r="Q2271" s="638">
        <v>0</v>
      </c>
      <c r="R2271" s="638">
        <v>0</v>
      </c>
      <c r="S2271" s="638">
        <v>140</v>
      </c>
      <c r="T2271" s="638">
        <v>140</v>
      </c>
      <c r="U2271" s="638">
        <v>41</v>
      </c>
      <c r="V2271" s="636">
        <v>2022</v>
      </c>
      <c r="W2271" s="640"/>
      <c r="X2271" s="641">
        <f t="shared" si="105"/>
        <v>3.4146341463414633</v>
      </c>
      <c r="Y2271" s="642" t="str">
        <f t="shared" si="106"/>
        <v/>
      </c>
      <c r="Z2271" s="642" t="str">
        <f t="shared" si="107"/>
        <v/>
      </c>
    </row>
    <row r="2272" spans="1:26" s="127" customFormat="1" ht="25">
      <c r="A2272" s="636">
        <v>64443</v>
      </c>
      <c r="B2272" s="637" t="s">
        <v>33</v>
      </c>
      <c r="C2272" s="636" t="s">
        <v>2725</v>
      </c>
      <c r="D2272" s="637" t="s">
        <v>3380</v>
      </c>
      <c r="E2272" s="637" t="s">
        <v>3381</v>
      </c>
      <c r="F2272" s="636">
        <v>62627</v>
      </c>
      <c r="G2272" s="637" t="s">
        <v>89</v>
      </c>
      <c r="H2272" s="637" t="s">
        <v>1163</v>
      </c>
      <c r="I2272" s="637" t="s">
        <v>58</v>
      </c>
      <c r="J2272" s="636">
        <v>22</v>
      </c>
      <c r="K2272" s="636">
        <v>2</v>
      </c>
      <c r="L2272" s="637" t="s">
        <v>52</v>
      </c>
      <c r="M2272" s="637" t="s">
        <v>441</v>
      </c>
      <c r="N2272" s="637" t="s">
        <v>442</v>
      </c>
      <c r="O2272" s="637" t="s">
        <v>442</v>
      </c>
      <c r="P2272" s="637" t="s">
        <v>1156</v>
      </c>
      <c r="Q2272" s="638">
        <v>0</v>
      </c>
      <c r="R2272" s="638">
        <v>0</v>
      </c>
      <c r="S2272" s="638">
        <v>13007</v>
      </c>
      <c r="T2272" s="638">
        <v>13007</v>
      </c>
      <c r="U2272" s="638">
        <v>3812</v>
      </c>
      <c r="V2272" s="636">
        <v>2022</v>
      </c>
      <c r="W2272" s="640"/>
      <c r="X2272" s="641">
        <f t="shared" si="105"/>
        <v>3.4121196222455406</v>
      </c>
      <c r="Y2272" s="642" t="str">
        <f t="shared" si="106"/>
        <v/>
      </c>
      <c r="Z2272" s="642" t="str">
        <f t="shared" si="107"/>
        <v/>
      </c>
    </row>
    <row r="2273" spans="1:26" s="127" customFormat="1" ht="25">
      <c r="A2273" s="636">
        <v>64445</v>
      </c>
      <c r="B2273" s="637" t="s">
        <v>33</v>
      </c>
      <c r="C2273" s="636" t="s">
        <v>2725</v>
      </c>
      <c r="D2273" s="637" t="s">
        <v>3237</v>
      </c>
      <c r="E2273" s="637" t="s">
        <v>1883</v>
      </c>
      <c r="F2273" s="636">
        <v>60947</v>
      </c>
      <c r="G2273" s="637" t="s">
        <v>57</v>
      </c>
      <c r="H2273" s="637" t="s">
        <v>1162</v>
      </c>
      <c r="I2273" s="637" t="s">
        <v>58</v>
      </c>
      <c r="J2273" s="636">
        <v>22</v>
      </c>
      <c r="K2273" s="636">
        <v>2</v>
      </c>
      <c r="L2273" s="637" t="s">
        <v>52</v>
      </c>
      <c r="M2273" s="637" t="s">
        <v>441</v>
      </c>
      <c r="N2273" s="637" t="s">
        <v>442</v>
      </c>
      <c r="O2273" s="637" t="s">
        <v>442</v>
      </c>
      <c r="P2273" s="637" t="s">
        <v>1156</v>
      </c>
      <c r="Q2273" s="638">
        <v>0</v>
      </c>
      <c r="R2273" s="638">
        <v>0</v>
      </c>
      <c r="S2273" s="638">
        <v>9949</v>
      </c>
      <c r="T2273" s="638">
        <v>9949</v>
      </c>
      <c r="U2273" s="638">
        <v>2916</v>
      </c>
      <c r="V2273" s="636">
        <v>2022</v>
      </c>
      <c r="W2273" s="640"/>
      <c r="X2273" s="641">
        <f t="shared" si="105"/>
        <v>3.4118655692729765</v>
      </c>
      <c r="Y2273" s="642" t="str">
        <f t="shared" si="106"/>
        <v/>
      </c>
      <c r="Z2273" s="642" t="str">
        <f t="shared" si="107"/>
        <v/>
      </c>
    </row>
    <row r="2274" spans="1:26" s="127" customFormat="1" ht="25">
      <c r="A2274" s="636">
        <v>64451</v>
      </c>
      <c r="B2274" s="637" t="s">
        <v>33</v>
      </c>
      <c r="C2274" s="636" t="s">
        <v>2725</v>
      </c>
      <c r="D2274" s="637" t="s">
        <v>3382</v>
      </c>
      <c r="E2274" s="637" t="s">
        <v>2368</v>
      </c>
      <c r="F2274" s="636">
        <v>61610</v>
      </c>
      <c r="G2274" s="637" t="s">
        <v>57</v>
      </c>
      <c r="H2274" s="637" t="s">
        <v>1162</v>
      </c>
      <c r="I2274" s="637" t="s">
        <v>58</v>
      </c>
      <c r="J2274" s="636">
        <v>22</v>
      </c>
      <c r="K2274" s="636">
        <v>2</v>
      </c>
      <c r="L2274" s="637" t="s">
        <v>52</v>
      </c>
      <c r="M2274" s="637" t="s">
        <v>441</v>
      </c>
      <c r="N2274" s="637" t="s">
        <v>442</v>
      </c>
      <c r="O2274" s="637" t="s">
        <v>442</v>
      </c>
      <c r="P2274" s="637" t="s">
        <v>1156</v>
      </c>
      <c r="Q2274" s="638">
        <v>0</v>
      </c>
      <c r="R2274" s="638">
        <v>0</v>
      </c>
      <c r="S2274" s="638">
        <v>12287</v>
      </c>
      <c r="T2274" s="638">
        <v>12287</v>
      </c>
      <c r="U2274" s="638">
        <v>3601</v>
      </c>
      <c r="V2274" s="636">
        <v>2022</v>
      </c>
      <c r="W2274" s="640"/>
      <c r="X2274" s="641">
        <f t="shared" si="105"/>
        <v>3.4121077478478199</v>
      </c>
      <c r="Y2274" s="642" t="str">
        <f t="shared" si="106"/>
        <v/>
      </c>
      <c r="Z2274" s="642" t="str">
        <f t="shared" si="107"/>
        <v/>
      </c>
    </row>
    <row r="2275" spans="1:26" s="127" customFormat="1" ht="25">
      <c r="A2275" s="636">
        <v>64453</v>
      </c>
      <c r="B2275" s="637" t="s">
        <v>33</v>
      </c>
      <c r="C2275" s="636" t="s">
        <v>2725</v>
      </c>
      <c r="D2275" s="637" t="s">
        <v>3383</v>
      </c>
      <c r="E2275" s="637" t="s">
        <v>3368</v>
      </c>
      <c r="F2275" s="636">
        <v>63991</v>
      </c>
      <c r="G2275" s="637" t="s">
        <v>57</v>
      </c>
      <c r="H2275" s="637" t="s">
        <v>1162</v>
      </c>
      <c r="I2275" s="637" t="s">
        <v>58</v>
      </c>
      <c r="J2275" s="636">
        <v>22</v>
      </c>
      <c r="K2275" s="636">
        <v>2</v>
      </c>
      <c r="L2275" s="637" t="s">
        <v>52</v>
      </c>
      <c r="M2275" s="637" t="s">
        <v>1852</v>
      </c>
      <c r="N2275" s="637" t="s">
        <v>1035</v>
      </c>
      <c r="O2275" s="637" t="s">
        <v>82</v>
      </c>
      <c r="P2275" s="637" t="s">
        <v>2726</v>
      </c>
      <c r="Q2275" s="638">
        <v>5</v>
      </c>
      <c r="R2275" s="638">
        <v>5</v>
      </c>
      <c r="S2275" s="638">
        <v>0</v>
      </c>
      <c r="T2275" s="638">
        <v>0</v>
      </c>
      <c r="U2275" s="638">
        <v>-1</v>
      </c>
      <c r="V2275" s="636">
        <v>2022</v>
      </c>
      <c r="W2275" s="640"/>
      <c r="X2275" s="641" t="str">
        <f t="shared" si="105"/>
        <v/>
      </c>
      <c r="Y2275" s="642" t="str">
        <f t="shared" si="106"/>
        <v/>
      </c>
      <c r="Z2275" s="642" t="str">
        <f t="shared" si="107"/>
        <v/>
      </c>
    </row>
    <row r="2276" spans="1:26" s="127" customFormat="1" ht="25">
      <c r="A2276" s="636">
        <v>64453</v>
      </c>
      <c r="B2276" s="637" t="s">
        <v>33</v>
      </c>
      <c r="C2276" s="636" t="s">
        <v>2725</v>
      </c>
      <c r="D2276" s="637" t="s">
        <v>3383</v>
      </c>
      <c r="E2276" s="637" t="s">
        <v>3368</v>
      </c>
      <c r="F2276" s="636">
        <v>63991</v>
      </c>
      <c r="G2276" s="637" t="s">
        <v>57</v>
      </c>
      <c r="H2276" s="637" t="s">
        <v>1162</v>
      </c>
      <c r="I2276" s="637" t="s">
        <v>58</v>
      </c>
      <c r="J2276" s="636">
        <v>22</v>
      </c>
      <c r="K2276" s="636">
        <v>2</v>
      </c>
      <c r="L2276" s="637" t="s">
        <v>52</v>
      </c>
      <c r="M2276" s="637" t="s">
        <v>441</v>
      </c>
      <c r="N2276" s="637" t="s">
        <v>442</v>
      </c>
      <c r="O2276" s="637" t="s">
        <v>442</v>
      </c>
      <c r="P2276" s="637" t="s">
        <v>1156</v>
      </c>
      <c r="Q2276" s="638">
        <v>0</v>
      </c>
      <c r="R2276" s="638">
        <v>0</v>
      </c>
      <c r="S2276" s="638">
        <v>15972</v>
      </c>
      <c r="T2276" s="638">
        <v>15972</v>
      </c>
      <c r="U2276" s="638">
        <v>4681</v>
      </c>
      <c r="V2276" s="636">
        <v>2022</v>
      </c>
      <c r="W2276" s="640"/>
      <c r="X2276" s="641">
        <f t="shared" si="105"/>
        <v>3.4120914334543899</v>
      </c>
      <c r="Y2276" s="642" t="str">
        <f t="shared" si="106"/>
        <v/>
      </c>
      <c r="Z2276" s="642" t="str">
        <f t="shared" si="107"/>
        <v/>
      </c>
    </row>
    <row r="2277" spans="1:26" s="127" customFormat="1" ht="25">
      <c r="A2277" s="636">
        <v>64454</v>
      </c>
      <c r="B2277" s="637" t="s">
        <v>33</v>
      </c>
      <c r="C2277" s="636" t="s">
        <v>2725</v>
      </c>
      <c r="D2277" s="637" t="s">
        <v>3238</v>
      </c>
      <c r="E2277" s="637" t="s">
        <v>3239</v>
      </c>
      <c r="F2277" s="636">
        <v>64119</v>
      </c>
      <c r="G2277" s="637" t="s">
        <v>96</v>
      </c>
      <c r="H2277" s="637" t="s">
        <v>1163</v>
      </c>
      <c r="I2277" s="637" t="s">
        <v>58</v>
      </c>
      <c r="J2277" s="636">
        <v>22</v>
      </c>
      <c r="K2277" s="636">
        <v>2</v>
      </c>
      <c r="L2277" s="637" t="s">
        <v>52</v>
      </c>
      <c r="M2277" s="637" t="s">
        <v>441</v>
      </c>
      <c r="N2277" s="637" t="s">
        <v>442</v>
      </c>
      <c r="O2277" s="637" t="s">
        <v>442</v>
      </c>
      <c r="P2277" s="637" t="s">
        <v>1156</v>
      </c>
      <c r="Q2277" s="638">
        <v>0</v>
      </c>
      <c r="R2277" s="638">
        <v>0</v>
      </c>
      <c r="S2277" s="638">
        <v>13336</v>
      </c>
      <c r="T2277" s="638">
        <v>13336</v>
      </c>
      <c r="U2277" s="638">
        <v>3908</v>
      </c>
      <c r="V2277" s="636">
        <v>2022</v>
      </c>
      <c r="W2277" s="640"/>
      <c r="X2277" s="641">
        <f t="shared" si="105"/>
        <v>3.4124872057318321</v>
      </c>
      <c r="Y2277" s="642" t="str">
        <f t="shared" si="106"/>
        <v/>
      </c>
      <c r="Z2277" s="642" t="str">
        <f t="shared" si="107"/>
        <v/>
      </c>
    </row>
    <row r="2278" spans="1:26" s="127" customFormat="1" ht="37.5" hidden="1">
      <c r="A2278" s="636">
        <v>64515</v>
      </c>
      <c r="B2278" s="637" t="s">
        <v>33</v>
      </c>
      <c r="C2278" s="636" t="s">
        <v>2725</v>
      </c>
      <c r="D2278" s="637" t="s">
        <v>3240</v>
      </c>
      <c r="E2278" s="637" t="s">
        <v>3241</v>
      </c>
      <c r="F2278" s="636">
        <v>64153</v>
      </c>
      <c r="G2278" s="637" t="s">
        <v>41</v>
      </c>
      <c r="H2278" s="637" t="s">
        <v>1163</v>
      </c>
      <c r="I2278" s="637" t="s">
        <v>58</v>
      </c>
      <c r="J2278" s="636">
        <v>622</v>
      </c>
      <c r="K2278" s="636">
        <v>4</v>
      </c>
      <c r="L2278" s="637" t="s">
        <v>406</v>
      </c>
      <c r="M2278" s="637" t="s">
        <v>51</v>
      </c>
      <c r="N2278" s="637" t="s">
        <v>46</v>
      </c>
      <c r="O2278" s="637" t="s">
        <v>46</v>
      </c>
      <c r="P2278" s="637" t="s">
        <v>47</v>
      </c>
      <c r="Q2278" s="638">
        <v>141</v>
      </c>
      <c r="R2278" s="638">
        <v>141</v>
      </c>
      <c r="S2278" s="638">
        <v>834</v>
      </c>
      <c r="T2278" s="638">
        <v>834</v>
      </c>
      <c r="U2278" s="638">
        <v>84</v>
      </c>
      <c r="V2278" s="636">
        <v>2022</v>
      </c>
      <c r="W2278" s="640"/>
      <c r="X2278" s="641" t="str">
        <f t="shared" si="105"/>
        <v/>
      </c>
      <c r="Y2278" s="642" t="str">
        <f t="shared" si="106"/>
        <v/>
      </c>
      <c r="Z2278" s="642" t="str">
        <f t="shared" si="107"/>
        <v/>
      </c>
    </row>
    <row r="2279" spans="1:26" s="127" customFormat="1" ht="25">
      <c r="A2279" s="636">
        <v>64525</v>
      </c>
      <c r="B2279" s="637" t="s">
        <v>33</v>
      </c>
      <c r="C2279" s="636" t="s">
        <v>2725</v>
      </c>
      <c r="D2279" s="637" t="s">
        <v>3242</v>
      </c>
      <c r="E2279" s="637" t="s">
        <v>3109</v>
      </c>
      <c r="F2279" s="636">
        <v>62923</v>
      </c>
      <c r="G2279" s="637" t="s">
        <v>57</v>
      </c>
      <c r="H2279" s="637" t="s">
        <v>1162</v>
      </c>
      <c r="I2279" s="637" t="s">
        <v>58</v>
      </c>
      <c r="J2279" s="636">
        <v>22</v>
      </c>
      <c r="K2279" s="636">
        <v>2</v>
      </c>
      <c r="L2279" s="637" t="s">
        <v>52</v>
      </c>
      <c r="M2279" s="637" t="s">
        <v>441</v>
      </c>
      <c r="N2279" s="637" t="s">
        <v>442</v>
      </c>
      <c r="O2279" s="637" t="s">
        <v>442</v>
      </c>
      <c r="P2279" s="637" t="s">
        <v>1156</v>
      </c>
      <c r="Q2279" s="638">
        <v>0</v>
      </c>
      <c r="R2279" s="638">
        <v>0</v>
      </c>
      <c r="S2279" s="638">
        <v>28538</v>
      </c>
      <c r="T2279" s="638">
        <v>28538</v>
      </c>
      <c r="U2279" s="638">
        <v>8364</v>
      </c>
      <c r="V2279" s="636">
        <v>2022</v>
      </c>
      <c r="W2279" s="640"/>
      <c r="X2279" s="641">
        <f t="shared" si="105"/>
        <v>3.4120038259206122</v>
      </c>
      <c r="Y2279" s="642" t="str">
        <f t="shared" si="106"/>
        <v/>
      </c>
      <c r="Z2279" s="642" t="str">
        <f t="shared" si="107"/>
        <v/>
      </c>
    </row>
    <row r="2280" spans="1:26" s="127" customFormat="1" ht="25">
      <c r="A2280" s="636">
        <v>64526</v>
      </c>
      <c r="B2280" s="637" t="s">
        <v>33</v>
      </c>
      <c r="C2280" s="636" t="s">
        <v>2725</v>
      </c>
      <c r="D2280" s="637" t="s">
        <v>3384</v>
      </c>
      <c r="E2280" s="637" t="s">
        <v>3385</v>
      </c>
      <c r="F2280" s="636">
        <v>62915</v>
      </c>
      <c r="G2280" s="637" t="s">
        <v>81</v>
      </c>
      <c r="H2280" s="637" t="s">
        <v>1163</v>
      </c>
      <c r="I2280" s="637" t="s">
        <v>58</v>
      </c>
      <c r="J2280" s="636">
        <v>22</v>
      </c>
      <c r="K2280" s="636">
        <v>2</v>
      </c>
      <c r="L2280" s="637" t="s">
        <v>52</v>
      </c>
      <c r="M2280" s="637" t="s">
        <v>441</v>
      </c>
      <c r="N2280" s="637" t="s">
        <v>442</v>
      </c>
      <c r="O2280" s="637" t="s">
        <v>442</v>
      </c>
      <c r="P2280" s="637" t="s">
        <v>1156</v>
      </c>
      <c r="Q2280" s="638">
        <v>0</v>
      </c>
      <c r="R2280" s="638">
        <v>0</v>
      </c>
      <c r="S2280" s="638">
        <v>3473</v>
      </c>
      <c r="T2280" s="638">
        <v>3473</v>
      </c>
      <c r="U2280" s="638">
        <v>1018</v>
      </c>
      <c r="V2280" s="636">
        <v>2022</v>
      </c>
      <c r="W2280" s="640"/>
      <c r="X2280" s="641">
        <f t="shared" si="105"/>
        <v>3.4115913555992141</v>
      </c>
      <c r="Y2280" s="642" t="str">
        <f t="shared" si="106"/>
        <v/>
      </c>
      <c r="Z2280" s="642" t="str">
        <f t="shared" si="107"/>
        <v/>
      </c>
    </row>
    <row r="2281" spans="1:26" s="127" customFormat="1" ht="25">
      <c r="A2281" s="636">
        <v>64542</v>
      </c>
      <c r="B2281" s="637" t="s">
        <v>33</v>
      </c>
      <c r="C2281" s="636" t="s">
        <v>2725</v>
      </c>
      <c r="D2281" s="637" t="s">
        <v>3670</v>
      </c>
      <c r="E2281" s="637" t="s">
        <v>3671</v>
      </c>
      <c r="F2281" s="636">
        <v>64175</v>
      </c>
      <c r="G2281" s="637" t="s">
        <v>57</v>
      </c>
      <c r="H2281" s="637" t="s">
        <v>1162</v>
      </c>
      <c r="I2281" s="637" t="s">
        <v>58</v>
      </c>
      <c r="J2281" s="636">
        <v>22</v>
      </c>
      <c r="K2281" s="636">
        <v>2</v>
      </c>
      <c r="L2281" s="637" t="s">
        <v>52</v>
      </c>
      <c r="M2281" s="637" t="s">
        <v>441</v>
      </c>
      <c r="N2281" s="637" t="s">
        <v>442</v>
      </c>
      <c r="O2281" s="637" t="s">
        <v>442</v>
      </c>
      <c r="P2281" s="637" t="s">
        <v>1156</v>
      </c>
      <c r="Q2281" s="638">
        <v>0</v>
      </c>
      <c r="R2281" s="638">
        <v>0</v>
      </c>
      <c r="S2281" s="638">
        <v>2221</v>
      </c>
      <c r="T2281" s="638">
        <v>2221</v>
      </c>
      <c r="U2281" s="638">
        <v>651</v>
      </c>
      <c r="V2281" s="636">
        <v>2022</v>
      </c>
      <c r="W2281" s="640"/>
      <c r="X2281" s="641">
        <f t="shared" si="105"/>
        <v>3.4116743471582183</v>
      </c>
      <c r="Y2281" s="642" t="str">
        <f t="shared" si="106"/>
        <v/>
      </c>
      <c r="Z2281" s="642" t="str">
        <f t="shared" si="107"/>
        <v/>
      </c>
    </row>
    <row r="2282" spans="1:26" s="127" customFormat="1" ht="25">
      <c r="A2282" s="636">
        <v>64549</v>
      </c>
      <c r="B2282" s="637" t="s">
        <v>33</v>
      </c>
      <c r="C2282" s="636" t="s">
        <v>2725</v>
      </c>
      <c r="D2282" s="637" t="s">
        <v>3243</v>
      </c>
      <c r="E2282" s="637" t="s">
        <v>3244</v>
      </c>
      <c r="F2282" s="636">
        <v>64120</v>
      </c>
      <c r="G2282" s="637" t="s">
        <v>130</v>
      </c>
      <c r="H2282" s="637" t="s">
        <v>1163</v>
      </c>
      <c r="I2282" s="637" t="s">
        <v>58</v>
      </c>
      <c r="J2282" s="636">
        <v>22</v>
      </c>
      <c r="K2282" s="636">
        <v>2</v>
      </c>
      <c r="L2282" s="637" t="s">
        <v>52</v>
      </c>
      <c r="M2282" s="637" t="s">
        <v>441</v>
      </c>
      <c r="N2282" s="637" t="s">
        <v>442</v>
      </c>
      <c r="O2282" s="637" t="s">
        <v>442</v>
      </c>
      <c r="P2282" s="637" t="s">
        <v>1156</v>
      </c>
      <c r="Q2282" s="638">
        <v>0</v>
      </c>
      <c r="R2282" s="638">
        <v>0</v>
      </c>
      <c r="S2282" s="638">
        <v>14464</v>
      </c>
      <c r="T2282" s="638">
        <v>14464</v>
      </c>
      <c r="U2282" s="638">
        <v>4239</v>
      </c>
      <c r="V2282" s="636">
        <v>2022</v>
      </c>
      <c r="W2282" s="640"/>
      <c r="X2282" s="641">
        <f t="shared" si="105"/>
        <v>3.4121255012974756</v>
      </c>
      <c r="Y2282" s="642" t="str">
        <f t="shared" si="106"/>
        <v/>
      </c>
      <c r="Z2282" s="642" t="str">
        <f t="shared" si="107"/>
        <v/>
      </c>
    </row>
    <row r="2283" spans="1:26" s="127" customFormat="1" ht="25">
      <c r="A2283" s="636">
        <v>64554</v>
      </c>
      <c r="B2283" s="637" t="s">
        <v>33</v>
      </c>
      <c r="C2283" s="636" t="s">
        <v>2725</v>
      </c>
      <c r="D2283" s="637" t="s">
        <v>3386</v>
      </c>
      <c r="E2283" s="637" t="s">
        <v>2203</v>
      </c>
      <c r="F2283" s="636">
        <v>61227</v>
      </c>
      <c r="G2283" s="637" t="s">
        <v>57</v>
      </c>
      <c r="H2283" s="637" t="s">
        <v>1162</v>
      </c>
      <c r="I2283" s="637" t="s">
        <v>58</v>
      </c>
      <c r="J2283" s="636">
        <v>22</v>
      </c>
      <c r="K2283" s="636">
        <v>2</v>
      </c>
      <c r="L2283" s="637" t="s">
        <v>52</v>
      </c>
      <c r="M2283" s="637" t="s">
        <v>441</v>
      </c>
      <c r="N2283" s="637" t="s">
        <v>442</v>
      </c>
      <c r="O2283" s="637" t="s">
        <v>442</v>
      </c>
      <c r="P2283" s="637" t="s">
        <v>1156</v>
      </c>
      <c r="Q2283" s="638">
        <v>0</v>
      </c>
      <c r="R2283" s="638">
        <v>0</v>
      </c>
      <c r="S2283" s="638">
        <v>19161</v>
      </c>
      <c r="T2283" s="638">
        <v>19161</v>
      </c>
      <c r="U2283" s="638">
        <v>5616</v>
      </c>
      <c r="V2283" s="636">
        <v>2022</v>
      </c>
      <c r="W2283" s="640"/>
      <c r="X2283" s="641">
        <f t="shared" si="105"/>
        <v>3.4118589743589745</v>
      </c>
      <c r="Y2283" s="642" t="str">
        <f t="shared" si="106"/>
        <v/>
      </c>
      <c r="Z2283" s="642" t="str">
        <f t="shared" si="107"/>
        <v/>
      </c>
    </row>
    <row r="2284" spans="1:26" s="127" customFormat="1" ht="25">
      <c r="A2284" s="636">
        <v>64555</v>
      </c>
      <c r="B2284" s="637" t="s">
        <v>33</v>
      </c>
      <c r="C2284" s="636" t="s">
        <v>2725</v>
      </c>
      <c r="D2284" s="637" t="s">
        <v>3387</v>
      </c>
      <c r="E2284" s="637" t="s">
        <v>2203</v>
      </c>
      <c r="F2284" s="636">
        <v>61227</v>
      </c>
      <c r="G2284" s="637" t="s">
        <v>57</v>
      </c>
      <c r="H2284" s="637" t="s">
        <v>1162</v>
      </c>
      <c r="I2284" s="637" t="s">
        <v>58</v>
      </c>
      <c r="J2284" s="636">
        <v>22</v>
      </c>
      <c r="K2284" s="636">
        <v>2</v>
      </c>
      <c r="L2284" s="637" t="s">
        <v>52</v>
      </c>
      <c r="M2284" s="637" t="s">
        <v>441</v>
      </c>
      <c r="N2284" s="637" t="s">
        <v>442</v>
      </c>
      <c r="O2284" s="637" t="s">
        <v>442</v>
      </c>
      <c r="P2284" s="637" t="s">
        <v>1156</v>
      </c>
      <c r="Q2284" s="638">
        <v>0</v>
      </c>
      <c r="R2284" s="638">
        <v>0</v>
      </c>
      <c r="S2284" s="638">
        <v>21011</v>
      </c>
      <c r="T2284" s="638">
        <v>21011</v>
      </c>
      <c r="U2284" s="638">
        <v>6158</v>
      </c>
      <c r="V2284" s="636">
        <v>2022</v>
      </c>
      <c r="W2284" s="640"/>
      <c r="X2284" s="641">
        <f t="shared" si="105"/>
        <v>3.4119844105228969</v>
      </c>
      <c r="Y2284" s="642" t="str">
        <f t="shared" si="106"/>
        <v/>
      </c>
      <c r="Z2284" s="642" t="str">
        <f t="shared" si="107"/>
        <v/>
      </c>
    </row>
    <row r="2285" spans="1:26" s="127" customFormat="1" ht="25">
      <c r="A2285" s="636">
        <v>64556</v>
      </c>
      <c r="B2285" s="637" t="s">
        <v>33</v>
      </c>
      <c r="C2285" s="636" t="s">
        <v>2725</v>
      </c>
      <c r="D2285" s="637" t="s">
        <v>3388</v>
      </c>
      <c r="E2285" s="637" t="s">
        <v>2203</v>
      </c>
      <c r="F2285" s="636">
        <v>61227</v>
      </c>
      <c r="G2285" s="637" t="s">
        <v>57</v>
      </c>
      <c r="H2285" s="637" t="s">
        <v>1162</v>
      </c>
      <c r="I2285" s="637" t="s">
        <v>58</v>
      </c>
      <c r="J2285" s="636">
        <v>22</v>
      </c>
      <c r="K2285" s="636">
        <v>2</v>
      </c>
      <c r="L2285" s="637" t="s">
        <v>52</v>
      </c>
      <c r="M2285" s="637" t="s">
        <v>441</v>
      </c>
      <c r="N2285" s="637" t="s">
        <v>442</v>
      </c>
      <c r="O2285" s="637" t="s">
        <v>442</v>
      </c>
      <c r="P2285" s="637" t="s">
        <v>1156</v>
      </c>
      <c r="Q2285" s="638">
        <v>0</v>
      </c>
      <c r="R2285" s="638">
        <v>0</v>
      </c>
      <c r="S2285" s="638">
        <v>26781</v>
      </c>
      <c r="T2285" s="638">
        <v>26781</v>
      </c>
      <c r="U2285" s="638">
        <v>7849</v>
      </c>
      <c r="V2285" s="636">
        <v>2022</v>
      </c>
      <c r="W2285" s="640"/>
      <c r="X2285" s="641">
        <f t="shared" si="105"/>
        <v>3.412027009810167</v>
      </c>
      <c r="Y2285" s="642" t="str">
        <f t="shared" si="106"/>
        <v/>
      </c>
      <c r="Z2285" s="642" t="str">
        <f t="shared" si="107"/>
        <v/>
      </c>
    </row>
    <row r="2286" spans="1:26" s="127" customFormat="1" ht="25">
      <c r="A2286" s="636">
        <v>64557</v>
      </c>
      <c r="B2286" s="637" t="s">
        <v>33</v>
      </c>
      <c r="C2286" s="636" t="s">
        <v>2725</v>
      </c>
      <c r="D2286" s="637" t="s">
        <v>3672</v>
      </c>
      <c r="E2286" s="637" t="s">
        <v>2203</v>
      </c>
      <c r="F2286" s="636">
        <v>61227</v>
      </c>
      <c r="G2286" s="637" t="s">
        <v>57</v>
      </c>
      <c r="H2286" s="637" t="s">
        <v>1162</v>
      </c>
      <c r="I2286" s="637" t="s">
        <v>58</v>
      </c>
      <c r="J2286" s="636">
        <v>22</v>
      </c>
      <c r="K2286" s="636">
        <v>2</v>
      </c>
      <c r="L2286" s="637" t="s">
        <v>52</v>
      </c>
      <c r="M2286" s="637" t="s">
        <v>441</v>
      </c>
      <c r="N2286" s="637" t="s">
        <v>442</v>
      </c>
      <c r="O2286" s="637" t="s">
        <v>442</v>
      </c>
      <c r="P2286" s="637" t="s">
        <v>1156</v>
      </c>
      <c r="Q2286" s="638">
        <v>0</v>
      </c>
      <c r="R2286" s="638">
        <v>0</v>
      </c>
      <c r="S2286" s="638">
        <v>25260</v>
      </c>
      <c r="T2286" s="638">
        <v>25260</v>
      </c>
      <c r="U2286" s="638">
        <v>7403</v>
      </c>
      <c r="V2286" s="636">
        <v>2022</v>
      </c>
      <c r="W2286" s="640"/>
      <c r="X2286" s="641">
        <f t="shared" si="105"/>
        <v>3.4121302174794002</v>
      </c>
      <c r="Y2286" s="642" t="str">
        <f t="shared" si="106"/>
        <v/>
      </c>
      <c r="Z2286" s="642" t="str">
        <f t="shared" si="107"/>
        <v/>
      </c>
    </row>
    <row r="2287" spans="1:26" s="127" customFormat="1" ht="25">
      <c r="A2287" s="636">
        <v>64559</v>
      </c>
      <c r="B2287" s="637" t="s">
        <v>33</v>
      </c>
      <c r="C2287" s="636" t="s">
        <v>2725</v>
      </c>
      <c r="D2287" s="637" t="s">
        <v>3389</v>
      </c>
      <c r="E2287" s="637" t="s">
        <v>3390</v>
      </c>
      <c r="F2287" s="636">
        <v>64187</v>
      </c>
      <c r="G2287" s="637" t="s">
        <v>41</v>
      </c>
      <c r="H2287" s="637" t="s">
        <v>1163</v>
      </c>
      <c r="I2287" s="637" t="s">
        <v>58</v>
      </c>
      <c r="J2287" s="636">
        <v>22</v>
      </c>
      <c r="K2287" s="636">
        <v>2</v>
      </c>
      <c r="L2287" s="637" t="s">
        <v>52</v>
      </c>
      <c r="M2287" s="637" t="s">
        <v>441</v>
      </c>
      <c r="N2287" s="637" t="s">
        <v>442</v>
      </c>
      <c r="O2287" s="637" t="s">
        <v>442</v>
      </c>
      <c r="P2287" s="637" t="s">
        <v>1156</v>
      </c>
      <c r="Q2287" s="638">
        <v>0</v>
      </c>
      <c r="R2287" s="638">
        <v>0</v>
      </c>
      <c r="S2287" s="638">
        <v>74164</v>
      </c>
      <c r="T2287" s="638">
        <v>74164</v>
      </c>
      <c r="U2287" s="638">
        <v>21736</v>
      </c>
      <c r="V2287" s="636">
        <v>2022</v>
      </c>
      <c r="W2287" s="640"/>
      <c r="X2287" s="641">
        <f t="shared" si="105"/>
        <v>3.4120353330879647</v>
      </c>
      <c r="Y2287" s="642" t="str">
        <f t="shared" si="106"/>
        <v/>
      </c>
      <c r="Z2287" s="642" t="str">
        <f t="shared" si="107"/>
        <v/>
      </c>
    </row>
    <row r="2288" spans="1:26" s="127" customFormat="1" ht="25">
      <c r="A2288" s="636">
        <v>64560</v>
      </c>
      <c r="B2288" s="637" t="s">
        <v>33</v>
      </c>
      <c r="C2288" s="636" t="s">
        <v>2725</v>
      </c>
      <c r="D2288" s="637" t="s">
        <v>3391</v>
      </c>
      <c r="E2288" s="637" t="s">
        <v>3392</v>
      </c>
      <c r="F2288" s="636">
        <v>64189</v>
      </c>
      <c r="G2288" s="637" t="s">
        <v>57</v>
      </c>
      <c r="H2288" s="637" t="s">
        <v>1162</v>
      </c>
      <c r="I2288" s="637" t="s">
        <v>58</v>
      </c>
      <c r="J2288" s="636">
        <v>22</v>
      </c>
      <c r="K2288" s="636">
        <v>2</v>
      </c>
      <c r="L2288" s="637" t="s">
        <v>52</v>
      </c>
      <c r="M2288" s="637" t="s">
        <v>441</v>
      </c>
      <c r="N2288" s="637" t="s">
        <v>442</v>
      </c>
      <c r="O2288" s="637" t="s">
        <v>442</v>
      </c>
      <c r="P2288" s="637" t="s">
        <v>1156</v>
      </c>
      <c r="Q2288" s="638">
        <v>0</v>
      </c>
      <c r="R2288" s="638">
        <v>0</v>
      </c>
      <c r="S2288" s="638">
        <v>20940</v>
      </c>
      <c r="T2288" s="638">
        <v>20940</v>
      </c>
      <c r="U2288" s="638">
        <v>6137</v>
      </c>
      <c r="V2288" s="636">
        <v>2022</v>
      </c>
      <c r="W2288" s="640"/>
      <c r="X2288" s="641">
        <f t="shared" si="105"/>
        <v>3.4120905980120582</v>
      </c>
      <c r="Y2288" s="642" t="str">
        <f t="shared" si="106"/>
        <v/>
      </c>
      <c r="Z2288" s="642" t="str">
        <f t="shared" si="107"/>
        <v/>
      </c>
    </row>
    <row r="2289" spans="1:26" s="127" customFormat="1" ht="25">
      <c r="A2289" s="636">
        <v>64561</v>
      </c>
      <c r="B2289" s="637" t="s">
        <v>33</v>
      </c>
      <c r="C2289" s="636" t="s">
        <v>2725</v>
      </c>
      <c r="D2289" s="637" t="s">
        <v>3393</v>
      </c>
      <c r="E2289" s="637" t="s">
        <v>3394</v>
      </c>
      <c r="F2289" s="636">
        <v>64190</v>
      </c>
      <c r="G2289" s="637" t="s">
        <v>57</v>
      </c>
      <c r="H2289" s="637" t="s">
        <v>1162</v>
      </c>
      <c r="I2289" s="637" t="s">
        <v>58</v>
      </c>
      <c r="J2289" s="636">
        <v>22</v>
      </c>
      <c r="K2289" s="636">
        <v>2</v>
      </c>
      <c r="L2289" s="637" t="s">
        <v>52</v>
      </c>
      <c r="M2289" s="637" t="s">
        <v>441</v>
      </c>
      <c r="N2289" s="637" t="s">
        <v>442</v>
      </c>
      <c r="O2289" s="637" t="s">
        <v>442</v>
      </c>
      <c r="P2289" s="637" t="s">
        <v>1156</v>
      </c>
      <c r="Q2289" s="638">
        <v>0</v>
      </c>
      <c r="R2289" s="638">
        <v>0</v>
      </c>
      <c r="S2289" s="638">
        <v>20940</v>
      </c>
      <c r="T2289" s="638">
        <v>20940</v>
      </c>
      <c r="U2289" s="638">
        <v>6137</v>
      </c>
      <c r="V2289" s="636">
        <v>2022</v>
      </c>
      <c r="W2289" s="640"/>
      <c r="X2289" s="641">
        <f t="shared" si="105"/>
        <v>3.4120905980120582</v>
      </c>
      <c r="Y2289" s="642" t="str">
        <f t="shared" si="106"/>
        <v/>
      </c>
      <c r="Z2289" s="642" t="str">
        <f t="shared" si="107"/>
        <v/>
      </c>
    </row>
    <row r="2290" spans="1:26" s="127" customFormat="1" ht="25">
      <c r="A2290" s="636">
        <v>64562</v>
      </c>
      <c r="B2290" s="637" t="s">
        <v>33</v>
      </c>
      <c r="C2290" s="636" t="s">
        <v>2725</v>
      </c>
      <c r="D2290" s="637" t="s">
        <v>3395</v>
      </c>
      <c r="E2290" s="637" t="s">
        <v>3396</v>
      </c>
      <c r="F2290" s="636">
        <v>64193</v>
      </c>
      <c r="G2290" s="637" t="s">
        <v>57</v>
      </c>
      <c r="H2290" s="637" t="s">
        <v>1162</v>
      </c>
      <c r="I2290" s="637" t="s">
        <v>58</v>
      </c>
      <c r="J2290" s="636">
        <v>22</v>
      </c>
      <c r="K2290" s="636">
        <v>2</v>
      </c>
      <c r="L2290" s="637" t="s">
        <v>52</v>
      </c>
      <c r="M2290" s="637" t="s">
        <v>441</v>
      </c>
      <c r="N2290" s="637" t="s">
        <v>442</v>
      </c>
      <c r="O2290" s="637" t="s">
        <v>442</v>
      </c>
      <c r="P2290" s="637" t="s">
        <v>1156</v>
      </c>
      <c r="Q2290" s="638">
        <v>0</v>
      </c>
      <c r="R2290" s="638">
        <v>0</v>
      </c>
      <c r="S2290" s="638">
        <v>7072</v>
      </c>
      <c r="T2290" s="638">
        <v>7072</v>
      </c>
      <c r="U2290" s="638">
        <v>2073</v>
      </c>
      <c r="V2290" s="636">
        <v>2022</v>
      </c>
      <c r="W2290" s="640"/>
      <c r="X2290" s="641">
        <f t="shared" si="105"/>
        <v>3.4114809454896284</v>
      </c>
      <c r="Y2290" s="642" t="str">
        <f t="shared" si="106"/>
        <v/>
      </c>
      <c r="Z2290" s="642" t="str">
        <f t="shared" si="107"/>
        <v/>
      </c>
    </row>
    <row r="2291" spans="1:26" s="127" customFormat="1" ht="25">
      <c r="A2291" s="636">
        <v>64572</v>
      </c>
      <c r="B2291" s="637" t="s">
        <v>33</v>
      </c>
      <c r="C2291" s="636" t="s">
        <v>2725</v>
      </c>
      <c r="D2291" s="637" t="s">
        <v>3245</v>
      </c>
      <c r="E2291" s="637" t="s">
        <v>3246</v>
      </c>
      <c r="F2291" s="636">
        <v>64197</v>
      </c>
      <c r="G2291" s="637" t="s">
        <v>81</v>
      </c>
      <c r="H2291" s="637" t="s">
        <v>1163</v>
      </c>
      <c r="I2291" s="637" t="s">
        <v>58</v>
      </c>
      <c r="J2291" s="636">
        <v>22</v>
      </c>
      <c r="K2291" s="636">
        <v>2</v>
      </c>
      <c r="L2291" s="637" t="s">
        <v>52</v>
      </c>
      <c r="M2291" s="637" t="s">
        <v>441</v>
      </c>
      <c r="N2291" s="637" t="s">
        <v>442</v>
      </c>
      <c r="O2291" s="637" t="s">
        <v>442</v>
      </c>
      <c r="P2291" s="637" t="s">
        <v>1156</v>
      </c>
      <c r="Q2291" s="638">
        <v>0</v>
      </c>
      <c r="R2291" s="638">
        <v>0</v>
      </c>
      <c r="S2291" s="638">
        <v>28933</v>
      </c>
      <c r="T2291" s="638">
        <v>28933</v>
      </c>
      <c r="U2291" s="638">
        <v>8480</v>
      </c>
      <c r="V2291" s="636">
        <v>2022</v>
      </c>
      <c r="W2291" s="640"/>
      <c r="X2291" s="641">
        <f t="shared" si="105"/>
        <v>3.4119103773584905</v>
      </c>
      <c r="Y2291" s="642" t="str">
        <f t="shared" si="106"/>
        <v/>
      </c>
      <c r="Z2291" s="642" t="str">
        <f t="shared" si="107"/>
        <v/>
      </c>
    </row>
    <row r="2292" spans="1:26" s="127" customFormat="1" ht="25">
      <c r="A2292" s="636">
        <v>64573</v>
      </c>
      <c r="B2292" s="637" t="s">
        <v>33</v>
      </c>
      <c r="C2292" s="636" t="s">
        <v>2725</v>
      </c>
      <c r="D2292" s="637" t="s">
        <v>3247</v>
      </c>
      <c r="E2292" s="637" t="s">
        <v>3248</v>
      </c>
      <c r="F2292" s="636">
        <v>64198</v>
      </c>
      <c r="G2292" s="637" t="s">
        <v>81</v>
      </c>
      <c r="H2292" s="637" t="s">
        <v>1163</v>
      </c>
      <c r="I2292" s="637" t="s">
        <v>58</v>
      </c>
      <c r="J2292" s="636">
        <v>22</v>
      </c>
      <c r="K2292" s="636">
        <v>2</v>
      </c>
      <c r="L2292" s="637" t="s">
        <v>52</v>
      </c>
      <c r="M2292" s="637" t="s">
        <v>441</v>
      </c>
      <c r="N2292" s="637" t="s">
        <v>442</v>
      </c>
      <c r="O2292" s="637" t="s">
        <v>442</v>
      </c>
      <c r="P2292" s="637" t="s">
        <v>1156</v>
      </c>
      <c r="Q2292" s="638">
        <v>0</v>
      </c>
      <c r="R2292" s="638">
        <v>0</v>
      </c>
      <c r="S2292" s="638">
        <v>8194</v>
      </c>
      <c r="T2292" s="638">
        <v>8194</v>
      </c>
      <c r="U2292" s="638">
        <v>2401</v>
      </c>
      <c r="V2292" s="636">
        <v>2022</v>
      </c>
      <c r="W2292" s="640"/>
      <c r="X2292" s="641">
        <f t="shared" si="105"/>
        <v>3.4127446897126199</v>
      </c>
      <c r="Y2292" s="642" t="str">
        <f t="shared" si="106"/>
        <v/>
      </c>
      <c r="Z2292" s="642" t="str">
        <f t="shared" si="107"/>
        <v/>
      </c>
    </row>
    <row r="2293" spans="1:26" s="127" customFormat="1" ht="25">
      <c r="A2293" s="636">
        <v>64574</v>
      </c>
      <c r="B2293" s="637" t="s">
        <v>33</v>
      </c>
      <c r="C2293" s="636" t="s">
        <v>2725</v>
      </c>
      <c r="D2293" s="637" t="s">
        <v>3249</v>
      </c>
      <c r="E2293" s="637" t="s">
        <v>3250</v>
      </c>
      <c r="F2293" s="636">
        <v>64200</v>
      </c>
      <c r="G2293" s="637" t="s">
        <v>81</v>
      </c>
      <c r="H2293" s="637" t="s">
        <v>1163</v>
      </c>
      <c r="I2293" s="637" t="s">
        <v>58</v>
      </c>
      <c r="J2293" s="636">
        <v>22</v>
      </c>
      <c r="K2293" s="636">
        <v>2</v>
      </c>
      <c r="L2293" s="637" t="s">
        <v>52</v>
      </c>
      <c r="M2293" s="637" t="s">
        <v>441</v>
      </c>
      <c r="N2293" s="637" t="s">
        <v>442</v>
      </c>
      <c r="O2293" s="637" t="s">
        <v>442</v>
      </c>
      <c r="P2293" s="637" t="s">
        <v>1156</v>
      </c>
      <c r="Q2293" s="638">
        <v>0</v>
      </c>
      <c r="R2293" s="638">
        <v>0</v>
      </c>
      <c r="S2293" s="638">
        <v>9523</v>
      </c>
      <c r="T2293" s="638">
        <v>9523</v>
      </c>
      <c r="U2293" s="638">
        <v>2791</v>
      </c>
      <c r="V2293" s="636">
        <v>2022</v>
      </c>
      <c r="W2293" s="640"/>
      <c r="X2293" s="641">
        <f t="shared" si="105"/>
        <v>3.4120386958079543</v>
      </c>
      <c r="Y2293" s="642" t="str">
        <f t="shared" si="106"/>
        <v/>
      </c>
      <c r="Z2293" s="642" t="str">
        <f t="shared" si="107"/>
        <v/>
      </c>
    </row>
    <row r="2294" spans="1:26" s="127" customFormat="1" ht="25">
      <c r="A2294" s="636">
        <v>64575</v>
      </c>
      <c r="B2294" s="637" t="s">
        <v>33</v>
      </c>
      <c r="C2294" s="636" t="s">
        <v>2725</v>
      </c>
      <c r="D2294" s="637" t="s">
        <v>3251</v>
      </c>
      <c r="E2294" s="637" t="s">
        <v>3252</v>
      </c>
      <c r="F2294" s="636">
        <v>64201</v>
      </c>
      <c r="G2294" s="637" t="s">
        <v>81</v>
      </c>
      <c r="H2294" s="637" t="s">
        <v>1163</v>
      </c>
      <c r="I2294" s="637" t="s">
        <v>58</v>
      </c>
      <c r="J2294" s="636">
        <v>22</v>
      </c>
      <c r="K2294" s="636">
        <v>2</v>
      </c>
      <c r="L2294" s="637" t="s">
        <v>52</v>
      </c>
      <c r="M2294" s="637" t="s">
        <v>441</v>
      </c>
      <c r="N2294" s="637" t="s">
        <v>442</v>
      </c>
      <c r="O2294" s="637" t="s">
        <v>442</v>
      </c>
      <c r="P2294" s="637" t="s">
        <v>1156</v>
      </c>
      <c r="Q2294" s="638">
        <v>0</v>
      </c>
      <c r="R2294" s="638">
        <v>0</v>
      </c>
      <c r="S2294" s="638">
        <v>13074</v>
      </c>
      <c r="T2294" s="638">
        <v>13074</v>
      </c>
      <c r="U2294" s="638">
        <v>3832</v>
      </c>
      <c r="V2294" s="636">
        <v>2022</v>
      </c>
      <c r="W2294" s="640"/>
      <c r="X2294" s="641">
        <f t="shared" si="105"/>
        <v>3.4117954070981211</v>
      </c>
      <c r="Y2294" s="642" t="str">
        <f t="shared" si="106"/>
        <v/>
      </c>
      <c r="Z2294" s="642" t="str">
        <f t="shared" si="107"/>
        <v/>
      </c>
    </row>
    <row r="2295" spans="1:26" s="127" customFormat="1" ht="25">
      <c r="A2295" s="636">
        <v>64577</v>
      </c>
      <c r="B2295" s="637" t="s">
        <v>33</v>
      </c>
      <c r="C2295" s="636" t="s">
        <v>2725</v>
      </c>
      <c r="D2295" s="637" t="s">
        <v>3397</v>
      </c>
      <c r="E2295" s="637" t="s">
        <v>3398</v>
      </c>
      <c r="F2295" s="636">
        <v>64191</v>
      </c>
      <c r="G2295" s="637" t="s">
        <v>57</v>
      </c>
      <c r="H2295" s="637" t="s">
        <v>1162</v>
      </c>
      <c r="I2295" s="637" t="s">
        <v>58</v>
      </c>
      <c r="J2295" s="636">
        <v>22</v>
      </c>
      <c r="K2295" s="636">
        <v>2</v>
      </c>
      <c r="L2295" s="637" t="s">
        <v>52</v>
      </c>
      <c r="M2295" s="637" t="s">
        <v>441</v>
      </c>
      <c r="N2295" s="637" t="s">
        <v>442</v>
      </c>
      <c r="O2295" s="637" t="s">
        <v>442</v>
      </c>
      <c r="P2295" s="637" t="s">
        <v>1156</v>
      </c>
      <c r="Q2295" s="638">
        <v>0</v>
      </c>
      <c r="R2295" s="638">
        <v>0</v>
      </c>
      <c r="S2295" s="638">
        <v>6516</v>
      </c>
      <c r="T2295" s="638">
        <v>6516</v>
      </c>
      <c r="U2295" s="638">
        <v>1910</v>
      </c>
      <c r="V2295" s="636">
        <v>2022</v>
      </c>
      <c r="W2295" s="640"/>
      <c r="X2295" s="641">
        <f t="shared" si="105"/>
        <v>3.41151832460733</v>
      </c>
      <c r="Y2295" s="642" t="str">
        <f t="shared" si="106"/>
        <v/>
      </c>
      <c r="Z2295" s="642" t="str">
        <f t="shared" si="107"/>
        <v/>
      </c>
    </row>
    <row r="2296" spans="1:26" s="127" customFormat="1" ht="25">
      <c r="A2296" s="636">
        <v>64578</v>
      </c>
      <c r="B2296" s="637" t="s">
        <v>33</v>
      </c>
      <c r="C2296" s="636" t="s">
        <v>2725</v>
      </c>
      <c r="D2296" s="637" t="s">
        <v>3399</v>
      </c>
      <c r="E2296" s="637" t="s">
        <v>3400</v>
      </c>
      <c r="F2296" s="636">
        <v>64192</v>
      </c>
      <c r="G2296" s="637" t="s">
        <v>57</v>
      </c>
      <c r="H2296" s="637" t="s">
        <v>1162</v>
      </c>
      <c r="I2296" s="637" t="s">
        <v>58</v>
      </c>
      <c r="J2296" s="636">
        <v>22</v>
      </c>
      <c r="K2296" s="636">
        <v>2</v>
      </c>
      <c r="L2296" s="637" t="s">
        <v>52</v>
      </c>
      <c r="M2296" s="637" t="s">
        <v>441</v>
      </c>
      <c r="N2296" s="637" t="s">
        <v>442</v>
      </c>
      <c r="O2296" s="637" t="s">
        <v>442</v>
      </c>
      <c r="P2296" s="637" t="s">
        <v>1156</v>
      </c>
      <c r="Q2296" s="638">
        <v>0</v>
      </c>
      <c r="R2296" s="638">
        <v>0</v>
      </c>
      <c r="S2296" s="638">
        <v>12481</v>
      </c>
      <c r="T2296" s="638">
        <v>12481</v>
      </c>
      <c r="U2296" s="638">
        <v>3658</v>
      </c>
      <c r="V2296" s="636">
        <v>2022</v>
      </c>
      <c r="W2296" s="640"/>
      <c r="X2296" s="641">
        <f t="shared" si="105"/>
        <v>3.411973756150902</v>
      </c>
      <c r="Y2296" s="642" t="str">
        <f t="shared" si="106"/>
        <v/>
      </c>
      <c r="Z2296" s="642" t="str">
        <f t="shared" si="107"/>
        <v/>
      </c>
    </row>
    <row r="2297" spans="1:26" s="127" customFormat="1" ht="25">
      <c r="A2297" s="636">
        <v>64587</v>
      </c>
      <c r="B2297" s="637" t="s">
        <v>33</v>
      </c>
      <c r="C2297" s="636" t="s">
        <v>2725</v>
      </c>
      <c r="D2297" s="637" t="s">
        <v>3253</v>
      </c>
      <c r="E2297" s="637" t="s">
        <v>3254</v>
      </c>
      <c r="F2297" s="636">
        <v>64202</v>
      </c>
      <c r="G2297" s="637" t="s">
        <v>81</v>
      </c>
      <c r="H2297" s="637" t="s">
        <v>1163</v>
      </c>
      <c r="I2297" s="637" t="s">
        <v>58</v>
      </c>
      <c r="J2297" s="636">
        <v>22</v>
      </c>
      <c r="K2297" s="636">
        <v>2</v>
      </c>
      <c r="L2297" s="637" t="s">
        <v>52</v>
      </c>
      <c r="M2297" s="637" t="s">
        <v>441</v>
      </c>
      <c r="N2297" s="637" t="s">
        <v>442</v>
      </c>
      <c r="O2297" s="637" t="s">
        <v>442</v>
      </c>
      <c r="P2297" s="637" t="s">
        <v>1156</v>
      </c>
      <c r="Q2297" s="638">
        <v>0</v>
      </c>
      <c r="R2297" s="638">
        <v>0</v>
      </c>
      <c r="S2297" s="638">
        <v>6094</v>
      </c>
      <c r="T2297" s="638">
        <v>6094</v>
      </c>
      <c r="U2297" s="638">
        <v>1786</v>
      </c>
      <c r="V2297" s="636">
        <v>2022</v>
      </c>
      <c r="W2297" s="640"/>
      <c r="X2297" s="641">
        <f t="shared" si="105"/>
        <v>3.4120940649496081</v>
      </c>
      <c r="Y2297" s="642" t="str">
        <f t="shared" si="106"/>
        <v/>
      </c>
      <c r="Z2297" s="642" t="str">
        <f t="shared" si="107"/>
        <v/>
      </c>
    </row>
    <row r="2298" spans="1:26" s="127" customFormat="1" ht="25">
      <c r="A2298" s="636">
        <v>64588</v>
      </c>
      <c r="B2298" s="637" t="s">
        <v>33</v>
      </c>
      <c r="C2298" s="636" t="s">
        <v>2725</v>
      </c>
      <c r="D2298" s="637" t="s">
        <v>3255</v>
      </c>
      <c r="E2298" s="637" t="s">
        <v>3256</v>
      </c>
      <c r="F2298" s="636">
        <v>64203</v>
      </c>
      <c r="G2298" s="637" t="s">
        <v>81</v>
      </c>
      <c r="H2298" s="637" t="s">
        <v>1163</v>
      </c>
      <c r="I2298" s="637" t="s">
        <v>58</v>
      </c>
      <c r="J2298" s="636">
        <v>22</v>
      </c>
      <c r="K2298" s="636">
        <v>2</v>
      </c>
      <c r="L2298" s="637" t="s">
        <v>52</v>
      </c>
      <c r="M2298" s="637" t="s">
        <v>441</v>
      </c>
      <c r="N2298" s="637" t="s">
        <v>442</v>
      </c>
      <c r="O2298" s="637" t="s">
        <v>442</v>
      </c>
      <c r="P2298" s="637" t="s">
        <v>1156</v>
      </c>
      <c r="Q2298" s="638">
        <v>0</v>
      </c>
      <c r="R2298" s="638">
        <v>0</v>
      </c>
      <c r="S2298" s="638">
        <v>31551</v>
      </c>
      <c r="T2298" s="638">
        <v>31551</v>
      </c>
      <c r="U2298" s="638">
        <v>9247</v>
      </c>
      <c r="V2298" s="636">
        <v>2022</v>
      </c>
      <c r="W2298" s="640"/>
      <c r="X2298" s="641">
        <f t="shared" si="105"/>
        <v>3.4120255217908513</v>
      </c>
      <c r="Y2298" s="642" t="str">
        <f t="shared" si="106"/>
        <v/>
      </c>
      <c r="Z2298" s="642" t="str">
        <f t="shared" si="107"/>
        <v/>
      </c>
    </row>
    <row r="2299" spans="1:26" s="127" customFormat="1" ht="25">
      <c r="A2299" s="636">
        <v>64589</v>
      </c>
      <c r="B2299" s="637" t="s">
        <v>33</v>
      </c>
      <c r="C2299" s="636" t="s">
        <v>2725</v>
      </c>
      <c r="D2299" s="637" t="s">
        <v>3257</v>
      </c>
      <c r="E2299" s="637" t="s">
        <v>3258</v>
      </c>
      <c r="F2299" s="636">
        <v>64204</v>
      </c>
      <c r="G2299" s="637" t="s">
        <v>81</v>
      </c>
      <c r="H2299" s="637" t="s">
        <v>1163</v>
      </c>
      <c r="I2299" s="637" t="s">
        <v>58</v>
      </c>
      <c r="J2299" s="636">
        <v>22</v>
      </c>
      <c r="K2299" s="636">
        <v>2</v>
      </c>
      <c r="L2299" s="637" t="s">
        <v>52</v>
      </c>
      <c r="M2299" s="637" t="s">
        <v>441</v>
      </c>
      <c r="N2299" s="637" t="s">
        <v>442</v>
      </c>
      <c r="O2299" s="637" t="s">
        <v>442</v>
      </c>
      <c r="P2299" s="637" t="s">
        <v>1156</v>
      </c>
      <c r="Q2299" s="638">
        <v>0</v>
      </c>
      <c r="R2299" s="638">
        <v>0</v>
      </c>
      <c r="S2299" s="638">
        <v>27123</v>
      </c>
      <c r="T2299" s="638">
        <v>27123</v>
      </c>
      <c r="U2299" s="638">
        <v>7949</v>
      </c>
      <c r="V2299" s="636">
        <v>2022</v>
      </c>
      <c r="W2299" s="640"/>
      <c r="X2299" s="641">
        <f t="shared" si="105"/>
        <v>3.4121273116115236</v>
      </c>
      <c r="Y2299" s="642" t="str">
        <f t="shared" si="106"/>
        <v/>
      </c>
      <c r="Z2299" s="642" t="str">
        <f t="shared" si="107"/>
        <v/>
      </c>
    </row>
    <row r="2300" spans="1:26" s="127" customFormat="1" ht="25">
      <c r="A2300" s="636">
        <v>64593</v>
      </c>
      <c r="B2300" s="637" t="s">
        <v>33</v>
      </c>
      <c r="C2300" s="636" t="s">
        <v>2725</v>
      </c>
      <c r="D2300" s="637" t="s">
        <v>3401</v>
      </c>
      <c r="E2300" s="637" t="s">
        <v>3402</v>
      </c>
      <c r="F2300" s="636">
        <v>64210</v>
      </c>
      <c r="G2300" s="637" t="s">
        <v>57</v>
      </c>
      <c r="H2300" s="637" t="s">
        <v>1162</v>
      </c>
      <c r="I2300" s="637" t="s">
        <v>58</v>
      </c>
      <c r="J2300" s="636">
        <v>22</v>
      </c>
      <c r="K2300" s="636">
        <v>2</v>
      </c>
      <c r="L2300" s="637" t="s">
        <v>52</v>
      </c>
      <c r="M2300" s="637" t="s">
        <v>441</v>
      </c>
      <c r="N2300" s="637" t="s">
        <v>442</v>
      </c>
      <c r="O2300" s="637" t="s">
        <v>442</v>
      </c>
      <c r="P2300" s="637" t="s">
        <v>1156</v>
      </c>
      <c r="Q2300" s="638">
        <v>0</v>
      </c>
      <c r="R2300" s="638">
        <v>0</v>
      </c>
      <c r="S2300" s="638">
        <v>27063</v>
      </c>
      <c r="T2300" s="638">
        <v>27063</v>
      </c>
      <c r="U2300" s="638">
        <v>7932</v>
      </c>
      <c r="V2300" s="636">
        <v>2022</v>
      </c>
      <c r="W2300" s="640"/>
      <c r="X2300" s="641">
        <f t="shared" si="105"/>
        <v>3.4118759455370649</v>
      </c>
      <c r="Y2300" s="642" t="str">
        <f t="shared" si="106"/>
        <v/>
      </c>
      <c r="Z2300" s="642" t="str">
        <f t="shared" si="107"/>
        <v/>
      </c>
    </row>
    <row r="2301" spans="1:26" s="127" customFormat="1" ht="25">
      <c r="A2301" s="636">
        <v>64594</v>
      </c>
      <c r="B2301" s="637" t="s">
        <v>33</v>
      </c>
      <c r="C2301" s="636" t="s">
        <v>2725</v>
      </c>
      <c r="D2301" s="637" t="s">
        <v>3403</v>
      </c>
      <c r="E2301" s="637" t="s">
        <v>3402</v>
      </c>
      <c r="F2301" s="636">
        <v>64210</v>
      </c>
      <c r="G2301" s="637" t="s">
        <v>57</v>
      </c>
      <c r="H2301" s="637" t="s">
        <v>1162</v>
      </c>
      <c r="I2301" s="637" t="s">
        <v>58</v>
      </c>
      <c r="J2301" s="636">
        <v>22</v>
      </c>
      <c r="K2301" s="636">
        <v>2</v>
      </c>
      <c r="L2301" s="637" t="s">
        <v>52</v>
      </c>
      <c r="M2301" s="637" t="s">
        <v>441</v>
      </c>
      <c r="N2301" s="637" t="s">
        <v>442</v>
      </c>
      <c r="O2301" s="637" t="s">
        <v>442</v>
      </c>
      <c r="P2301" s="637" t="s">
        <v>1156</v>
      </c>
      <c r="Q2301" s="638">
        <v>0</v>
      </c>
      <c r="R2301" s="638">
        <v>0</v>
      </c>
      <c r="S2301" s="638">
        <v>22641</v>
      </c>
      <c r="T2301" s="638">
        <v>22641</v>
      </c>
      <c r="U2301" s="638">
        <v>6636</v>
      </c>
      <c r="V2301" s="636">
        <v>2022</v>
      </c>
      <c r="W2301" s="640"/>
      <c r="X2301" s="641">
        <f t="shared" si="105"/>
        <v>3.4118444846292948</v>
      </c>
      <c r="Y2301" s="642" t="str">
        <f t="shared" si="106"/>
        <v/>
      </c>
      <c r="Z2301" s="642" t="str">
        <f t="shared" si="107"/>
        <v/>
      </c>
    </row>
    <row r="2302" spans="1:26" s="127" customFormat="1" ht="25">
      <c r="A2302" s="636">
        <v>64595</v>
      </c>
      <c r="B2302" s="637" t="s">
        <v>33</v>
      </c>
      <c r="C2302" s="636" t="s">
        <v>2725</v>
      </c>
      <c r="D2302" s="637" t="s">
        <v>3404</v>
      </c>
      <c r="E2302" s="637" t="s">
        <v>3402</v>
      </c>
      <c r="F2302" s="636">
        <v>64210</v>
      </c>
      <c r="G2302" s="637" t="s">
        <v>57</v>
      </c>
      <c r="H2302" s="637" t="s">
        <v>1162</v>
      </c>
      <c r="I2302" s="637" t="s">
        <v>58</v>
      </c>
      <c r="J2302" s="636">
        <v>22</v>
      </c>
      <c r="K2302" s="636">
        <v>2</v>
      </c>
      <c r="L2302" s="637" t="s">
        <v>52</v>
      </c>
      <c r="M2302" s="637" t="s">
        <v>441</v>
      </c>
      <c r="N2302" s="637" t="s">
        <v>442</v>
      </c>
      <c r="O2302" s="637" t="s">
        <v>442</v>
      </c>
      <c r="P2302" s="637" t="s">
        <v>1156</v>
      </c>
      <c r="Q2302" s="638">
        <v>0</v>
      </c>
      <c r="R2302" s="638">
        <v>0</v>
      </c>
      <c r="S2302" s="638">
        <v>26199</v>
      </c>
      <c r="T2302" s="638">
        <v>26199</v>
      </c>
      <c r="U2302" s="638">
        <v>7679</v>
      </c>
      <c r="V2302" s="636">
        <v>2022</v>
      </c>
      <c r="W2302" s="640"/>
      <c r="X2302" s="641">
        <f t="shared" si="105"/>
        <v>3.4117723661935146</v>
      </c>
      <c r="Y2302" s="642" t="str">
        <f t="shared" si="106"/>
        <v/>
      </c>
      <c r="Z2302" s="642" t="str">
        <f t="shared" si="107"/>
        <v/>
      </c>
    </row>
    <row r="2303" spans="1:26" s="127" customFormat="1" ht="25">
      <c r="A2303" s="636">
        <v>64603</v>
      </c>
      <c r="B2303" s="637" t="s">
        <v>33</v>
      </c>
      <c r="C2303" s="636" t="s">
        <v>2725</v>
      </c>
      <c r="D2303" s="637" t="s">
        <v>3673</v>
      </c>
      <c r="E2303" s="637" t="s">
        <v>2203</v>
      </c>
      <c r="F2303" s="636">
        <v>61227</v>
      </c>
      <c r="G2303" s="637" t="s">
        <v>130</v>
      </c>
      <c r="H2303" s="637" t="s">
        <v>1163</v>
      </c>
      <c r="I2303" s="637" t="s">
        <v>58</v>
      </c>
      <c r="J2303" s="636">
        <v>22</v>
      </c>
      <c r="K2303" s="636">
        <v>2</v>
      </c>
      <c r="L2303" s="637" t="s">
        <v>52</v>
      </c>
      <c r="M2303" s="637" t="s">
        <v>441</v>
      </c>
      <c r="N2303" s="637" t="s">
        <v>442</v>
      </c>
      <c r="O2303" s="637" t="s">
        <v>442</v>
      </c>
      <c r="P2303" s="637" t="s">
        <v>1156</v>
      </c>
      <c r="Q2303" s="638">
        <v>0</v>
      </c>
      <c r="R2303" s="638">
        <v>0</v>
      </c>
      <c r="S2303" s="638">
        <v>57006</v>
      </c>
      <c r="T2303" s="638">
        <v>57006</v>
      </c>
      <c r="U2303" s="638">
        <v>16707</v>
      </c>
      <c r="V2303" s="636">
        <v>2022</v>
      </c>
      <c r="W2303" s="640"/>
      <c r="X2303" s="641">
        <f t="shared" si="105"/>
        <v>3.4121027114383193</v>
      </c>
      <c r="Y2303" s="642" t="str">
        <f t="shared" si="106"/>
        <v/>
      </c>
      <c r="Z2303" s="642" t="str">
        <f t="shared" si="107"/>
        <v/>
      </c>
    </row>
    <row r="2304" spans="1:26" s="127" customFormat="1" ht="25">
      <c r="A2304" s="636">
        <v>64605</v>
      </c>
      <c r="B2304" s="637" t="s">
        <v>33</v>
      </c>
      <c r="C2304" s="636" t="s">
        <v>2725</v>
      </c>
      <c r="D2304" s="637" t="s">
        <v>3259</v>
      </c>
      <c r="E2304" s="637" t="s">
        <v>2203</v>
      </c>
      <c r="F2304" s="636">
        <v>61227</v>
      </c>
      <c r="G2304" s="637" t="s">
        <v>130</v>
      </c>
      <c r="H2304" s="637" t="s">
        <v>1163</v>
      </c>
      <c r="I2304" s="637" t="s">
        <v>58</v>
      </c>
      <c r="J2304" s="636">
        <v>22</v>
      </c>
      <c r="K2304" s="636">
        <v>2</v>
      </c>
      <c r="L2304" s="637" t="s">
        <v>52</v>
      </c>
      <c r="M2304" s="637" t="s">
        <v>441</v>
      </c>
      <c r="N2304" s="637" t="s">
        <v>442</v>
      </c>
      <c r="O2304" s="637" t="s">
        <v>442</v>
      </c>
      <c r="P2304" s="637" t="s">
        <v>1156</v>
      </c>
      <c r="Q2304" s="638">
        <v>0</v>
      </c>
      <c r="R2304" s="638">
        <v>0</v>
      </c>
      <c r="S2304" s="638">
        <v>32465</v>
      </c>
      <c r="T2304" s="638">
        <v>32465</v>
      </c>
      <c r="U2304" s="638">
        <v>9515</v>
      </c>
      <c r="V2304" s="636">
        <v>2022</v>
      </c>
      <c r="W2304" s="640"/>
      <c r="X2304" s="641">
        <f t="shared" si="105"/>
        <v>3.4119810825013137</v>
      </c>
      <c r="Y2304" s="642" t="str">
        <f t="shared" si="106"/>
        <v/>
      </c>
      <c r="Z2304" s="642" t="str">
        <f t="shared" si="107"/>
        <v/>
      </c>
    </row>
    <row r="2305" spans="1:26" s="127" customFormat="1" ht="25">
      <c r="A2305" s="636">
        <v>64617</v>
      </c>
      <c r="B2305" s="637" t="s">
        <v>33</v>
      </c>
      <c r="C2305" s="636" t="s">
        <v>2725</v>
      </c>
      <c r="D2305" s="637" t="s">
        <v>3405</v>
      </c>
      <c r="E2305" s="637" t="s">
        <v>3406</v>
      </c>
      <c r="F2305" s="636">
        <v>64234</v>
      </c>
      <c r="G2305" s="637" t="s">
        <v>81</v>
      </c>
      <c r="H2305" s="637" t="s">
        <v>1163</v>
      </c>
      <c r="I2305" s="637" t="s">
        <v>58</v>
      </c>
      <c r="J2305" s="636">
        <v>22</v>
      </c>
      <c r="K2305" s="636">
        <v>2</v>
      </c>
      <c r="L2305" s="637" t="s">
        <v>52</v>
      </c>
      <c r="M2305" s="637" t="s">
        <v>1852</v>
      </c>
      <c r="N2305" s="637" t="s">
        <v>1035</v>
      </c>
      <c r="O2305" s="637" t="s">
        <v>82</v>
      </c>
      <c r="P2305" s="637" t="s">
        <v>2726</v>
      </c>
      <c r="Q2305" s="638">
        <v>2505</v>
      </c>
      <c r="R2305" s="638">
        <v>2505</v>
      </c>
      <c r="S2305" s="638">
        <v>0</v>
      </c>
      <c r="T2305" s="638">
        <v>0</v>
      </c>
      <c r="U2305" s="638">
        <v>-257</v>
      </c>
      <c r="V2305" s="636">
        <v>2022</v>
      </c>
      <c r="W2305" s="640"/>
      <c r="X2305" s="641" t="str">
        <f t="shared" si="105"/>
        <v/>
      </c>
      <c r="Y2305" s="642" t="str">
        <f t="shared" si="106"/>
        <v/>
      </c>
      <c r="Z2305" s="642" t="str">
        <f t="shared" si="107"/>
        <v/>
      </c>
    </row>
    <row r="2306" spans="1:26" s="127" customFormat="1" ht="25">
      <c r="A2306" s="636">
        <v>64617</v>
      </c>
      <c r="B2306" s="637" t="s">
        <v>33</v>
      </c>
      <c r="C2306" s="636" t="s">
        <v>2725</v>
      </c>
      <c r="D2306" s="637" t="s">
        <v>3405</v>
      </c>
      <c r="E2306" s="637" t="s">
        <v>3406</v>
      </c>
      <c r="F2306" s="636">
        <v>64234</v>
      </c>
      <c r="G2306" s="637" t="s">
        <v>81</v>
      </c>
      <c r="H2306" s="637" t="s">
        <v>1163</v>
      </c>
      <c r="I2306" s="637" t="s">
        <v>58</v>
      </c>
      <c r="J2306" s="636">
        <v>22</v>
      </c>
      <c r="K2306" s="636">
        <v>2</v>
      </c>
      <c r="L2306" s="637" t="s">
        <v>52</v>
      </c>
      <c r="M2306" s="637" t="s">
        <v>441</v>
      </c>
      <c r="N2306" s="637" t="s">
        <v>442</v>
      </c>
      <c r="O2306" s="637" t="s">
        <v>442</v>
      </c>
      <c r="P2306" s="637" t="s">
        <v>1156</v>
      </c>
      <c r="Q2306" s="638">
        <v>0</v>
      </c>
      <c r="R2306" s="638">
        <v>0</v>
      </c>
      <c r="S2306" s="638">
        <v>26619</v>
      </c>
      <c r="T2306" s="638">
        <v>26619</v>
      </c>
      <c r="U2306" s="638">
        <v>7802</v>
      </c>
      <c r="V2306" s="636">
        <v>2022</v>
      </c>
      <c r="W2306" s="640"/>
      <c r="X2306" s="641">
        <f t="shared" si="105"/>
        <v>3.4118174826967445</v>
      </c>
      <c r="Y2306" s="642" t="str">
        <f t="shared" si="106"/>
        <v/>
      </c>
      <c r="Z2306" s="642" t="str">
        <f t="shared" si="107"/>
        <v/>
      </c>
    </row>
    <row r="2307" spans="1:26" s="127" customFormat="1" ht="25">
      <c r="A2307" s="636">
        <v>64618</v>
      </c>
      <c r="B2307" s="637" t="s">
        <v>33</v>
      </c>
      <c r="C2307" s="636" t="s">
        <v>2725</v>
      </c>
      <c r="D2307" s="637" t="s">
        <v>3407</v>
      </c>
      <c r="E2307" s="637" t="s">
        <v>3408</v>
      </c>
      <c r="F2307" s="636">
        <v>64235</v>
      </c>
      <c r="G2307" s="637" t="s">
        <v>81</v>
      </c>
      <c r="H2307" s="637" t="s">
        <v>1163</v>
      </c>
      <c r="I2307" s="637" t="s">
        <v>58</v>
      </c>
      <c r="J2307" s="636">
        <v>22</v>
      </c>
      <c r="K2307" s="636">
        <v>2</v>
      </c>
      <c r="L2307" s="637" t="s">
        <v>52</v>
      </c>
      <c r="M2307" s="637" t="s">
        <v>1852</v>
      </c>
      <c r="N2307" s="637" t="s">
        <v>1035</v>
      </c>
      <c r="O2307" s="637" t="s">
        <v>82</v>
      </c>
      <c r="P2307" s="637" t="s">
        <v>2726</v>
      </c>
      <c r="Q2307" s="638">
        <v>1350</v>
      </c>
      <c r="R2307" s="638">
        <v>1350</v>
      </c>
      <c r="S2307" s="638">
        <v>0</v>
      </c>
      <c r="T2307" s="638">
        <v>0</v>
      </c>
      <c r="U2307" s="638">
        <v>-271</v>
      </c>
      <c r="V2307" s="636">
        <v>2022</v>
      </c>
      <c r="W2307" s="640"/>
      <c r="X2307" s="641" t="str">
        <f t="shared" si="105"/>
        <v/>
      </c>
      <c r="Y2307" s="642" t="str">
        <f t="shared" si="106"/>
        <v/>
      </c>
      <c r="Z2307" s="642" t="str">
        <f t="shared" si="107"/>
        <v/>
      </c>
    </row>
    <row r="2308" spans="1:26" s="127" customFormat="1" ht="25">
      <c r="A2308" s="636">
        <v>64618</v>
      </c>
      <c r="B2308" s="637" t="s">
        <v>33</v>
      </c>
      <c r="C2308" s="636" t="s">
        <v>2725</v>
      </c>
      <c r="D2308" s="637" t="s">
        <v>3407</v>
      </c>
      <c r="E2308" s="637" t="s">
        <v>3408</v>
      </c>
      <c r="F2308" s="636">
        <v>64235</v>
      </c>
      <c r="G2308" s="637" t="s">
        <v>81</v>
      </c>
      <c r="H2308" s="637" t="s">
        <v>1163</v>
      </c>
      <c r="I2308" s="637" t="s">
        <v>58</v>
      </c>
      <c r="J2308" s="636">
        <v>22</v>
      </c>
      <c r="K2308" s="636">
        <v>2</v>
      </c>
      <c r="L2308" s="637" t="s">
        <v>52</v>
      </c>
      <c r="M2308" s="637" t="s">
        <v>441</v>
      </c>
      <c r="N2308" s="637" t="s">
        <v>442</v>
      </c>
      <c r="O2308" s="637" t="s">
        <v>442</v>
      </c>
      <c r="P2308" s="637" t="s">
        <v>1156</v>
      </c>
      <c r="Q2308" s="638">
        <v>0</v>
      </c>
      <c r="R2308" s="638">
        <v>0</v>
      </c>
      <c r="S2308" s="638">
        <v>15868</v>
      </c>
      <c r="T2308" s="638">
        <v>15868</v>
      </c>
      <c r="U2308" s="638">
        <v>4650</v>
      </c>
      <c r="V2308" s="636">
        <v>2022</v>
      </c>
      <c r="W2308" s="640"/>
      <c r="X2308" s="641">
        <f t="shared" si="105"/>
        <v>3.41247311827957</v>
      </c>
      <c r="Y2308" s="642" t="str">
        <f t="shared" si="106"/>
        <v/>
      </c>
      <c r="Z2308" s="642" t="str">
        <f t="shared" si="107"/>
        <v/>
      </c>
    </row>
    <row r="2309" spans="1:26" s="127" customFormat="1" ht="25">
      <c r="A2309" s="636">
        <v>64620</v>
      </c>
      <c r="B2309" s="637" t="s">
        <v>33</v>
      </c>
      <c r="C2309" s="636" t="s">
        <v>2725</v>
      </c>
      <c r="D2309" s="637" t="s">
        <v>3409</v>
      </c>
      <c r="E2309" s="637" t="s">
        <v>3410</v>
      </c>
      <c r="F2309" s="636">
        <v>64237</v>
      </c>
      <c r="G2309" s="637" t="s">
        <v>81</v>
      </c>
      <c r="H2309" s="637" t="s">
        <v>1163</v>
      </c>
      <c r="I2309" s="637" t="s">
        <v>58</v>
      </c>
      <c r="J2309" s="636">
        <v>22</v>
      </c>
      <c r="K2309" s="636">
        <v>2</v>
      </c>
      <c r="L2309" s="637" t="s">
        <v>52</v>
      </c>
      <c r="M2309" s="637" t="s">
        <v>1852</v>
      </c>
      <c r="N2309" s="637" t="s">
        <v>1035</v>
      </c>
      <c r="O2309" s="637" t="s">
        <v>82</v>
      </c>
      <c r="P2309" s="637" t="s">
        <v>2726</v>
      </c>
      <c r="Q2309" s="638">
        <v>804</v>
      </c>
      <c r="R2309" s="638">
        <v>804</v>
      </c>
      <c r="S2309" s="638">
        <v>0</v>
      </c>
      <c r="T2309" s="638">
        <v>0</v>
      </c>
      <c r="U2309" s="638">
        <v>-161</v>
      </c>
      <c r="V2309" s="636">
        <v>2022</v>
      </c>
      <c r="W2309" s="640"/>
      <c r="X2309" s="641" t="str">
        <f t="shared" si="105"/>
        <v/>
      </c>
      <c r="Y2309" s="642" t="str">
        <f t="shared" si="106"/>
        <v/>
      </c>
      <c r="Z2309" s="642" t="str">
        <f t="shared" si="107"/>
        <v/>
      </c>
    </row>
    <row r="2310" spans="1:26" s="127" customFormat="1" ht="25">
      <c r="A2310" s="636">
        <v>64620</v>
      </c>
      <c r="B2310" s="637" t="s">
        <v>33</v>
      </c>
      <c r="C2310" s="636" t="s">
        <v>2725</v>
      </c>
      <c r="D2310" s="637" t="s">
        <v>3409</v>
      </c>
      <c r="E2310" s="637" t="s">
        <v>3410</v>
      </c>
      <c r="F2310" s="636">
        <v>64237</v>
      </c>
      <c r="G2310" s="637" t="s">
        <v>81</v>
      </c>
      <c r="H2310" s="637" t="s">
        <v>1163</v>
      </c>
      <c r="I2310" s="637" t="s">
        <v>58</v>
      </c>
      <c r="J2310" s="636">
        <v>22</v>
      </c>
      <c r="K2310" s="636">
        <v>2</v>
      </c>
      <c r="L2310" s="637" t="s">
        <v>52</v>
      </c>
      <c r="M2310" s="637" t="s">
        <v>441</v>
      </c>
      <c r="N2310" s="637" t="s">
        <v>442</v>
      </c>
      <c r="O2310" s="637" t="s">
        <v>442</v>
      </c>
      <c r="P2310" s="637" t="s">
        <v>1156</v>
      </c>
      <c r="Q2310" s="638">
        <v>0</v>
      </c>
      <c r="R2310" s="638">
        <v>0</v>
      </c>
      <c r="S2310" s="638">
        <v>12809</v>
      </c>
      <c r="T2310" s="638">
        <v>12809</v>
      </c>
      <c r="U2310" s="638">
        <v>3754</v>
      </c>
      <c r="V2310" s="636">
        <v>2022</v>
      </c>
      <c r="W2310" s="640"/>
      <c r="X2310" s="641">
        <f t="shared" si="105"/>
        <v>3.412093766648908</v>
      </c>
      <c r="Y2310" s="642" t="str">
        <f t="shared" si="106"/>
        <v/>
      </c>
      <c r="Z2310" s="642" t="str">
        <f t="shared" si="107"/>
        <v/>
      </c>
    </row>
    <row r="2311" spans="1:26" s="127" customFormat="1" ht="25">
      <c r="A2311" s="636">
        <v>64627</v>
      </c>
      <c r="B2311" s="637" t="s">
        <v>33</v>
      </c>
      <c r="C2311" s="636" t="s">
        <v>2725</v>
      </c>
      <c r="D2311" s="637" t="s">
        <v>3411</v>
      </c>
      <c r="E2311" s="637" t="s">
        <v>3412</v>
      </c>
      <c r="F2311" s="636">
        <v>64241</v>
      </c>
      <c r="G2311" s="637" t="s">
        <v>81</v>
      </c>
      <c r="H2311" s="637" t="s">
        <v>1163</v>
      </c>
      <c r="I2311" s="637" t="s">
        <v>58</v>
      </c>
      <c r="J2311" s="636">
        <v>22</v>
      </c>
      <c r="K2311" s="636">
        <v>2</v>
      </c>
      <c r="L2311" s="637" t="s">
        <v>52</v>
      </c>
      <c r="M2311" s="637" t="s">
        <v>1852</v>
      </c>
      <c r="N2311" s="637" t="s">
        <v>1035</v>
      </c>
      <c r="O2311" s="637" t="s">
        <v>82</v>
      </c>
      <c r="P2311" s="637" t="s">
        <v>2726</v>
      </c>
      <c r="Q2311" s="638">
        <v>977</v>
      </c>
      <c r="R2311" s="638">
        <v>977</v>
      </c>
      <c r="S2311" s="638">
        <v>0</v>
      </c>
      <c r="T2311" s="638">
        <v>0</v>
      </c>
      <c r="U2311" s="638">
        <v>-18</v>
      </c>
      <c r="V2311" s="636">
        <v>2022</v>
      </c>
      <c r="W2311" s="640"/>
      <c r="X2311" s="641" t="str">
        <f t="shared" si="105"/>
        <v/>
      </c>
      <c r="Y2311" s="642" t="str">
        <f t="shared" si="106"/>
        <v/>
      </c>
      <c r="Z2311" s="642" t="str">
        <f t="shared" si="107"/>
        <v/>
      </c>
    </row>
    <row r="2312" spans="1:26" s="127" customFormat="1" ht="25">
      <c r="A2312" s="636">
        <v>64627</v>
      </c>
      <c r="B2312" s="637" t="s">
        <v>33</v>
      </c>
      <c r="C2312" s="636" t="s">
        <v>2725</v>
      </c>
      <c r="D2312" s="637" t="s">
        <v>3411</v>
      </c>
      <c r="E2312" s="637" t="s">
        <v>3412</v>
      </c>
      <c r="F2312" s="636">
        <v>64241</v>
      </c>
      <c r="G2312" s="637" t="s">
        <v>81</v>
      </c>
      <c r="H2312" s="637" t="s">
        <v>1163</v>
      </c>
      <c r="I2312" s="637" t="s">
        <v>58</v>
      </c>
      <c r="J2312" s="636">
        <v>22</v>
      </c>
      <c r="K2312" s="636">
        <v>2</v>
      </c>
      <c r="L2312" s="637" t="s">
        <v>52</v>
      </c>
      <c r="M2312" s="637" t="s">
        <v>441</v>
      </c>
      <c r="N2312" s="637" t="s">
        <v>442</v>
      </c>
      <c r="O2312" s="637" t="s">
        <v>442</v>
      </c>
      <c r="P2312" s="637" t="s">
        <v>1156</v>
      </c>
      <c r="Q2312" s="638">
        <v>0</v>
      </c>
      <c r="R2312" s="638">
        <v>0</v>
      </c>
      <c r="S2312" s="638">
        <v>33335</v>
      </c>
      <c r="T2312" s="638">
        <v>33335</v>
      </c>
      <c r="U2312" s="638">
        <v>9770</v>
      </c>
      <c r="V2312" s="636">
        <v>2022</v>
      </c>
      <c r="W2312" s="640"/>
      <c r="X2312" s="641">
        <f t="shared" ref="X2312:X2375" si="108">IF(OR(K2312&gt;3,T2312=0,NOT(U2312&gt;0)),"",T2312/U2312)</f>
        <v>3.4119754350051177</v>
      </c>
      <c r="Y2312" s="642" t="str">
        <f t="shared" ref="Y2312:Y2375" si="109">IF(AND($M2312=$Y$2,$N2312=$Y$3,NOT($Q2312=$R2312),NOT($U2312=0)),IF($K2312=5,$S2312/($U2312+(8/5)*$U2312),IF($K2312=7,$S2312/($U2312+(29/25)*$U2312),"")),"")</f>
        <v/>
      </c>
      <c r="Z2312" s="642" t="str">
        <f t="shared" si="107"/>
        <v/>
      </c>
    </row>
    <row r="2313" spans="1:26" s="127" customFormat="1" ht="25">
      <c r="A2313" s="636">
        <v>64664</v>
      </c>
      <c r="B2313" s="637" t="s">
        <v>33</v>
      </c>
      <c r="C2313" s="636" t="s">
        <v>2725</v>
      </c>
      <c r="D2313" s="637" t="s">
        <v>3413</v>
      </c>
      <c r="E2313" s="637" t="s">
        <v>3413</v>
      </c>
      <c r="F2313" s="636">
        <v>64258</v>
      </c>
      <c r="G2313" s="637" t="s">
        <v>81</v>
      </c>
      <c r="H2313" s="637" t="s">
        <v>1163</v>
      </c>
      <c r="I2313" s="637" t="s">
        <v>58</v>
      </c>
      <c r="J2313" s="636">
        <v>22</v>
      </c>
      <c r="K2313" s="636">
        <v>2</v>
      </c>
      <c r="L2313" s="637" t="s">
        <v>52</v>
      </c>
      <c r="M2313" s="637" t="s">
        <v>1852</v>
      </c>
      <c r="N2313" s="637" t="s">
        <v>1035</v>
      </c>
      <c r="O2313" s="637" t="s">
        <v>82</v>
      </c>
      <c r="P2313" s="637" t="s">
        <v>2726</v>
      </c>
      <c r="Q2313" s="638">
        <v>1582</v>
      </c>
      <c r="R2313" s="638">
        <v>1582</v>
      </c>
      <c r="S2313" s="638">
        <v>0</v>
      </c>
      <c r="T2313" s="638">
        <v>0</v>
      </c>
      <c r="U2313" s="638">
        <v>-83</v>
      </c>
      <c r="V2313" s="636">
        <v>2022</v>
      </c>
      <c r="W2313" s="640"/>
      <c r="X2313" s="641" t="str">
        <f t="shared" si="108"/>
        <v/>
      </c>
      <c r="Y2313" s="642" t="str">
        <f t="shared" si="109"/>
        <v/>
      </c>
      <c r="Z2313" s="642" t="str">
        <f t="shared" si="107"/>
        <v/>
      </c>
    </row>
    <row r="2314" spans="1:26" s="127" customFormat="1" ht="25">
      <c r="A2314" s="636">
        <v>64664</v>
      </c>
      <c r="B2314" s="637" t="s">
        <v>33</v>
      </c>
      <c r="C2314" s="636" t="s">
        <v>2725</v>
      </c>
      <c r="D2314" s="637" t="s">
        <v>3413</v>
      </c>
      <c r="E2314" s="637" t="s">
        <v>3413</v>
      </c>
      <c r="F2314" s="636">
        <v>64258</v>
      </c>
      <c r="G2314" s="637" t="s">
        <v>81</v>
      </c>
      <c r="H2314" s="637" t="s">
        <v>1163</v>
      </c>
      <c r="I2314" s="637" t="s">
        <v>58</v>
      </c>
      <c r="J2314" s="636">
        <v>22</v>
      </c>
      <c r="K2314" s="636">
        <v>2</v>
      </c>
      <c r="L2314" s="637" t="s">
        <v>52</v>
      </c>
      <c r="M2314" s="637" t="s">
        <v>441</v>
      </c>
      <c r="N2314" s="637" t="s">
        <v>442</v>
      </c>
      <c r="O2314" s="637" t="s">
        <v>442</v>
      </c>
      <c r="P2314" s="637" t="s">
        <v>1156</v>
      </c>
      <c r="Q2314" s="638">
        <v>0</v>
      </c>
      <c r="R2314" s="638">
        <v>0</v>
      </c>
      <c r="S2314" s="638">
        <v>15788</v>
      </c>
      <c r="T2314" s="638">
        <v>15788</v>
      </c>
      <c r="U2314" s="638">
        <v>4628</v>
      </c>
      <c r="V2314" s="636">
        <v>2022</v>
      </c>
      <c r="W2314" s="640"/>
      <c r="X2314" s="641">
        <f t="shared" si="108"/>
        <v>3.4114088159031981</v>
      </c>
      <c r="Y2314" s="642" t="str">
        <f t="shared" si="109"/>
        <v/>
      </c>
      <c r="Z2314" s="642" t="str">
        <f t="shared" si="107"/>
        <v/>
      </c>
    </row>
    <row r="2315" spans="1:26" s="127" customFormat="1" ht="25">
      <c r="A2315" s="636">
        <v>64673</v>
      </c>
      <c r="B2315" s="637" t="s">
        <v>33</v>
      </c>
      <c r="C2315" s="636" t="s">
        <v>2725</v>
      </c>
      <c r="D2315" s="637" t="s">
        <v>3414</v>
      </c>
      <c r="E2315" s="637" t="s">
        <v>3415</v>
      </c>
      <c r="F2315" s="636">
        <v>64255</v>
      </c>
      <c r="G2315" s="637" t="s">
        <v>90</v>
      </c>
      <c r="H2315" s="637" t="s">
        <v>1163</v>
      </c>
      <c r="I2315" s="637" t="s">
        <v>58</v>
      </c>
      <c r="J2315" s="636">
        <v>22</v>
      </c>
      <c r="K2315" s="636">
        <v>2</v>
      </c>
      <c r="L2315" s="637" t="s">
        <v>52</v>
      </c>
      <c r="M2315" s="637" t="s">
        <v>441</v>
      </c>
      <c r="N2315" s="637" t="s">
        <v>442</v>
      </c>
      <c r="O2315" s="637" t="s">
        <v>442</v>
      </c>
      <c r="P2315" s="637" t="s">
        <v>1156</v>
      </c>
      <c r="Q2315" s="638">
        <v>0</v>
      </c>
      <c r="R2315" s="638">
        <v>0</v>
      </c>
      <c r="S2315" s="638">
        <v>16049</v>
      </c>
      <c r="T2315" s="638">
        <v>16049</v>
      </c>
      <c r="U2315" s="638">
        <v>4703</v>
      </c>
      <c r="V2315" s="636">
        <v>2022</v>
      </c>
      <c r="W2315" s="640"/>
      <c r="X2315" s="641">
        <f t="shared" si="108"/>
        <v>3.4125026578779503</v>
      </c>
      <c r="Y2315" s="642" t="str">
        <f t="shared" si="109"/>
        <v/>
      </c>
      <c r="Z2315" s="642" t="str">
        <f t="shared" si="107"/>
        <v/>
      </c>
    </row>
    <row r="2316" spans="1:26" s="127" customFormat="1" ht="25">
      <c r="A2316" s="636">
        <v>64675</v>
      </c>
      <c r="B2316" s="637" t="s">
        <v>33</v>
      </c>
      <c r="C2316" s="636" t="s">
        <v>2725</v>
      </c>
      <c r="D2316" s="637" t="s">
        <v>3416</v>
      </c>
      <c r="E2316" s="637" t="s">
        <v>3417</v>
      </c>
      <c r="F2316" s="636">
        <v>64257</v>
      </c>
      <c r="G2316" s="637" t="s">
        <v>90</v>
      </c>
      <c r="H2316" s="637" t="s">
        <v>1163</v>
      </c>
      <c r="I2316" s="637" t="s">
        <v>58</v>
      </c>
      <c r="J2316" s="636">
        <v>22</v>
      </c>
      <c r="K2316" s="636">
        <v>2</v>
      </c>
      <c r="L2316" s="637" t="s">
        <v>52</v>
      </c>
      <c r="M2316" s="637" t="s">
        <v>441</v>
      </c>
      <c r="N2316" s="637" t="s">
        <v>442</v>
      </c>
      <c r="O2316" s="637" t="s">
        <v>442</v>
      </c>
      <c r="P2316" s="637" t="s">
        <v>1156</v>
      </c>
      <c r="Q2316" s="638">
        <v>0</v>
      </c>
      <c r="R2316" s="638">
        <v>0</v>
      </c>
      <c r="S2316" s="638">
        <v>11453</v>
      </c>
      <c r="T2316" s="638">
        <v>11453</v>
      </c>
      <c r="U2316" s="638">
        <v>3357</v>
      </c>
      <c r="V2316" s="636">
        <v>2022</v>
      </c>
      <c r="W2316" s="640"/>
      <c r="X2316" s="641">
        <f t="shared" si="108"/>
        <v>3.4116770926422402</v>
      </c>
      <c r="Y2316" s="642" t="str">
        <f t="shared" si="109"/>
        <v/>
      </c>
      <c r="Z2316" s="642" t="str">
        <f t="shared" si="107"/>
        <v/>
      </c>
    </row>
    <row r="2317" spans="1:26" s="127" customFormat="1" ht="25">
      <c r="A2317" s="636">
        <v>64679</v>
      </c>
      <c r="B2317" s="637" t="s">
        <v>33</v>
      </c>
      <c r="C2317" s="636" t="s">
        <v>2725</v>
      </c>
      <c r="D2317" s="637" t="s">
        <v>3418</v>
      </c>
      <c r="E2317" s="637" t="s">
        <v>2203</v>
      </c>
      <c r="F2317" s="636">
        <v>61227</v>
      </c>
      <c r="G2317" s="637" t="s">
        <v>57</v>
      </c>
      <c r="H2317" s="637" t="s">
        <v>1162</v>
      </c>
      <c r="I2317" s="637" t="s">
        <v>58</v>
      </c>
      <c r="J2317" s="636">
        <v>22</v>
      </c>
      <c r="K2317" s="636">
        <v>2</v>
      </c>
      <c r="L2317" s="637" t="s">
        <v>52</v>
      </c>
      <c r="M2317" s="637" t="s">
        <v>441</v>
      </c>
      <c r="N2317" s="637" t="s">
        <v>442</v>
      </c>
      <c r="O2317" s="637" t="s">
        <v>442</v>
      </c>
      <c r="P2317" s="637" t="s">
        <v>1156</v>
      </c>
      <c r="Q2317" s="638">
        <v>0</v>
      </c>
      <c r="R2317" s="638">
        <v>0</v>
      </c>
      <c r="S2317" s="638">
        <v>33716</v>
      </c>
      <c r="T2317" s="638">
        <v>33716</v>
      </c>
      <c r="U2317" s="638">
        <v>9881</v>
      </c>
      <c r="V2317" s="636">
        <v>2022</v>
      </c>
      <c r="W2317" s="640"/>
      <c r="X2317" s="641">
        <f t="shared" si="108"/>
        <v>3.4122052423843741</v>
      </c>
      <c r="Y2317" s="642" t="str">
        <f t="shared" si="109"/>
        <v/>
      </c>
      <c r="Z2317" s="642" t="str">
        <f t="shared" si="107"/>
        <v/>
      </c>
    </row>
    <row r="2318" spans="1:26" s="127" customFormat="1" ht="25">
      <c r="A2318" s="636">
        <v>64680</v>
      </c>
      <c r="B2318" s="637" t="s">
        <v>33</v>
      </c>
      <c r="C2318" s="636" t="s">
        <v>2725</v>
      </c>
      <c r="D2318" s="637" t="s">
        <v>3419</v>
      </c>
      <c r="E2318" s="637" t="s">
        <v>2203</v>
      </c>
      <c r="F2318" s="636">
        <v>61227</v>
      </c>
      <c r="G2318" s="637" t="s">
        <v>57</v>
      </c>
      <c r="H2318" s="637" t="s">
        <v>1162</v>
      </c>
      <c r="I2318" s="637" t="s">
        <v>58</v>
      </c>
      <c r="J2318" s="636">
        <v>22</v>
      </c>
      <c r="K2318" s="636">
        <v>2</v>
      </c>
      <c r="L2318" s="637" t="s">
        <v>52</v>
      </c>
      <c r="M2318" s="637" t="s">
        <v>441</v>
      </c>
      <c r="N2318" s="637" t="s">
        <v>442</v>
      </c>
      <c r="O2318" s="637" t="s">
        <v>442</v>
      </c>
      <c r="P2318" s="637" t="s">
        <v>1156</v>
      </c>
      <c r="Q2318" s="638">
        <v>0</v>
      </c>
      <c r="R2318" s="638">
        <v>0</v>
      </c>
      <c r="S2318" s="638">
        <v>29782</v>
      </c>
      <c r="T2318" s="638">
        <v>29782</v>
      </c>
      <c r="U2318" s="638">
        <v>8729</v>
      </c>
      <c r="V2318" s="636">
        <v>2022</v>
      </c>
      <c r="W2318" s="640"/>
      <c r="X2318" s="641">
        <f t="shared" si="108"/>
        <v>3.4118455722304959</v>
      </c>
      <c r="Y2318" s="642" t="str">
        <f t="shared" si="109"/>
        <v/>
      </c>
      <c r="Z2318" s="642" t="str">
        <f t="shared" si="107"/>
        <v/>
      </c>
    </row>
    <row r="2319" spans="1:26" s="127" customFormat="1" ht="25">
      <c r="A2319" s="636">
        <v>64681</v>
      </c>
      <c r="B2319" s="637" t="s">
        <v>33</v>
      </c>
      <c r="C2319" s="636" t="s">
        <v>2725</v>
      </c>
      <c r="D2319" s="637" t="s">
        <v>3420</v>
      </c>
      <c r="E2319" s="637" t="s">
        <v>2203</v>
      </c>
      <c r="F2319" s="636">
        <v>61227</v>
      </c>
      <c r="G2319" s="637" t="s">
        <v>57</v>
      </c>
      <c r="H2319" s="637" t="s">
        <v>1162</v>
      </c>
      <c r="I2319" s="637" t="s">
        <v>58</v>
      </c>
      <c r="J2319" s="636">
        <v>22</v>
      </c>
      <c r="K2319" s="636">
        <v>2</v>
      </c>
      <c r="L2319" s="637" t="s">
        <v>52</v>
      </c>
      <c r="M2319" s="637" t="s">
        <v>441</v>
      </c>
      <c r="N2319" s="637" t="s">
        <v>442</v>
      </c>
      <c r="O2319" s="637" t="s">
        <v>442</v>
      </c>
      <c r="P2319" s="637" t="s">
        <v>1156</v>
      </c>
      <c r="Q2319" s="638">
        <v>0</v>
      </c>
      <c r="R2319" s="638">
        <v>0</v>
      </c>
      <c r="S2319" s="638">
        <v>11851</v>
      </c>
      <c r="T2319" s="638">
        <v>11851</v>
      </c>
      <c r="U2319" s="638">
        <v>3473</v>
      </c>
      <c r="V2319" s="636">
        <v>2022</v>
      </c>
      <c r="W2319" s="640"/>
      <c r="X2319" s="641">
        <f t="shared" si="108"/>
        <v>3.4123236395047511</v>
      </c>
      <c r="Y2319" s="642" t="str">
        <f t="shared" si="109"/>
        <v/>
      </c>
      <c r="Z2319" s="642" t="str">
        <f t="shared" si="107"/>
        <v/>
      </c>
    </row>
    <row r="2320" spans="1:26" s="127" customFormat="1" ht="25">
      <c r="A2320" s="636">
        <v>64686</v>
      </c>
      <c r="B2320" s="637" t="s">
        <v>33</v>
      </c>
      <c r="C2320" s="636" t="s">
        <v>2725</v>
      </c>
      <c r="D2320" s="637" t="s">
        <v>3674</v>
      </c>
      <c r="E2320" s="637" t="s">
        <v>440</v>
      </c>
      <c r="F2320" s="636">
        <v>49893</v>
      </c>
      <c r="G2320" s="637" t="s">
        <v>57</v>
      </c>
      <c r="H2320" s="637" t="s">
        <v>1162</v>
      </c>
      <c r="I2320" s="637" t="s">
        <v>58</v>
      </c>
      <c r="J2320" s="636">
        <v>22</v>
      </c>
      <c r="K2320" s="636">
        <v>2</v>
      </c>
      <c r="L2320" s="637" t="s">
        <v>52</v>
      </c>
      <c r="M2320" s="637" t="s">
        <v>1852</v>
      </c>
      <c r="N2320" s="637" t="s">
        <v>1035</v>
      </c>
      <c r="O2320" s="637" t="s">
        <v>82</v>
      </c>
      <c r="P2320" s="637" t="s">
        <v>2726</v>
      </c>
      <c r="Q2320" s="638">
        <v>9050</v>
      </c>
      <c r="R2320" s="638">
        <v>9050</v>
      </c>
      <c r="S2320" s="638">
        <v>0</v>
      </c>
      <c r="T2320" s="638">
        <v>0</v>
      </c>
      <c r="U2320" s="638">
        <v>-1774</v>
      </c>
      <c r="V2320" s="636">
        <v>2022</v>
      </c>
      <c r="W2320" s="640"/>
      <c r="X2320" s="641" t="str">
        <f t="shared" si="108"/>
        <v/>
      </c>
      <c r="Y2320" s="642" t="str">
        <f t="shared" si="109"/>
        <v/>
      </c>
      <c r="Z2320" s="642" t="str">
        <f t="shared" ref="Z2320:Z2383" si="110">IF(AND($M2320=$Y$2,$N2320=$Y$4,NOT($Q2320=$R2320),NOT($U2320=0)),IF($K2320=5,$S2320/($U2320+(8/5)*$U2320),IF($K2320=7,$S2320/($U2320+(29/25)*$U2320),"")),"")</f>
        <v/>
      </c>
    </row>
    <row r="2321" spans="1:26" s="127" customFormat="1" ht="25">
      <c r="A2321" s="636">
        <v>64692</v>
      </c>
      <c r="B2321" s="637" t="s">
        <v>33</v>
      </c>
      <c r="C2321" s="636" t="s">
        <v>2725</v>
      </c>
      <c r="D2321" s="637" t="s">
        <v>3421</v>
      </c>
      <c r="E2321" s="637" t="s">
        <v>2277</v>
      </c>
      <c r="F2321" s="636">
        <v>60025</v>
      </c>
      <c r="G2321" s="637" t="s">
        <v>57</v>
      </c>
      <c r="H2321" s="637" t="s">
        <v>1162</v>
      </c>
      <c r="I2321" s="637" t="s">
        <v>58</v>
      </c>
      <c r="J2321" s="636">
        <v>22</v>
      </c>
      <c r="K2321" s="636">
        <v>2</v>
      </c>
      <c r="L2321" s="637" t="s">
        <v>52</v>
      </c>
      <c r="M2321" s="637" t="s">
        <v>441</v>
      </c>
      <c r="N2321" s="637" t="s">
        <v>442</v>
      </c>
      <c r="O2321" s="637" t="s">
        <v>442</v>
      </c>
      <c r="P2321" s="637" t="s">
        <v>1156</v>
      </c>
      <c r="Q2321" s="638">
        <v>0</v>
      </c>
      <c r="R2321" s="638">
        <v>0</v>
      </c>
      <c r="S2321" s="638">
        <v>5137</v>
      </c>
      <c r="T2321" s="638">
        <v>5137</v>
      </c>
      <c r="U2321" s="638">
        <v>1506</v>
      </c>
      <c r="V2321" s="636">
        <v>2022</v>
      </c>
      <c r="W2321" s="640"/>
      <c r="X2321" s="641">
        <f t="shared" si="108"/>
        <v>3.4110225763612219</v>
      </c>
      <c r="Y2321" s="642" t="str">
        <f t="shared" si="109"/>
        <v/>
      </c>
      <c r="Z2321" s="642" t="str">
        <f t="shared" si="110"/>
        <v/>
      </c>
    </row>
    <row r="2322" spans="1:26" s="127" customFormat="1" ht="25">
      <c r="A2322" s="636">
        <v>64696</v>
      </c>
      <c r="B2322" s="637" t="s">
        <v>33</v>
      </c>
      <c r="C2322" s="636" t="s">
        <v>2725</v>
      </c>
      <c r="D2322" s="637" t="s">
        <v>3422</v>
      </c>
      <c r="E2322" s="637" t="s">
        <v>2166</v>
      </c>
      <c r="F2322" s="636">
        <v>61012</v>
      </c>
      <c r="G2322" s="637" t="s">
        <v>81</v>
      </c>
      <c r="H2322" s="637" t="s">
        <v>1163</v>
      </c>
      <c r="I2322" s="637" t="s">
        <v>58</v>
      </c>
      <c r="J2322" s="636">
        <v>22</v>
      </c>
      <c r="K2322" s="636">
        <v>2</v>
      </c>
      <c r="L2322" s="637" t="s">
        <v>52</v>
      </c>
      <c r="M2322" s="637" t="s">
        <v>1852</v>
      </c>
      <c r="N2322" s="637" t="s">
        <v>1035</v>
      </c>
      <c r="O2322" s="637" t="s">
        <v>82</v>
      </c>
      <c r="P2322" s="637" t="s">
        <v>2726</v>
      </c>
      <c r="Q2322" s="638">
        <v>1299</v>
      </c>
      <c r="R2322" s="638">
        <v>1299</v>
      </c>
      <c r="S2322" s="638">
        <v>0</v>
      </c>
      <c r="T2322" s="638">
        <v>0</v>
      </c>
      <c r="U2322" s="638">
        <v>-104</v>
      </c>
      <c r="V2322" s="636">
        <v>2022</v>
      </c>
      <c r="W2322" s="640"/>
      <c r="X2322" s="641" t="str">
        <f t="shared" si="108"/>
        <v/>
      </c>
      <c r="Y2322" s="642" t="str">
        <f t="shared" si="109"/>
        <v/>
      </c>
      <c r="Z2322" s="642" t="str">
        <f t="shared" si="110"/>
        <v/>
      </c>
    </row>
    <row r="2323" spans="1:26" s="127" customFormat="1" ht="25">
      <c r="A2323" s="636">
        <v>64696</v>
      </c>
      <c r="B2323" s="637" t="s">
        <v>33</v>
      </c>
      <c r="C2323" s="636" t="s">
        <v>2725</v>
      </c>
      <c r="D2323" s="637" t="s">
        <v>3422</v>
      </c>
      <c r="E2323" s="637" t="s">
        <v>2166</v>
      </c>
      <c r="F2323" s="636">
        <v>61012</v>
      </c>
      <c r="G2323" s="637" t="s">
        <v>81</v>
      </c>
      <c r="H2323" s="637" t="s">
        <v>1163</v>
      </c>
      <c r="I2323" s="637" t="s">
        <v>58</v>
      </c>
      <c r="J2323" s="636">
        <v>22</v>
      </c>
      <c r="K2323" s="636">
        <v>2</v>
      </c>
      <c r="L2323" s="637" t="s">
        <v>52</v>
      </c>
      <c r="M2323" s="637" t="s">
        <v>441</v>
      </c>
      <c r="N2323" s="637" t="s">
        <v>442</v>
      </c>
      <c r="O2323" s="637" t="s">
        <v>442</v>
      </c>
      <c r="P2323" s="637" t="s">
        <v>1156</v>
      </c>
      <c r="Q2323" s="638">
        <v>0</v>
      </c>
      <c r="R2323" s="638">
        <v>0</v>
      </c>
      <c r="S2323" s="638">
        <v>36175</v>
      </c>
      <c r="T2323" s="638">
        <v>36175</v>
      </c>
      <c r="U2323" s="638">
        <v>10602</v>
      </c>
      <c r="V2323" s="636">
        <v>2022</v>
      </c>
      <c r="W2323" s="640"/>
      <c r="X2323" s="641">
        <f t="shared" si="108"/>
        <v>3.4120920581022447</v>
      </c>
      <c r="Y2323" s="642" t="str">
        <f t="shared" si="109"/>
        <v/>
      </c>
      <c r="Z2323" s="642" t="str">
        <f t="shared" si="110"/>
        <v/>
      </c>
    </row>
    <row r="2324" spans="1:26" s="127" customFormat="1" ht="25">
      <c r="A2324" s="636">
        <v>64705</v>
      </c>
      <c r="B2324" s="637" t="s">
        <v>33</v>
      </c>
      <c r="C2324" s="636" t="s">
        <v>2725</v>
      </c>
      <c r="D2324" s="637" t="s">
        <v>3423</v>
      </c>
      <c r="E2324" s="637" t="s">
        <v>1108</v>
      </c>
      <c r="F2324" s="636">
        <v>56769</v>
      </c>
      <c r="G2324" s="637" t="s">
        <v>81</v>
      </c>
      <c r="H2324" s="637" t="s">
        <v>1163</v>
      </c>
      <c r="I2324" s="637" t="s">
        <v>58</v>
      </c>
      <c r="J2324" s="636">
        <v>22</v>
      </c>
      <c r="K2324" s="636">
        <v>2</v>
      </c>
      <c r="L2324" s="637" t="s">
        <v>52</v>
      </c>
      <c r="M2324" s="637" t="s">
        <v>441</v>
      </c>
      <c r="N2324" s="637" t="s">
        <v>442</v>
      </c>
      <c r="O2324" s="637" t="s">
        <v>442</v>
      </c>
      <c r="P2324" s="637" t="s">
        <v>1156</v>
      </c>
      <c r="Q2324" s="638">
        <v>0</v>
      </c>
      <c r="R2324" s="638">
        <v>0</v>
      </c>
      <c r="S2324" s="638">
        <v>17575</v>
      </c>
      <c r="T2324" s="638">
        <v>17575</v>
      </c>
      <c r="U2324" s="638">
        <v>5151</v>
      </c>
      <c r="V2324" s="636">
        <v>2022</v>
      </c>
      <c r="W2324" s="640"/>
      <c r="X2324" s="641">
        <f t="shared" si="108"/>
        <v>3.4119588429431178</v>
      </c>
      <c r="Y2324" s="642" t="str">
        <f t="shared" si="109"/>
        <v/>
      </c>
      <c r="Z2324" s="642" t="str">
        <f t="shared" si="110"/>
        <v/>
      </c>
    </row>
    <row r="2325" spans="1:26" s="127" customFormat="1" ht="25">
      <c r="A2325" s="636">
        <v>64715</v>
      </c>
      <c r="B2325" s="637" t="s">
        <v>33</v>
      </c>
      <c r="C2325" s="636" t="s">
        <v>2725</v>
      </c>
      <c r="D2325" s="637" t="s">
        <v>3424</v>
      </c>
      <c r="E2325" s="637" t="s">
        <v>2166</v>
      </c>
      <c r="F2325" s="636">
        <v>61012</v>
      </c>
      <c r="G2325" s="637" t="s">
        <v>57</v>
      </c>
      <c r="H2325" s="637" t="s">
        <v>1162</v>
      </c>
      <c r="I2325" s="637" t="s">
        <v>58</v>
      </c>
      <c r="J2325" s="636">
        <v>22</v>
      </c>
      <c r="K2325" s="636">
        <v>2</v>
      </c>
      <c r="L2325" s="637" t="s">
        <v>52</v>
      </c>
      <c r="M2325" s="637" t="s">
        <v>441</v>
      </c>
      <c r="N2325" s="637" t="s">
        <v>442</v>
      </c>
      <c r="O2325" s="637" t="s">
        <v>442</v>
      </c>
      <c r="P2325" s="637" t="s">
        <v>1156</v>
      </c>
      <c r="Q2325" s="638">
        <v>0</v>
      </c>
      <c r="R2325" s="638">
        <v>0</v>
      </c>
      <c r="S2325" s="638">
        <v>30674</v>
      </c>
      <c r="T2325" s="638">
        <v>30674</v>
      </c>
      <c r="U2325" s="638">
        <v>8990</v>
      </c>
      <c r="V2325" s="636">
        <v>2022</v>
      </c>
      <c r="W2325" s="640"/>
      <c r="X2325" s="641">
        <f t="shared" si="108"/>
        <v>3.4120133481646273</v>
      </c>
      <c r="Y2325" s="642" t="str">
        <f t="shared" si="109"/>
        <v/>
      </c>
      <c r="Z2325" s="642" t="str">
        <f t="shared" si="110"/>
        <v/>
      </c>
    </row>
    <row r="2326" spans="1:26" s="127" customFormat="1" ht="25">
      <c r="A2326" s="636">
        <v>64716</v>
      </c>
      <c r="B2326" s="637" t="s">
        <v>33</v>
      </c>
      <c r="C2326" s="636" t="s">
        <v>2725</v>
      </c>
      <c r="D2326" s="637" t="s">
        <v>3425</v>
      </c>
      <c r="E2326" s="637" t="s">
        <v>2166</v>
      </c>
      <c r="F2326" s="636">
        <v>61012</v>
      </c>
      <c r="G2326" s="637" t="s">
        <v>57</v>
      </c>
      <c r="H2326" s="637" t="s">
        <v>1162</v>
      </c>
      <c r="I2326" s="637" t="s">
        <v>58</v>
      </c>
      <c r="J2326" s="636">
        <v>22</v>
      </c>
      <c r="K2326" s="636">
        <v>2</v>
      </c>
      <c r="L2326" s="637" t="s">
        <v>52</v>
      </c>
      <c r="M2326" s="637" t="s">
        <v>441</v>
      </c>
      <c r="N2326" s="637" t="s">
        <v>442</v>
      </c>
      <c r="O2326" s="637" t="s">
        <v>442</v>
      </c>
      <c r="P2326" s="637" t="s">
        <v>1156</v>
      </c>
      <c r="Q2326" s="638">
        <v>0</v>
      </c>
      <c r="R2326" s="638">
        <v>0</v>
      </c>
      <c r="S2326" s="638">
        <v>21915</v>
      </c>
      <c r="T2326" s="638">
        <v>21915</v>
      </c>
      <c r="U2326" s="638">
        <v>6423</v>
      </c>
      <c r="V2326" s="636">
        <v>2022</v>
      </c>
      <c r="W2326" s="640"/>
      <c r="X2326" s="641">
        <f t="shared" si="108"/>
        <v>3.4119570294255022</v>
      </c>
      <c r="Y2326" s="642" t="str">
        <f t="shared" si="109"/>
        <v/>
      </c>
      <c r="Z2326" s="642" t="str">
        <f t="shared" si="110"/>
        <v/>
      </c>
    </row>
    <row r="2327" spans="1:26" s="127" customFormat="1" ht="25">
      <c r="A2327" s="636">
        <v>64717</v>
      </c>
      <c r="B2327" s="637" t="s">
        <v>33</v>
      </c>
      <c r="C2327" s="636" t="s">
        <v>2725</v>
      </c>
      <c r="D2327" s="637" t="s">
        <v>3675</v>
      </c>
      <c r="E2327" s="637" t="s">
        <v>2166</v>
      </c>
      <c r="F2327" s="636">
        <v>61012</v>
      </c>
      <c r="G2327" s="637" t="s">
        <v>57</v>
      </c>
      <c r="H2327" s="637" t="s">
        <v>1162</v>
      </c>
      <c r="I2327" s="637" t="s">
        <v>58</v>
      </c>
      <c r="J2327" s="636">
        <v>22</v>
      </c>
      <c r="K2327" s="636">
        <v>2</v>
      </c>
      <c r="L2327" s="637" t="s">
        <v>52</v>
      </c>
      <c r="M2327" s="637" t="s">
        <v>441</v>
      </c>
      <c r="N2327" s="637" t="s">
        <v>442</v>
      </c>
      <c r="O2327" s="637" t="s">
        <v>442</v>
      </c>
      <c r="P2327" s="637" t="s">
        <v>1156</v>
      </c>
      <c r="Q2327" s="638">
        <v>0</v>
      </c>
      <c r="R2327" s="638">
        <v>0</v>
      </c>
      <c r="S2327" s="638">
        <v>17473</v>
      </c>
      <c r="T2327" s="638">
        <v>17473</v>
      </c>
      <c r="U2327" s="638">
        <v>5121</v>
      </c>
      <c r="V2327" s="636">
        <v>2022</v>
      </c>
      <c r="W2327" s="640"/>
      <c r="X2327" s="641">
        <f t="shared" si="108"/>
        <v>3.4120289006053506</v>
      </c>
      <c r="Y2327" s="642" t="str">
        <f t="shared" si="109"/>
        <v/>
      </c>
      <c r="Z2327" s="642" t="str">
        <f t="shared" si="110"/>
        <v/>
      </c>
    </row>
    <row r="2328" spans="1:26" s="127" customFormat="1" ht="25">
      <c r="A2328" s="636">
        <v>64718</v>
      </c>
      <c r="B2328" s="637" t="s">
        <v>33</v>
      </c>
      <c r="C2328" s="636" t="s">
        <v>2725</v>
      </c>
      <c r="D2328" s="637" t="s">
        <v>3676</v>
      </c>
      <c r="E2328" s="637" t="s">
        <v>2166</v>
      </c>
      <c r="F2328" s="636">
        <v>61012</v>
      </c>
      <c r="G2328" s="637" t="s">
        <v>57</v>
      </c>
      <c r="H2328" s="637" t="s">
        <v>1162</v>
      </c>
      <c r="I2328" s="637" t="s">
        <v>58</v>
      </c>
      <c r="J2328" s="636">
        <v>22</v>
      </c>
      <c r="K2328" s="636">
        <v>2</v>
      </c>
      <c r="L2328" s="637" t="s">
        <v>52</v>
      </c>
      <c r="M2328" s="637" t="s">
        <v>441</v>
      </c>
      <c r="N2328" s="637" t="s">
        <v>442</v>
      </c>
      <c r="O2328" s="637" t="s">
        <v>442</v>
      </c>
      <c r="P2328" s="637" t="s">
        <v>1156</v>
      </c>
      <c r="Q2328" s="638">
        <v>0</v>
      </c>
      <c r="R2328" s="638">
        <v>0</v>
      </c>
      <c r="S2328" s="638">
        <v>3718</v>
      </c>
      <c r="T2328" s="638">
        <v>3718</v>
      </c>
      <c r="U2328" s="638">
        <v>1090</v>
      </c>
      <c r="V2328" s="636">
        <v>2022</v>
      </c>
      <c r="W2328" s="640"/>
      <c r="X2328" s="641">
        <f t="shared" si="108"/>
        <v>3.4110091743119266</v>
      </c>
      <c r="Y2328" s="642" t="str">
        <f t="shared" si="109"/>
        <v/>
      </c>
      <c r="Z2328" s="642" t="str">
        <f t="shared" si="110"/>
        <v/>
      </c>
    </row>
    <row r="2329" spans="1:26" s="127" customFormat="1" ht="25">
      <c r="A2329" s="636">
        <v>64719</v>
      </c>
      <c r="B2329" s="637" t="s">
        <v>33</v>
      </c>
      <c r="C2329" s="636" t="s">
        <v>2725</v>
      </c>
      <c r="D2329" s="637" t="s">
        <v>3426</v>
      </c>
      <c r="E2329" s="637" t="s">
        <v>2166</v>
      </c>
      <c r="F2329" s="636">
        <v>61012</v>
      </c>
      <c r="G2329" s="637" t="s">
        <v>57</v>
      </c>
      <c r="H2329" s="637" t="s">
        <v>1162</v>
      </c>
      <c r="I2329" s="637" t="s">
        <v>58</v>
      </c>
      <c r="J2329" s="636">
        <v>22</v>
      </c>
      <c r="K2329" s="636">
        <v>2</v>
      </c>
      <c r="L2329" s="637" t="s">
        <v>52</v>
      </c>
      <c r="M2329" s="637" t="s">
        <v>1852</v>
      </c>
      <c r="N2329" s="637" t="s">
        <v>1035</v>
      </c>
      <c r="O2329" s="637" t="s">
        <v>82</v>
      </c>
      <c r="P2329" s="637" t="s">
        <v>2726</v>
      </c>
      <c r="Q2329" s="638">
        <v>453</v>
      </c>
      <c r="R2329" s="638">
        <v>453</v>
      </c>
      <c r="S2329" s="638">
        <v>0</v>
      </c>
      <c r="T2329" s="638">
        <v>0</v>
      </c>
      <c r="U2329" s="638">
        <v>-230</v>
      </c>
      <c r="V2329" s="636">
        <v>2022</v>
      </c>
      <c r="W2329" s="640"/>
      <c r="X2329" s="641" t="str">
        <f t="shared" si="108"/>
        <v/>
      </c>
      <c r="Y2329" s="642" t="str">
        <f t="shared" si="109"/>
        <v/>
      </c>
      <c r="Z2329" s="642" t="str">
        <f t="shared" si="110"/>
        <v/>
      </c>
    </row>
    <row r="2330" spans="1:26" s="127" customFormat="1" ht="25">
      <c r="A2330" s="636">
        <v>64719</v>
      </c>
      <c r="B2330" s="637" t="s">
        <v>33</v>
      </c>
      <c r="C2330" s="636" t="s">
        <v>2725</v>
      </c>
      <c r="D2330" s="637" t="s">
        <v>3426</v>
      </c>
      <c r="E2330" s="637" t="s">
        <v>2166</v>
      </c>
      <c r="F2330" s="636">
        <v>61012</v>
      </c>
      <c r="G2330" s="637" t="s">
        <v>57</v>
      </c>
      <c r="H2330" s="637" t="s">
        <v>1162</v>
      </c>
      <c r="I2330" s="637" t="s">
        <v>58</v>
      </c>
      <c r="J2330" s="636">
        <v>22</v>
      </c>
      <c r="K2330" s="636">
        <v>2</v>
      </c>
      <c r="L2330" s="637" t="s">
        <v>52</v>
      </c>
      <c r="M2330" s="637" t="s">
        <v>441</v>
      </c>
      <c r="N2330" s="637" t="s">
        <v>442</v>
      </c>
      <c r="O2330" s="637" t="s">
        <v>442</v>
      </c>
      <c r="P2330" s="637" t="s">
        <v>1156</v>
      </c>
      <c r="Q2330" s="638">
        <v>0</v>
      </c>
      <c r="R2330" s="638">
        <v>0</v>
      </c>
      <c r="S2330" s="638">
        <v>12547</v>
      </c>
      <c r="T2330" s="638">
        <v>12547</v>
      </c>
      <c r="U2330" s="638">
        <v>3678</v>
      </c>
      <c r="V2330" s="636">
        <v>2022</v>
      </c>
      <c r="W2330" s="640"/>
      <c r="X2330" s="641">
        <f t="shared" si="108"/>
        <v>3.4113648722131593</v>
      </c>
      <c r="Y2330" s="642" t="str">
        <f t="shared" si="109"/>
        <v/>
      </c>
      <c r="Z2330" s="642" t="str">
        <f t="shared" si="110"/>
        <v/>
      </c>
    </row>
    <row r="2331" spans="1:26" s="127" customFormat="1" ht="25">
      <c r="A2331" s="636">
        <v>64720</v>
      </c>
      <c r="B2331" s="637" t="s">
        <v>33</v>
      </c>
      <c r="C2331" s="636" t="s">
        <v>2725</v>
      </c>
      <c r="D2331" s="637" t="s">
        <v>3427</v>
      </c>
      <c r="E2331" s="637" t="s">
        <v>2166</v>
      </c>
      <c r="F2331" s="636">
        <v>61012</v>
      </c>
      <c r="G2331" s="637" t="s">
        <v>57</v>
      </c>
      <c r="H2331" s="637" t="s">
        <v>1162</v>
      </c>
      <c r="I2331" s="637" t="s">
        <v>58</v>
      </c>
      <c r="J2331" s="636">
        <v>22</v>
      </c>
      <c r="K2331" s="636">
        <v>2</v>
      </c>
      <c r="L2331" s="637" t="s">
        <v>52</v>
      </c>
      <c r="M2331" s="637" t="s">
        <v>441</v>
      </c>
      <c r="N2331" s="637" t="s">
        <v>442</v>
      </c>
      <c r="O2331" s="637" t="s">
        <v>442</v>
      </c>
      <c r="P2331" s="637" t="s">
        <v>1156</v>
      </c>
      <c r="Q2331" s="638">
        <v>0</v>
      </c>
      <c r="R2331" s="638">
        <v>0</v>
      </c>
      <c r="S2331" s="638">
        <v>24897</v>
      </c>
      <c r="T2331" s="638">
        <v>24897</v>
      </c>
      <c r="U2331" s="638">
        <v>7297</v>
      </c>
      <c r="V2331" s="636">
        <v>2022</v>
      </c>
      <c r="W2331" s="640"/>
      <c r="X2331" s="641">
        <f t="shared" si="108"/>
        <v>3.4119501164862274</v>
      </c>
      <c r="Y2331" s="642" t="str">
        <f t="shared" si="109"/>
        <v/>
      </c>
      <c r="Z2331" s="642" t="str">
        <f t="shared" si="110"/>
        <v/>
      </c>
    </row>
    <row r="2332" spans="1:26" s="127" customFormat="1" ht="25">
      <c r="A2332" s="636">
        <v>64721</v>
      </c>
      <c r="B2332" s="637" t="s">
        <v>33</v>
      </c>
      <c r="C2332" s="636" t="s">
        <v>2725</v>
      </c>
      <c r="D2332" s="637" t="s">
        <v>3428</v>
      </c>
      <c r="E2332" s="637" t="s">
        <v>2166</v>
      </c>
      <c r="F2332" s="636">
        <v>61012</v>
      </c>
      <c r="G2332" s="637" t="s">
        <v>57</v>
      </c>
      <c r="H2332" s="637" t="s">
        <v>1162</v>
      </c>
      <c r="I2332" s="637" t="s">
        <v>58</v>
      </c>
      <c r="J2332" s="636">
        <v>22</v>
      </c>
      <c r="K2332" s="636">
        <v>2</v>
      </c>
      <c r="L2332" s="637" t="s">
        <v>52</v>
      </c>
      <c r="M2332" s="637" t="s">
        <v>441</v>
      </c>
      <c r="N2332" s="637" t="s">
        <v>442</v>
      </c>
      <c r="O2332" s="637" t="s">
        <v>442</v>
      </c>
      <c r="P2332" s="637" t="s">
        <v>1156</v>
      </c>
      <c r="Q2332" s="638">
        <v>0</v>
      </c>
      <c r="R2332" s="638">
        <v>0</v>
      </c>
      <c r="S2332" s="638">
        <v>20067</v>
      </c>
      <c r="T2332" s="638">
        <v>20067</v>
      </c>
      <c r="U2332" s="638">
        <v>5881</v>
      </c>
      <c r="V2332" s="636">
        <v>2022</v>
      </c>
      <c r="W2332" s="640"/>
      <c r="X2332" s="641">
        <f t="shared" si="108"/>
        <v>3.4121748002040468</v>
      </c>
      <c r="Y2332" s="642" t="str">
        <f t="shared" si="109"/>
        <v/>
      </c>
      <c r="Z2332" s="642" t="str">
        <f t="shared" si="110"/>
        <v/>
      </c>
    </row>
    <row r="2333" spans="1:26" s="127" customFormat="1" ht="25">
      <c r="A2333" s="636">
        <v>64722</v>
      </c>
      <c r="B2333" s="637" t="s">
        <v>33</v>
      </c>
      <c r="C2333" s="636" t="s">
        <v>2725</v>
      </c>
      <c r="D2333" s="637" t="s">
        <v>3677</v>
      </c>
      <c r="E2333" s="637" t="s">
        <v>2166</v>
      </c>
      <c r="F2333" s="636">
        <v>61012</v>
      </c>
      <c r="G2333" s="637" t="s">
        <v>57</v>
      </c>
      <c r="H2333" s="637" t="s">
        <v>1162</v>
      </c>
      <c r="I2333" s="637" t="s">
        <v>58</v>
      </c>
      <c r="J2333" s="636">
        <v>22</v>
      </c>
      <c r="K2333" s="636">
        <v>2</v>
      </c>
      <c r="L2333" s="637" t="s">
        <v>52</v>
      </c>
      <c r="M2333" s="637" t="s">
        <v>441</v>
      </c>
      <c r="N2333" s="637" t="s">
        <v>442</v>
      </c>
      <c r="O2333" s="637" t="s">
        <v>442</v>
      </c>
      <c r="P2333" s="637" t="s">
        <v>1156</v>
      </c>
      <c r="Q2333" s="638">
        <v>0</v>
      </c>
      <c r="R2333" s="638">
        <v>0</v>
      </c>
      <c r="S2333" s="638">
        <v>26301</v>
      </c>
      <c r="T2333" s="638">
        <v>26301</v>
      </c>
      <c r="U2333" s="638">
        <v>7708</v>
      </c>
      <c r="V2333" s="636">
        <v>2022</v>
      </c>
      <c r="W2333" s="640"/>
      <c r="X2333" s="641">
        <f t="shared" si="108"/>
        <v>3.4121691748832381</v>
      </c>
      <c r="Y2333" s="642" t="str">
        <f t="shared" si="109"/>
        <v/>
      </c>
      <c r="Z2333" s="642" t="str">
        <f t="shared" si="110"/>
        <v/>
      </c>
    </row>
    <row r="2334" spans="1:26" s="127" customFormat="1" ht="25">
      <c r="A2334" s="636">
        <v>64723</v>
      </c>
      <c r="B2334" s="637" t="s">
        <v>33</v>
      </c>
      <c r="C2334" s="636" t="s">
        <v>2725</v>
      </c>
      <c r="D2334" s="637" t="s">
        <v>3260</v>
      </c>
      <c r="E2334" s="637" t="s">
        <v>3261</v>
      </c>
      <c r="F2334" s="636">
        <v>64292</v>
      </c>
      <c r="G2334" s="637" t="s">
        <v>130</v>
      </c>
      <c r="H2334" s="637" t="s">
        <v>1163</v>
      </c>
      <c r="I2334" s="637" t="s">
        <v>58</v>
      </c>
      <c r="J2334" s="636">
        <v>22</v>
      </c>
      <c r="K2334" s="636">
        <v>2</v>
      </c>
      <c r="L2334" s="637" t="s">
        <v>52</v>
      </c>
      <c r="M2334" s="637" t="s">
        <v>441</v>
      </c>
      <c r="N2334" s="637" t="s">
        <v>442</v>
      </c>
      <c r="O2334" s="637" t="s">
        <v>442</v>
      </c>
      <c r="P2334" s="637" t="s">
        <v>1156</v>
      </c>
      <c r="Q2334" s="638">
        <v>0</v>
      </c>
      <c r="R2334" s="638">
        <v>0</v>
      </c>
      <c r="S2334" s="638">
        <v>83120</v>
      </c>
      <c r="T2334" s="638">
        <v>83120</v>
      </c>
      <c r="U2334" s="638">
        <v>24361</v>
      </c>
      <c r="V2334" s="636">
        <v>2022</v>
      </c>
      <c r="W2334" s="640"/>
      <c r="X2334" s="641">
        <f t="shared" si="108"/>
        <v>3.4120110011904274</v>
      </c>
      <c r="Y2334" s="642" t="str">
        <f t="shared" si="109"/>
        <v/>
      </c>
      <c r="Z2334" s="642" t="str">
        <f t="shared" si="110"/>
        <v/>
      </c>
    </row>
    <row r="2335" spans="1:26" s="127" customFormat="1" ht="25">
      <c r="A2335" s="636">
        <v>64724</v>
      </c>
      <c r="B2335" s="637" t="s">
        <v>33</v>
      </c>
      <c r="C2335" s="636" t="s">
        <v>2725</v>
      </c>
      <c r="D2335" s="637" t="s">
        <v>3678</v>
      </c>
      <c r="E2335" s="637" t="s">
        <v>2166</v>
      </c>
      <c r="F2335" s="636">
        <v>61012</v>
      </c>
      <c r="G2335" s="637" t="s">
        <v>57</v>
      </c>
      <c r="H2335" s="637" t="s">
        <v>1162</v>
      </c>
      <c r="I2335" s="637" t="s">
        <v>58</v>
      </c>
      <c r="J2335" s="636">
        <v>22</v>
      </c>
      <c r="K2335" s="636">
        <v>2</v>
      </c>
      <c r="L2335" s="637" t="s">
        <v>52</v>
      </c>
      <c r="M2335" s="637" t="s">
        <v>441</v>
      </c>
      <c r="N2335" s="637" t="s">
        <v>442</v>
      </c>
      <c r="O2335" s="637" t="s">
        <v>442</v>
      </c>
      <c r="P2335" s="637" t="s">
        <v>1156</v>
      </c>
      <c r="Q2335" s="638">
        <v>0</v>
      </c>
      <c r="R2335" s="638">
        <v>0</v>
      </c>
      <c r="S2335" s="638">
        <v>20051</v>
      </c>
      <c r="T2335" s="638">
        <v>20051</v>
      </c>
      <c r="U2335" s="638">
        <v>5877</v>
      </c>
      <c r="V2335" s="636">
        <v>2022</v>
      </c>
      <c r="W2335" s="640"/>
      <c r="X2335" s="641">
        <f t="shared" si="108"/>
        <v>3.4117747149906417</v>
      </c>
      <c r="Y2335" s="642" t="str">
        <f t="shared" si="109"/>
        <v/>
      </c>
      <c r="Z2335" s="642" t="str">
        <f t="shared" si="110"/>
        <v/>
      </c>
    </row>
    <row r="2336" spans="1:26" s="127" customFormat="1" ht="25">
      <c r="A2336" s="636">
        <v>64725</v>
      </c>
      <c r="B2336" s="637" t="s">
        <v>33</v>
      </c>
      <c r="C2336" s="636" t="s">
        <v>2725</v>
      </c>
      <c r="D2336" s="637" t="s">
        <v>3429</v>
      </c>
      <c r="E2336" s="637" t="s">
        <v>2166</v>
      </c>
      <c r="F2336" s="636">
        <v>61012</v>
      </c>
      <c r="G2336" s="637" t="s">
        <v>57</v>
      </c>
      <c r="H2336" s="637" t="s">
        <v>1162</v>
      </c>
      <c r="I2336" s="637" t="s">
        <v>58</v>
      </c>
      <c r="J2336" s="636">
        <v>22</v>
      </c>
      <c r="K2336" s="636">
        <v>2</v>
      </c>
      <c r="L2336" s="637" t="s">
        <v>52</v>
      </c>
      <c r="M2336" s="637" t="s">
        <v>441</v>
      </c>
      <c r="N2336" s="637" t="s">
        <v>442</v>
      </c>
      <c r="O2336" s="637" t="s">
        <v>442</v>
      </c>
      <c r="P2336" s="637" t="s">
        <v>1156</v>
      </c>
      <c r="Q2336" s="638">
        <v>0</v>
      </c>
      <c r="R2336" s="638">
        <v>0</v>
      </c>
      <c r="S2336" s="638">
        <v>22066</v>
      </c>
      <c r="T2336" s="638">
        <v>22066</v>
      </c>
      <c r="U2336" s="638">
        <v>6467</v>
      </c>
      <c r="V2336" s="636">
        <v>2022</v>
      </c>
      <c r="W2336" s="640"/>
      <c r="X2336" s="641">
        <f t="shared" si="108"/>
        <v>3.4120921601979282</v>
      </c>
      <c r="Y2336" s="642" t="str">
        <f t="shared" si="109"/>
        <v/>
      </c>
      <c r="Z2336" s="642" t="str">
        <f t="shared" si="110"/>
        <v/>
      </c>
    </row>
    <row r="2337" spans="1:26" s="127" customFormat="1" ht="25">
      <c r="A2337" s="636">
        <v>64726</v>
      </c>
      <c r="B2337" s="637" t="s">
        <v>33</v>
      </c>
      <c r="C2337" s="636" t="s">
        <v>2725</v>
      </c>
      <c r="D2337" s="637" t="s">
        <v>3679</v>
      </c>
      <c r="E2337" s="637" t="s">
        <v>2166</v>
      </c>
      <c r="F2337" s="636">
        <v>61012</v>
      </c>
      <c r="G2337" s="637" t="s">
        <v>81</v>
      </c>
      <c r="H2337" s="637" t="s">
        <v>1163</v>
      </c>
      <c r="I2337" s="637" t="s">
        <v>58</v>
      </c>
      <c r="J2337" s="636">
        <v>22</v>
      </c>
      <c r="K2337" s="636">
        <v>2</v>
      </c>
      <c r="L2337" s="637" t="s">
        <v>52</v>
      </c>
      <c r="M2337" s="637" t="s">
        <v>1852</v>
      </c>
      <c r="N2337" s="637" t="s">
        <v>1035</v>
      </c>
      <c r="O2337" s="637" t="s">
        <v>82</v>
      </c>
      <c r="P2337" s="637" t="s">
        <v>2726</v>
      </c>
      <c r="Q2337" s="638">
        <v>0</v>
      </c>
      <c r="R2337" s="638">
        <v>0</v>
      </c>
      <c r="S2337" s="638">
        <v>0</v>
      </c>
      <c r="T2337" s="638">
        <v>0</v>
      </c>
      <c r="U2337" s="638">
        <v>0</v>
      </c>
      <c r="V2337" s="636">
        <v>2022</v>
      </c>
      <c r="W2337" s="640"/>
      <c r="X2337" s="641" t="str">
        <f t="shared" si="108"/>
        <v/>
      </c>
      <c r="Y2337" s="642" t="str">
        <f t="shared" si="109"/>
        <v/>
      </c>
      <c r="Z2337" s="642" t="str">
        <f t="shared" si="110"/>
        <v/>
      </c>
    </row>
    <row r="2338" spans="1:26" s="127" customFormat="1" ht="25">
      <c r="A2338" s="636">
        <v>64726</v>
      </c>
      <c r="B2338" s="637" t="s">
        <v>33</v>
      </c>
      <c r="C2338" s="636" t="s">
        <v>2725</v>
      </c>
      <c r="D2338" s="637" t="s">
        <v>3679</v>
      </c>
      <c r="E2338" s="637" t="s">
        <v>2166</v>
      </c>
      <c r="F2338" s="636">
        <v>61012</v>
      </c>
      <c r="G2338" s="637" t="s">
        <v>81</v>
      </c>
      <c r="H2338" s="637" t="s">
        <v>1163</v>
      </c>
      <c r="I2338" s="637" t="s">
        <v>58</v>
      </c>
      <c r="J2338" s="636">
        <v>22</v>
      </c>
      <c r="K2338" s="636">
        <v>2</v>
      </c>
      <c r="L2338" s="637" t="s">
        <v>52</v>
      </c>
      <c r="M2338" s="637" t="s">
        <v>441</v>
      </c>
      <c r="N2338" s="637" t="s">
        <v>442</v>
      </c>
      <c r="O2338" s="637" t="s">
        <v>442</v>
      </c>
      <c r="P2338" s="637" t="s">
        <v>1156</v>
      </c>
      <c r="Q2338" s="638">
        <v>0</v>
      </c>
      <c r="R2338" s="638">
        <v>0</v>
      </c>
      <c r="S2338" s="638">
        <v>5262</v>
      </c>
      <c r="T2338" s="638">
        <v>5262</v>
      </c>
      <c r="U2338" s="638">
        <v>1542</v>
      </c>
      <c r="V2338" s="636">
        <v>2022</v>
      </c>
      <c r="W2338" s="640"/>
      <c r="X2338" s="641">
        <f t="shared" si="108"/>
        <v>3.4124513618677041</v>
      </c>
      <c r="Y2338" s="642" t="str">
        <f t="shared" si="109"/>
        <v/>
      </c>
      <c r="Z2338" s="642" t="str">
        <f t="shared" si="110"/>
        <v/>
      </c>
    </row>
    <row r="2339" spans="1:26" s="127" customFormat="1" ht="25">
      <c r="A2339" s="636">
        <v>64727</v>
      </c>
      <c r="B2339" s="637" t="s">
        <v>33</v>
      </c>
      <c r="C2339" s="636" t="s">
        <v>2725</v>
      </c>
      <c r="D2339" s="637" t="s">
        <v>3680</v>
      </c>
      <c r="E2339" s="637" t="s">
        <v>2166</v>
      </c>
      <c r="F2339" s="636">
        <v>61012</v>
      </c>
      <c r="G2339" s="637" t="s">
        <v>81</v>
      </c>
      <c r="H2339" s="637" t="s">
        <v>1163</v>
      </c>
      <c r="I2339" s="637" t="s">
        <v>58</v>
      </c>
      <c r="J2339" s="636">
        <v>22</v>
      </c>
      <c r="K2339" s="636">
        <v>2</v>
      </c>
      <c r="L2339" s="637" t="s">
        <v>52</v>
      </c>
      <c r="M2339" s="637" t="s">
        <v>1852</v>
      </c>
      <c r="N2339" s="637" t="s">
        <v>1035</v>
      </c>
      <c r="O2339" s="637" t="s">
        <v>82</v>
      </c>
      <c r="P2339" s="637" t="s">
        <v>2726</v>
      </c>
      <c r="Q2339" s="638">
        <v>1611</v>
      </c>
      <c r="R2339" s="638">
        <v>1611</v>
      </c>
      <c r="S2339" s="638">
        <v>0</v>
      </c>
      <c r="T2339" s="638">
        <v>0</v>
      </c>
      <c r="U2339" s="638">
        <v>-628</v>
      </c>
      <c r="V2339" s="636">
        <v>2022</v>
      </c>
      <c r="W2339" s="640"/>
      <c r="X2339" s="641" t="str">
        <f t="shared" si="108"/>
        <v/>
      </c>
      <c r="Y2339" s="642" t="str">
        <f t="shared" si="109"/>
        <v/>
      </c>
      <c r="Z2339" s="642" t="str">
        <f t="shared" si="110"/>
        <v/>
      </c>
    </row>
    <row r="2340" spans="1:26" s="127" customFormat="1" ht="25">
      <c r="A2340" s="636">
        <v>64727</v>
      </c>
      <c r="B2340" s="637" t="s">
        <v>33</v>
      </c>
      <c r="C2340" s="636" t="s">
        <v>2725</v>
      </c>
      <c r="D2340" s="637" t="s">
        <v>3680</v>
      </c>
      <c r="E2340" s="637" t="s">
        <v>2166</v>
      </c>
      <c r="F2340" s="636">
        <v>61012</v>
      </c>
      <c r="G2340" s="637" t="s">
        <v>81</v>
      </c>
      <c r="H2340" s="637" t="s">
        <v>1163</v>
      </c>
      <c r="I2340" s="637" t="s">
        <v>58</v>
      </c>
      <c r="J2340" s="636">
        <v>22</v>
      </c>
      <c r="K2340" s="636">
        <v>2</v>
      </c>
      <c r="L2340" s="637" t="s">
        <v>52</v>
      </c>
      <c r="M2340" s="637" t="s">
        <v>441</v>
      </c>
      <c r="N2340" s="637" t="s">
        <v>442</v>
      </c>
      <c r="O2340" s="637" t="s">
        <v>442</v>
      </c>
      <c r="P2340" s="637" t="s">
        <v>1156</v>
      </c>
      <c r="Q2340" s="638">
        <v>0</v>
      </c>
      <c r="R2340" s="638">
        <v>0</v>
      </c>
      <c r="S2340" s="638">
        <v>15672</v>
      </c>
      <c r="T2340" s="638">
        <v>15672</v>
      </c>
      <c r="U2340" s="638">
        <v>4593</v>
      </c>
      <c r="V2340" s="636">
        <v>2022</v>
      </c>
      <c r="W2340" s="640"/>
      <c r="X2340" s="641">
        <f t="shared" si="108"/>
        <v>3.4121489222730244</v>
      </c>
      <c r="Y2340" s="642" t="str">
        <f t="shared" si="109"/>
        <v/>
      </c>
      <c r="Z2340" s="642" t="str">
        <f t="shared" si="110"/>
        <v/>
      </c>
    </row>
    <row r="2341" spans="1:26" s="127" customFormat="1" ht="25">
      <c r="A2341" s="636">
        <v>64731</v>
      </c>
      <c r="B2341" s="637" t="s">
        <v>33</v>
      </c>
      <c r="C2341" s="636" t="s">
        <v>2725</v>
      </c>
      <c r="D2341" s="637" t="s">
        <v>3430</v>
      </c>
      <c r="E2341" s="637" t="s">
        <v>3431</v>
      </c>
      <c r="F2341" s="636">
        <v>64296</v>
      </c>
      <c r="G2341" s="637" t="s">
        <v>81</v>
      </c>
      <c r="H2341" s="637" t="s">
        <v>1163</v>
      </c>
      <c r="I2341" s="637" t="s">
        <v>58</v>
      </c>
      <c r="J2341" s="636">
        <v>22</v>
      </c>
      <c r="K2341" s="636">
        <v>2</v>
      </c>
      <c r="L2341" s="637" t="s">
        <v>52</v>
      </c>
      <c r="M2341" s="637" t="s">
        <v>1852</v>
      </c>
      <c r="N2341" s="637" t="s">
        <v>1035</v>
      </c>
      <c r="O2341" s="637" t="s">
        <v>82</v>
      </c>
      <c r="P2341" s="637" t="s">
        <v>2726</v>
      </c>
      <c r="Q2341" s="638">
        <v>3</v>
      </c>
      <c r="R2341" s="638">
        <v>3</v>
      </c>
      <c r="S2341" s="638">
        <v>0</v>
      </c>
      <c r="T2341" s="638">
        <v>0</v>
      </c>
      <c r="U2341" s="638">
        <v>-1</v>
      </c>
      <c r="V2341" s="636">
        <v>2022</v>
      </c>
      <c r="W2341" s="640"/>
      <c r="X2341" s="641" t="str">
        <f t="shared" si="108"/>
        <v/>
      </c>
      <c r="Y2341" s="642" t="str">
        <f t="shared" si="109"/>
        <v/>
      </c>
      <c r="Z2341" s="642" t="str">
        <f t="shared" si="110"/>
        <v/>
      </c>
    </row>
    <row r="2342" spans="1:26" s="127" customFormat="1" ht="25">
      <c r="A2342" s="636">
        <v>64731</v>
      </c>
      <c r="B2342" s="637" t="s">
        <v>33</v>
      </c>
      <c r="C2342" s="636" t="s">
        <v>2725</v>
      </c>
      <c r="D2342" s="637" t="s">
        <v>3430</v>
      </c>
      <c r="E2342" s="637" t="s">
        <v>3431</v>
      </c>
      <c r="F2342" s="636">
        <v>64296</v>
      </c>
      <c r="G2342" s="637" t="s">
        <v>81</v>
      </c>
      <c r="H2342" s="637" t="s">
        <v>1163</v>
      </c>
      <c r="I2342" s="637" t="s">
        <v>58</v>
      </c>
      <c r="J2342" s="636">
        <v>22</v>
      </c>
      <c r="K2342" s="636">
        <v>2</v>
      </c>
      <c r="L2342" s="637" t="s">
        <v>52</v>
      </c>
      <c r="M2342" s="637" t="s">
        <v>441</v>
      </c>
      <c r="N2342" s="637" t="s">
        <v>442</v>
      </c>
      <c r="O2342" s="637" t="s">
        <v>442</v>
      </c>
      <c r="P2342" s="637" t="s">
        <v>1156</v>
      </c>
      <c r="Q2342" s="638">
        <v>0</v>
      </c>
      <c r="R2342" s="638">
        <v>0</v>
      </c>
      <c r="S2342" s="638">
        <v>10830</v>
      </c>
      <c r="T2342" s="638">
        <v>10830</v>
      </c>
      <c r="U2342" s="638">
        <v>3174</v>
      </c>
      <c r="V2342" s="636">
        <v>2022</v>
      </c>
      <c r="W2342" s="640"/>
      <c r="X2342" s="641">
        <f t="shared" si="108"/>
        <v>3.4120982986767485</v>
      </c>
      <c r="Y2342" s="642" t="str">
        <f t="shared" si="109"/>
        <v/>
      </c>
      <c r="Z2342" s="642" t="str">
        <f t="shared" si="110"/>
        <v/>
      </c>
    </row>
    <row r="2343" spans="1:26" s="127" customFormat="1" ht="25">
      <c r="A2343" s="636">
        <v>64746</v>
      </c>
      <c r="B2343" s="637" t="s">
        <v>33</v>
      </c>
      <c r="C2343" s="636" t="s">
        <v>2725</v>
      </c>
      <c r="D2343" s="637" t="s">
        <v>3262</v>
      </c>
      <c r="E2343" s="637" t="s">
        <v>2919</v>
      </c>
      <c r="F2343" s="636">
        <v>63058</v>
      </c>
      <c r="G2343" s="637" t="s">
        <v>57</v>
      </c>
      <c r="H2343" s="637" t="s">
        <v>1162</v>
      </c>
      <c r="I2343" s="637" t="s">
        <v>58</v>
      </c>
      <c r="J2343" s="636">
        <v>22</v>
      </c>
      <c r="K2343" s="636">
        <v>2</v>
      </c>
      <c r="L2343" s="637" t="s">
        <v>52</v>
      </c>
      <c r="M2343" s="637" t="s">
        <v>441</v>
      </c>
      <c r="N2343" s="637" t="s">
        <v>442</v>
      </c>
      <c r="O2343" s="637" t="s">
        <v>442</v>
      </c>
      <c r="P2343" s="637" t="s">
        <v>1156</v>
      </c>
      <c r="Q2343" s="638">
        <v>0</v>
      </c>
      <c r="R2343" s="638">
        <v>0</v>
      </c>
      <c r="S2343" s="638">
        <v>2800</v>
      </c>
      <c r="T2343" s="638">
        <v>2800</v>
      </c>
      <c r="U2343" s="638">
        <v>820</v>
      </c>
      <c r="V2343" s="636">
        <v>2022</v>
      </c>
      <c r="W2343" s="640"/>
      <c r="X2343" s="641">
        <f t="shared" si="108"/>
        <v>3.4146341463414633</v>
      </c>
      <c r="Y2343" s="642" t="str">
        <f t="shared" si="109"/>
        <v/>
      </c>
      <c r="Z2343" s="642" t="str">
        <f t="shared" si="110"/>
        <v/>
      </c>
    </row>
    <row r="2344" spans="1:26" s="127" customFormat="1" ht="25">
      <c r="A2344" s="636">
        <v>64747</v>
      </c>
      <c r="B2344" s="637" t="s">
        <v>33</v>
      </c>
      <c r="C2344" s="636" t="s">
        <v>2725</v>
      </c>
      <c r="D2344" s="637" t="s">
        <v>3681</v>
      </c>
      <c r="E2344" s="637" t="s">
        <v>3682</v>
      </c>
      <c r="F2344" s="636">
        <v>64310</v>
      </c>
      <c r="G2344" s="637" t="s">
        <v>57</v>
      </c>
      <c r="H2344" s="637" t="s">
        <v>1162</v>
      </c>
      <c r="I2344" s="637" t="s">
        <v>58</v>
      </c>
      <c r="J2344" s="636">
        <v>22</v>
      </c>
      <c r="K2344" s="636">
        <v>2</v>
      </c>
      <c r="L2344" s="637" t="s">
        <v>52</v>
      </c>
      <c r="M2344" s="637" t="s">
        <v>1232</v>
      </c>
      <c r="N2344" s="637" t="s">
        <v>39</v>
      </c>
      <c r="O2344" s="637" t="s">
        <v>39</v>
      </c>
      <c r="P2344" s="637" t="s">
        <v>1020</v>
      </c>
      <c r="Q2344" s="638">
        <v>90677</v>
      </c>
      <c r="R2344" s="638">
        <v>90677</v>
      </c>
      <c r="S2344" s="638">
        <v>90677</v>
      </c>
      <c r="T2344" s="638">
        <v>90677</v>
      </c>
      <c r="U2344" s="638">
        <v>14574</v>
      </c>
      <c r="V2344" s="636">
        <v>2022</v>
      </c>
      <c r="W2344" s="640"/>
      <c r="X2344" s="641">
        <f t="shared" si="108"/>
        <v>6.2218334019486754</v>
      </c>
      <c r="Y2344" s="642" t="str">
        <f t="shared" si="109"/>
        <v/>
      </c>
      <c r="Z2344" s="642" t="str">
        <f t="shared" si="110"/>
        <v/>
      </c>
    </row>
    <row r="2345" spans="1:26" s="127" customFormat="1" ht="37.5">
      <c r="A2345" s="636">
        <v>64748</v>
      </c>
      <c r="B2345" s="637" t="s">
        <v>33</v>
      </c>
      <c r="C2345" s="636" t="s">
        <v>2725</v>
      </c>
      <c r="D2345" s="637" t="s">
        <v>3263</v>
      </c>
      <c r="E2345" s="637" t="s">
        <v>3264</v>
      </c>
      <c r="F2345" s="636">
        <v>64309</v>
      </c>
      <c r="G2345" s="637" t="s">
        <v>57</v>
      </c>
      <c r="H2345" s="637" t="s">
        <v>1162</v>
      </c>
      <c r="I2345" s="637" t="s">
        <v>58</v>
      </c>
      <c r="J2345" s="636">
        <v>22</v>
      </c>
      <c r="K2345" s="636">
        <v>2</v>
      </c>
      <c r="L2345" s="637" t="s">
        <v>52</v>
      </c>
      <c r="M2345" s="637" t="s">
        <v>1232</v>
      </c>
      <c r="N2345" s="637" t="s">
        <v>39</v>
      </c>
      <c r="O2345" s="637" t="s">
        <v>39</v>
      </c>
      <c r="P2345" s="637" t="s">
        <v>1020</v>
      </c>
      <c r="Q2345" s="638">
        <v>194736</v>
      </c>
      <c r="R2345" s="638">
        <v>194736</v>
      </c>
      <c r="S2345" s="638">
        <v>194736</v>
      </c>
      <c r="T2345" s="638">
        <v>194736</v>
      </c>
      <c r="U2345" s="638">
        <v>29353</v>
      </c>
      <c r="V2345" s="636">
        <v>2022</v>
      </c>
      <c r="W2345" s="640"/>
      <c r="X2345" s="641">
        <f t="shared" si="108"/>
        <v>6.6342792900214631</v>
      </c>
      <c r="Y2345" s="642" t="str">
        <f t="shared" si="109"/>
        <v/>
      </c>
      <c r="Z2345" s="642" t="str">
        <f t="shared" si="110"/>
        <v/>
      </c>
    </row>
    <row r="2346" spans="1:26" s="127" customFormat="1" ht="37.5">
      <c r="A2346" s="636">
        <v>64749</v>
      </c>
      <c r="B2346" s="637" t="s">
        <v>33</v>
      </c>
      <c r="C2346" s="636" t="s">
        <v>2725</v>
      </c>
      <c r="D2346" s="637" t="s">
        <v>3265</v>
      </c>
      <c r="E2346" s="637" t="s">
        <v>3264</v>
      </c>
      <c r="F2346" s="636">
        <v>64309</v>
      </c>
      <c r="G2346" s="637" t="s">
        <v>57</v>
      </c>
      <c r="H2346" s="637" t="s">
        <v>1162</v>
      </c>
      <c r="I2346" s="637" t="s">
        <v>58</v>
      </c>
      <c r="J2346" s="636">
        <v>22</v>
      </c>
      <c r="K2346" s="636">
        <v>2</v>
      </c>
      <c r="L2346" s="637" t="s">
        <v>52</v>
      </c>
      <c r="M2346" s="637" t="s">
        <v>1232</v>
      </c>
      <c r="N2346" s="637" t="s">
        <v>39</v>
      </c>
      <c r="O2346" s="637" t="s">
        <v>39</v>
      </c>
      <c r="P2346" s="637" t="s">
        <v>1020</v>
      </c>
      <c r="Q2346" s="638">
        <v>212387</v>
      </c>
      <c r="R2346" s="638">
        <v>212387</v>
      </c>
      <c r="S2346" s="638">
        <v>212387</v>
      </c>
      <c r="T2346" s="638">
        <v>212387</v>
      </c>
      <c r="U2346" s="638">
        <v>31691</v>
      </c>
      <c r="V2346" s="636">
        <v>2022</v>
      </c>
      <c r="W2346" s="640"/>
      <c r="X2346" s="641">
        <f t="shared" si="108"/>
        <v>6.701808084314159</v>
      </c>
      <c r="Y2346" s="642" t="str">
        <f t="shared" si="109"/>
        <v/>
      </c>
      <c r="Z2346" s="642" t="str">
        <f t="shared" si="110"/>
        <v/>
      </c>
    </row>
    <row r="2347" spans="1:26" s="127" customFormat="1" ht="25">
      <c r="A2347" s="636">
        <v>64753</v>
      </c>
      <c r="B2347" s="637" t="s">
        <v>33</v>
      </c>
      <c r="C2347" s="636" t="s">
        <v>2725</v>
      </c>
      <c r="D2347" s="637" t="s">
        <v>3266</v>
      </c>
      <c r="E2347" s="637" t="s">
        <v>2967</v>
      </c>
      <c r="F2347" s="636">
        <v>62150</v>
      </c>
      <c r="G2347" s="637" t="s">
        <v>41</v>
      </c>
      <c r="H2347" s="637" t="s">
        <v>1163</v>
      </c>
      <c r="I2347" s="637" t="s">
        <v>58</v>
      </c>
      <c r="J2347" s="636">
        <v>22</v>
      </c>
      <c r="K2347" s="636">
        <v>2</v>
      </c>
      <c r="L2347" s="637" t="s">
        <v>52</v>
      </c>
      <c r="M2347" s="637" t="s">
        <v>1232</v>
      </c>
      <c r="N2347" s="637" t="s">
        <v>39</v>
      </c>
      <c r="O2347" s="637" t="s">
        <v>39</v>
      </c>
      <c r="P2347" s="637" t="s">
        <v>1020</v>
      </c>
      <c r="Q2347" s="638">
        <v>45978</v>
      </c>
      <c r="R2347" s="638">
        <v>45978</v>
      </c>
      <c r="S2347" s="638">
        <v>47357</v>
      </c>
      <c r="T2347" s="638">
        <v>47357</v>
      </c>
      <c r="U2347" s="638">
        <v>6715</v>
      </c>
      <c r="V2347" s="636">
        <v>2022</v>
      </c>
      <c r="W2347" s="640"/>
      <c r="X2347" s="641">
        <f t="shared" si="108"/>
        <v>7.0524199553239013</v>
      </c>
      <c r="Y2347" s="642" t="str">
        <f t="shared" si="109"/>
        <v/>
      </c>
      <c r="Z2347" s="642" t="str">
        <f t="shared" si="110"/>
        <v/>
      </c>
    </row>
    <row r="2348" spans="1:26" s="127" customFormat="1" ht="25">
      <c r="A2348" s="636">
        <v>64760</v>
      </c>
      <c r="B2348" s="637" t="s">
        <v>33</v>
      </c>
      <c r="C2348" s="636" t="s">
        <v>2725</v>
      </c>
      <c r="D2348" s="637" t="s">
        <v>3683</v>
      </c>
      <c r="E2348" s="637" t="s">
        <v>3667</v>
      </c>
      <c r="F2348" s="636">
        <v>61514</v>
      </c>
      <c r="G2348" s="637" t="s">
        <v>130</v>
      </c>
      <c r="H2348" s="637" t="s">
        <v>1163</v>
      </c>
      <c r="I2348" s="637" t="s">
        <v>58</v>
      </c>
      <c r="J2348" s="636">
        <v>22</v>
      </c>
      <c r="K2348" s="636">
        <v>2</v>
      </c>
      <c r="L2348" s="637" t="s">
        <v>52</v>
      </c>
      <c r="M2348" s="637" t="s">
        <v>1852</v>
      </c>
      <c r="N2348" s="637" t="s">
        <v>1035</v>
      </c>
      <c r="O2348" s="637" t="s">
        <v>82</v>
      </c>
      <c r="P2348" s="637" t="s">
        <v>2726</v>
      </c>
      <c r="Q2348" s="638">
        <v>12405</v>
      </c>
      <c r="R2348" s="638">
        <v>12405</v>
      </c>
      <c r="S2348" s="638">
        <v>0</v>
      </c>
      <c r="T2348" s="638">
        <v>0</v>
      </c>
      <c r="U2348" s="638">
        <v>-1147</v>
      </c>
      <c r="V2348" s="636">
        <v>2022</v>
      </c>
      <c r="W2348" s="640"/>
      <c r="X2348" s="641" t="str">
        <f t="shared" si="108"/>
        <v/>
      </c>
      <c r="Y2348" s="642" t="str">
        <f t="shared" si="109"/>
        <v/>
      </c>
      <c r="Z2348" s="642" t="str">
        <f t="shared" si="110"/>
        <v/>
      </c>
    </row>
    <row r="2349" spans="1:26" s="127" customFormat="1" ht="25">
      <c r="A2349" s="636">
        <v>64781</v>
      </c>
      <c r="B2349" s="637" t="s">
        <v>33</v>
      </c>
      <c r="C2349" s="636" t="s">
        <v>2725</v>
      </c>
      <c r="D2349" s="637" t="s">
        <v>3432</v>
      </c>
      <c r="E2349" s="637" t="s">
        <v>3433</v>
      </c>
      <c r="F2349" s="636">
        <v>64327</v>
      </c>
      <c r="G2349" s="637" t="s">
        <v>130</v>
      </c>
      <c r="H2349" s="637" t="s">
        <v>1163</v>
      </c>
      <c r="I2349" s="637" t="s">
        <v>58</v>
      </c>
      <c r="J2349" s="636">
        <v>22</v>
      </c>
      <c r="K2349" s="636">
        <v>2</v>
      </c>
      <c r="L2349" s="637" t="s">
        <v>52</v>
      </c>
      <c r="M2349" s="637" t="s">
        <v>441</v>
      </c>
      <c r="N2349" s="637" t="s">
        <v>442</v>
      </c>
      <c r="O2349" s="637" t="s">
        <v>442</v>
      </c>
      <c r="P2349" s="637" t="s">
        <v>1156</v>
      </c>
      <c r="Q2349" s="638">
        <v>0</v>
      </c>
      <c r="R2349" s="638">
        <v>0</v>
      </c>
      <c r="S2349" s="638">
        <v>24635</v>
      </c>
      <c r="T2349" s="638">
        <v>24635</v>
      </c>
      <c r="U2349" s="638">
        <v>7220</v>
      </c>
      <c r="V2349" s="636">
        <v>2022</v>
      </c>
      <c r="W2349" s="640"/>
      <c r="X2349" s="641">
        <f t="shared" si="108"/>
        <v>3.412049861495845</v>
      </c>
      <c r="Y2349" s="642" t="str">
        <f t="shared" si="109"/>
        <v/>
      </c>
      <c r="Z2349" s="642" t="str">
        <f t="shared" si="110"/>
        <v/>
      </c>
    </row>
    <row r="2350" spans="1:26" s="127" customFormat="1" ht="25">
      <c r="A2350" s="636">
        <v>64782</v>
      </c>
      <c r="B2350" s="637" t="s">
        <v>33</v>
      </c>
      <c r="C2350" s="636" t="s">
        <v>2725</v>
      </c>
      <c r="D2350" s="637" t="s">
        <v>3434</v>
      </c>
      <c r="E2350" s="637" t="s">
        <v>3435</v>
      </c>
      <c r="F2350" s="636">
        <v>64328</v>
      </c>
      <c r="G2350" s="637" t="s">
        <v>130</v>
      </c>
      <c r="H2350" s="637" t="s">
        <v>1163</v>
      </c>
      <c r="I2350" s="637" t="s">
        <v>58</v>
      </c>
      <c r="J2350" s="636">
        <v>22</v>
      </c>
      <c r="K2350" s="636">
        <v>2</v>
      </c>
      <c r="L2350" s="637" t="s">
        <v>52</v>
      </c>
      <c r="M2350" s="637" t="s">
        <v>441</v>
      </c>
      <c r="N2350" s="637" t="s">
        <v>442</v>
      </c>
      <c r="O2350" s="637" t="s">
        <v>442</v>
      </c>
      <c r="P2350" s="637" t="s">
        <v>1156</v>
      </c>
      <c r="Q2350" s="638">
        <v>0</v>
      </c>
      <c r="R2350" s="638">
        <v>0</v>
      </c>
      <c r="S2350" s="638">
        <v>12844</v>
      </c>
      <c r="T2350" s="638">
        <v>12844</v>
      </c>
      <c r="U2350" s="638">
        <v>3764</v>
      </c>
      <c r="V2350" s="636">
        <v>2022</v>
      </c>
      <c r="W2350" s="640"/>
      <c r="X2350" s="641">
        <f t="shared" si="108"/>
        <v>3.4123273113708819</v>
      </c>
      <c r="Y2350" s="642" t="str">
        <f t="shared" si="109"/>
        <v/>
      </c>
      <c r="Z2350" s="642" t="str">
        <f t="shared" si="110"/>
        <v/>
      </c>
    </row>
    <row r="2351" spans="1:26" s="127" customFormat="1" ht="25">
      <c r="A2351" s="636">
        <v>64783</v>
      </c>
      <c r="B2351" s="637" t="s">
        <v>33</v>
      </c>
      <c r="C2351" s="636" t="s">
        <v>2725</v>
      </c>
      <c r="D2351" s="637" t="s">
        <v>3436</v>
      </c>
      <c r="E2351" s="637" t="s">
        <v>3437</v>
      </c>
      <c r="F2351" s="636">
        <v>64330</v>
      </c>
      <c r="G2351" s="637" t="s">
        <v>130</v>
      </c>
      <c r="H2351" s="637" t="s">
        <v>1163</v>
      </c>
      <c r="I2351" s="637" t="s">
        <v>58</v>
      </c>
      <c r="J2351" s="636">
        <v>22</v>
      </c>
      <c r="K2351" s="636">
        <v>2</v>
      </c>
      <c r="L2351" s="637" t="s">
        <v>52</v>
      </c>
      <c r="M2351" s="637" t="s">
        <v>441</v>
      </c>
      <c r="N2351" s="637" t="s">
        <v>442</v>
      </c>
      <c r="O2351" s="637" t="s">
        <v>442</v>
      </c>
      <c r="P2351" s="637" t="s">
        <v>1156</v>
      </c>
      <c r="Q2351" s="638">
        <v>0</v>
      </c>
      <c r="R2351" s="638">
        <v>0</v>
      </c>
      <c r="S2351" s="638">
        <v>12413</v>
      </c>
      <c r="T2351" s="638">
        <v>12413</v>
      </c>
      <c r="U2351" s="638">
        <v>3638</v>
      </c>
      <c r="V2351" s="636">
        <v>2022</v>
      </c>
      <c r="W2351" s="640"/>
      <c r="X2351" s="641">
        <f t="shared" si="108"/>
        <v>3.4120395821880152</v>
      </c>
      <c r="Y2351" s="642" t="str">
        <f t="shared" si="109"/>
        <v/>
      </c>
      <c r="Z2351" s="642" t="str">
        <f t="shared" si="110"/>
        <v/>
      </c>
    </row>
    <row r="2352" spans="1:26" s="127" customFormat="1" ht="25">
      <c r="A2352" s="636">
        <v>64788</v>
      </c>
      <c r="B2352" s="637" t="s">
        <v>33</v>
      </c>
      <c r="C2352" s="636" t="s">
        <v>2725</v>
      </c>
      <c r="D2352" s="637" t="s">
        <v>3438</v>
      </c>
      <c r="E2352" s="637" t="s">
        <v>3439</v>
      </c>
      <c r="F2352" s="636">
        <v>64334</v>
      </c>
      <c r="G2352" s="637" t="s">
        <v>57</v>
      </c>
      <c r="H2352" s="637" t="s">
        <v>1162</v>
      </c>
      <c r="I2352" s="637" t="s">
        <v>58</v>
      </c>
      <c r="J2352" s="636">
        <v>22</v>
      </c>
      <c r="K2352" s="636">
        <v>2</v>
      </c>
      <c r="L2352" s="637" t="s">
        <v>52</v>
      </c>
      <c r="M2352" s="637" t="s">
        <v>441</v>
      </c>
      <c r="N2352" s="637" t="s">
        <v>442</v>
      </c>
      <c r="O2352" s="637" t="s">
        <v>442</v>
      </c>
      <c r="P2352" s="637" t="s">
        <v>1156</v>
      </c>
      <c r="Q2352" s="638">
        <v>0</v>
      </c>
      <c r="R2352" s="638">
        <v>0</v>
      </c>
      <c r="S2352" s="638">
        <v>7010</v>
      </c>
      <c r="T2352" s="638">
        <v>7010</v>
      </c>
      <c r="U2352" s="638">
        <v>2054</v>
      </c>
      <c r="V2352" s="636">
        <v>2022</v>
      </c>
      <c r="W2352" s="640"/>
      <c r="X2352" s="641">
        <f t="shared" si="108"/>
        <v>3.412852969814995</v>
      </c>
      <c r="Y2352" s="642" t="str">
        <f t="shared" si="109"/>
        <v/>
      </c>
      <c r="Z2352" s="642" t="str">
        <f t="shared" si="110"/>
        <v/>
      </c>
    </row>
    <row r="2353" spans="1:26" s="127" customFormat="1" ht="25">
      <c r="A2353" s="636">
        <v>64860</v>
      </c>
      <c r="B2353" s="637" t="s">
        <v>33</v>
      </c>
      <c r="C2353" s="636" t="s">
        <v>2725</v>
      </c>
      <c r="D2353" s="637" t="s">
        <v>3440</v>
      </c>
      <c r="E2353" s="637" t="s">
        <v>2277</v>
      </c>
      <c r="F2353" s="636">
        <v>60025</v>
      </c>
      <c r="G2353" s="637" t="s">
        <v>89</v>
      </c>
      <c r="H2353" s="637" t="s">
        <v>1163</v>
      </c>
      <c r="I2353" s="637" t="s">
        <v>58</v>
      </c>
      <c r="J2353" s="636">
        <v>22</v>
      </c>
      <c r="K2353" s="636">
        <v>2</v>
      </c>
      <c r="L2353" s="637" t="s">
        <v>52</v>
      </c>
      <c r="M2353" s="637" t="s">
        <v>441</v>
      </c>
      <c r="N2353" s="637" t="s">
        <v>442</v>
      </c>
      <c r="O2353" s="637" t="s">
        <v>442</v>
      </c>
      <c r="P2353" s="637" t="s">
        <v>1156</v>
      </c>
      <c r="Q2353" s="638">
        <v>0</v>
      </c>
      <c r="R2353" s="638">
        <v>0</v>
      </c>
      <c r="S2353" s="638">
        <v>6854</v>
      </c>
      <c r="T2353" s="638">
        <v>6854</v>
      </c>
      <c r="U2353" s="638">
        <v>2009</v>
      </c>
      <c r="V2353" s="636">
        <v>2022</v>
      </c>
      <c r="W2353" s="640"/>
      <c r="X2353" s="641">
        <f t="shared" si="108"/>
        <v>3.4116475858636139</v>
      </c>
      <c r="Y2353" s="642" t="str">
        <f t="shared" si="109"/>
        <v/>
      </c>
      <c r="Z2353" s="642" t="str">
        <f t="shared" si="110"/>
        <v/>
      </c>
    </row>
    <row r="2354" spans="1:26" s="127" customFormat="1" ht="25">
      <c r="A2354" s="636">
        <v>64863</v>
      </c>
      <c r="B2354" s="637" t="s">
        <v>33</v>
      </c>
      <c r="C2354" s="636" t="s">
        <v>2725</v>
      </c>
      <c r="D2354" s="637" t="s">
        <v>3441</v>
      </c>
      <c r="E2354" s="637" t="s">
        <v>2277</v>
      </c>
      <c r="F2354" s="636">
        <v>60025</v>
      </c>
      <c r="G2354" s="637" t="s">
        <v>89</v>
      </c>
      <c r="H2354" s="637" t="s">
        <v>1163</v>
      </c>
      <c r="I2354" s="637" t="s">
        <v>58</v>
      </c>
      <c r="J2354" s="636">
        <v>22</v>
      </c>
      <c r="K2354" s="636">
        <v>2</v>
      </c>
      <c r="L2354" s="637" t="s">
        <v>52</v>
      </c>
      <c r="M2354" s="637" t="s">
        <v>441</v>
      </c>
      <c r="N2354" s="637" t="s">
        <v>442</v>
      </c>
      <c r="O2354" s="637" t="s">
        <v>442</v>
      </c>
      <c r="P2354" s="637" t="s">
        <v>1156</v>
      </c>
      <c r="Q2354" s="638">
        <v>0</v>
      </c>
      <c r="R2354" s="638">
        <v>0</v>
      </c>
      <c r="S2354" s="638">
        <v>10231</v>
      </c>
      <c r="T2354" s="638">
        <v>10231</v>
      </c>
      <c r="U2354" s="638">
        <v>2999</v>
      </c>
      <c r="V2354" s="636">
        <v>2022</v>
      </c>
      <c r="W2354" s="640"/>
      <c r="X2354" s="641">
        <f t="shared" si="108"/>
        <v>3.4114704901633877</v>
      </c>
      <c r="Y2354" s="642" t="str">
        <f t="shared" si="109"/>
        <v/>
      </c>
      <c r="Z2354" s="642" t="str">
        <f t="shared" si="110"/>
        <v/>
      </c>
    </row>
    <row r="2355" spans="1:26" s="127" customFormat="1" ht="25">
      <c r="A2355" s="636">
        <v>64875</v>
      </c>
      <c r="B2355" s="637" t="s">
        <v>33</v>
      </c>
      <c r="C2355" s="636" t="s">
        <v>2725</v>
      </c>
      <c r="D2355" s="637" t="s">
        <v>3442</v>
      </c>
      <c r="E2355" s="637" t="s">
        <v>3443</v>
      </c>
      <c r="F2355" s="636">
        <v>64381</v>
      </c>
      <c r="G2355" s="637" t="s">
        <v>81</v>
      </c>
      <c r="H2355" s="637" t="s">
        <v>1163</v>
      </c>
      <c r="I2355" s="637" t="s">
        <v>58</v>
      </c>
      <c r="J2355" s="636">
        <v>22</v>
      </c>
      <c r="K2355" s="636">
        <v>2</v>
      </c>
      <c r="L2355" s="637" t="s">
        <v>52</v>
      </c>
      <c r="M2355" s="637" t="s">
        <v>1852</v>
      </c>
      <c r="N2355" s="637" t="s">
        <v>1035</v>
      </c>
      <c r="O2355" s="637" t="s">
        <v>82</v>
      </c>
      <c r="P2355" s="637" t="s">
        <v>2726</v>
      </c>
      <c r="Q2355" s="638">
        <v>24</v>
      </c>
      <c r="R2355" s="638">
        <v>24</v>
      </c>
      <c r="S2355" s="638">
        <v>0</v>
      </c>
      <c r="T2355" s="638">
        <v>0</v>
      </c>
      <c r="U2355" s="638">
        <v>-3</v>
      </c>
      <c r="V2355" s="636">
        <v>2022</v>
      </c>
      <c r="W2355" s="640"/>
      <c r="X2355" s="641" t="str">
        <f t="shared" si="108"/>
        <v/>
      </c>
      <c r="Y2355" s="642" t="str">
        <f t="shared" si="109"/>
        <v/>
      </c>
      <c r="Z2355" s="642" t="str">
        <f t="shared" si="110"/>
        <v/>
      </c>
    </row>
    <row r="2356" spans="1:26" s="127" customFormat="1" ht="25">
      <c r="A2356" s="636">
        <v>64875</v>
      </c>
      <c r="B2356" s="637" t="s">
        <v>33</v>
      </c>
      <c r="C2356" s="636" t="s">
        <v>2725</v>
      </c>
      <c r="D2356" s="637" t="s">
        <v>3442</v>
      </c>
      <c r="E2356" s="637" t="s">
        <v>3443</v>
      </c>
      <c r="F2356" s="636">
        <v>64381</v>
      </c>
      <c r="G2356" s="637" t="s">
        <v>81</v>
      </c>
      <c r="H2356" s="637" t="s">
        <v>1163</v>
      </c>
      <c r="I2356" s="637" t="s">
        <v>58</v>
      </c>
      <c r="J2356" s="636">
        <v>22</v>
      </c>
      <c r="K2356" s="636">
        <v>2</v>
      </c>
      <c r="L2356" s="637" t="s">
        <v>52</v>
      </c>
      <c r="M2356" s="637" t="s">
        <v>441</v>
      </c>
      <c r="N2356" s="637" t="s">
        <v>442</v>
      </c>
      <c r="O2356" s="637" t="s">
        <v>442</v>
      </c>
      <c r="P2356" s="637" t="s">
        <v>1156</v>
      </c>
      <c r="Q2356" s="638">
        <v>0</v>
      </c>
      <c r="R2356" s="638">
        <v>0</v>
      </c>
      <c r="S2356" s="638">
        <v>13394</v>
      </c>
      <c r="T2356" s="638">
        <v>13394</v>
      </c>
      <c r="U2356" s="638">
        <v>3925</v>
      </c>
      <c r="V2356" s="636">
        <v>2022</v>
      </c>
      <c r="W2356" s="640"/>
      <c r="X2356" s="641">
        <f t="shared" si="108"/>
        <v>3.4124840764331212</v>
      </c>
      <c r="Y2356" s="642" t="str">
        <f t="shared" si="109"/>
        <v/>
      </c>
      <c r="Z2356" s="642" t="str">
        <f t="shared" si="110"/>
        <v/>
      </c>
    </row>
    <row r="2357" spans="1:26" s="127" customFormat="1" ht="25">
      <c r="A2357" s="636">
        <v>64876</v>
      </c>
      <c r="B2357" s="637" t="s">
        <v>33</v>
      </c>
      <c r="C2357" s="636" t="s">
        <v>2725</v>
      </c>
      <c r="D2357" s="637" t="s">
        <v>3444</v>
      </c>
      <c r="E2357" s="637" t="s">
        <v>3445</v>
      </c>
      <c r="F2357" s="636">
        <v>64380</v>
      </c>
      <c r="G2357" s="637" t="s">
        <v>81</v>
      </c>
      <c r="H2357" s="637" t="s">
        <v>1163</v>
      </c>
      <c r="I2357" s="637" t="s">
        <v>58</v>
      </c>
      <c r="J2357" s="636">
        <v>22</v>
      </c>
      <c r="K2357" s="636">
        <v>2</v>
      </c>
      <c r="L2357" s="637" t="s">
        <v>52</v>
      </c>
      <c r="M2357" s="637" t="s">
        <v>1852</v>
      </c>
      <c r="N2357" s="637" t="s">
        <v>1035</v>
      </c>
      <c r="O2357" s="637" t="s">
        <v>82</v>
      </c>
      <c r="P2357" s="637" t="s">
        <v>2726</v>
      </c>
      <c r="Q2357" s="638">
        <v>0</v>
      </c>
      <c r="R2357" s="638">
        <v>0</v>
      </c>
      <c r="S2357" s="638">
        <v>0</v>
      </c>
      <c r="T2357" s="638">
        <v>0</v>
      </c>
      <c r="U2357" s="638">
        <v>0</v>
      </c>
      <c r="V2357" s="636">
        <v>2022</v>
      </c>
      <c r="W2357" s="640"/>
      <c r="X2357" s="641" t="str">
        <f t="shared" si="108"/>
        <v/>
      </c>
      <c r="Y2357" s="642" t="str">
        <f t="shared" si="109"/>
        <v/>
      </c>
      <c r="Z2357" s="642" t="str">
        <f t="shared" si="110"/>
        <v/>
      </c>
    </row>
    <row r="2358" spans="1:26" s="127" customFormat="1" ht="25">
      <c r="A2358" s="636">
        <v>64876</v>
      </c>
      <c r="B2358" s="637" t="s">
        <v>33</v>
      </c>
      <c r="C2358" s="636" t="s">
        <v>2725</v>
      </c>
      <c r="D2358" s="637" t="s">
        <v>3444</v>
      </c>
      <c r="E2358" s="637" t="s">
        <v>3445</v>
      </c>
      <c r="F2358" s="636">
        <v>64380</v>
      </c>
      <c r="G2358" s="637" t="s">
        <v>81</v>
      </c>
      <c r="H2358" s="637" t="s">
        <v>1163</v>
      </c>
      <c r="I2358" s="637" t="s">
        <v>58</v>
      </c>
      <c r="J2358" s="636">
        <v>22</v>
      </c>
      <c r="K2358" s="636">
        <v>2</v>
      </c>
      <c r="L2358" s="637" t="s">
        <v>52</v>
      </c>
      <c r="M2358" s="637" t="s">
        <v>441</v>
      </c>
      <c r="N2358" s="637" t="s">
        <v>442</v>
      </c>
      <c r="O2358" s="637" t="s">
        <v>442</v>
      </c>
      <c r="P2358" s="637" t="s">
        <v>1156</v>
      </c>
      <c r="Q2358" s="638">
        <v>0</v>
      </c>
      <c r="R2358" s="638">
        <v>0</v>
      </c>
      <c r="S2358" s="638">
        <v>12619</v>
      </c>
      <c r="T2358" s="638">
        <v>12619</v>
      </c>
      <c r="U2358" s="638">
        <v>3699</v>
      </c>
      <c r="V2358" s="636">
        <v>2022</v>
      </c>
      <c r="W2358" s="640"/>
      <c r="X2358" s="641">
        <f t="shared" si="108"/>
        <v>3.4114625574479591</v>
      </c>
      <c r="Y2358" s="642" t="str">
        <f t="shared" si="109"/>
        <v/>
      </c>
      <c r="Z2358" s="642" t="str">
        <f t="shared" si="110"/>
        <v/>
      </c>
    </row>
    <row r="2359" spans="1:26" s="127" customFormat="1" ht="25">
      <c r="A2359" s="636">
        <v>64931</v>
      </c>
      <c r="B2359" s="637" t="s">
        <v>33</v>
      </c>
      <c r="C2359" s="636" t="s">
        <v>2725</v>
      </c>
      <c r="D2359" s="637" t="s">
        <v>3684</v>
      </c>
      <c r="E2359" s="637" t="s">
        <v>2277</v>
      </c>
      <c r="F2359" s="636">
        <v>60025</v>
      </c>
      <c r="G2359" s="637" t="s">
        <v>57</v>
      </c>
      <c r="H2359" s="637" t="s">
        <v>1162</v>
      </c>
      <c r="I2359" s="637" t="s">
        <v>58</v>
      </c>
      <c r="J2359" s="636">
        <v>22</v>
      </c>
      <c r="K2359" s="636">
        <v>2</v>
      </c>
      <c r="L2359" s="637" t="s">
        <v>52</v>
      </c>
      <c r="M2359" s="637" t="s">
        <v>441</v>
      </c>
      <c r="N2359" s="637" t="s">
        <v>442</v>
      </c>
      <c r="O2359" s="637" t="s">
        <v>442</v>
      </c>
      <c r="P2359" s="637" t="s">
        <v>1156</v>
      </c>
      <c r="Q2359" s="638">
        <v>0</v>
      </c>
      <c r="R2359" s="638">
        <v>0</v>
      </c>
      <c r="S2359" s="638">
        <v>6867</v>
      </c>
      <c r="T2359" s="638">
        <v>6867</v>
      </c>
      <c r="U2359" s="638">
        <v>2013</v>
      </c>
      <c r="V2359" s="636">
        <v>2022</v>
      </c>
      <c r="W2359" s="640"/>
      <c r="X2359" s="641">
        <f t="shared" si="108"/>
        <v>3.4113263785394934</v>
      </c>
      <c r="Y2359" s="642" t="str">
        <f t="shared" si="109"/>
        <v/>
      </c>
      <c r="Z2359" s="642" t="str">
        <f t="shared" si="110"/>
        <v/>
      </c>
    </row>
    <row r="2360" spans="1:26" s="127" customFormat="1" ht="25">
      <c r="A2360" s="636">
        <v>64964</v>
      </c>
      <c r="B2360" s="637" t="s">
        <v>33</v>
      </c>
      <c r="C2360" s="636" t="s">
        <v>2725</v>
      </c>
      <c r="D2360" s="637" t="s">
        <v>3685</v>
      </c>
      <c r="E2360" s="637" t="s">
        <v>3686</v>
      </c>
      <c r="F2360" s="636">
        <v>64415</v>
      </c>
      <c r="G2360" s="637" t="s">
        <v>57</v>
      </c>
      <c r="H2360" s="637" t="s">
        <v>1162</v>
      </c>
      <c r="I2360" s="637" t="s">
        <v>58</v>
      </c>
      <c r="J2360" s="636">
        <v>22</v>
      </c>
      <c r="K2360" s="636">
        <v>2</v>
      </c>
      <c r="L2360" s="637" t="s">
        <v>52</v>
      </c>
      <c r="M2360" s="637" t="s">
        <v>441</v>
      </c>
      <c r="N2360" s="637" t="s">
        <v>442</v>
      </c>
      <c r="O2360" s="637" t="s">
        <v>442</v>
      </c>
      <c r="P2360" s="637" t="s">
        <v>1156</v>
      </c>
      <c r="Q2360" s="638">
        <v>0</v>
      </c>
      <c r="R2360" s="638">
        <v>0</v>
      </c>
      <c r="S2360" s="638">
        <v>9761</v>
      </c>
      <c r="T2360" s="638">
        <v>9761</v>
      </c>
      <c r="U2360" s="638">
        <v>2861</v>
      </c>
      <c r="V2360" s="636">
        <v>2022</v>
      </c>
      <c r="W2360" s="640"/>
      <c r="X2360" s="641">
        <f t="shared" si="108"/>
        <v>3.4117441454037052</v>
      </c>
      <c r="Y2360" s="642" t="str">
        <f t="shared" si="109"/>
        <v/>
      </c>
      <c r="Z2360" s="642" t="str">
        <f t="shared" si="110"/>
        <v/>
      </c>
    </row>
    <row r="2361" spans="1:26" s="127" customFormat="1" ht="25">
      <c r="A2361" s="636">
        <v>64965</v>
      </c>
      <c r="B2361" s="637" t="s">
        <v>33</v>
      </c>
      <c r="C2361" s="636" t="s">
        <v>2725</v>
      </c>
      <c r="D2361" s="637" t="s">
        <v>3687</v>
      </c>
      <c r="E2361" s="637" t="s">
        <v>3688</v>
      </c>
      <c r="F2361" s="636">
        <v>64416</v>
      </c>
      <c r="G2361" s="637" t="s">
        <v>57</v>
      </c>
      <c r="H2361" s="637" t="s">
        <v>1162</v>
      </c>
      <c r="I2361" s="637" t="s">
        <v>58</v>
      </c>
      <c r="J2361" s="636">
        <v>22</v>
      </c>
      <c r="K2361" s="636">
        <v>2</v>
      </c>
      <c r="L2361" s="637" t="s">
        <v>52</v>
      </c>
      <c r="M2361" s="637" t="s">
        <v>441</v>
      </c>
      <c r="N2361" s="637" t="s">
        <v>442</v>
      </c>
      <c r="O2361" s="637" t="s">
        <v>442</v>
      </c>
      <c r="P2361" s="637" t="s">
        <v>1156</v>
      </c>
      <c r="Q2361" s="638">
        <v>0</v>
      </c>
      <c r="R2361" s="638">
        <v>0</v>
      </c>
      <c r="S2361" s="638">
        <v>13433</v>
      </c>
      <c r="T2361" s="638">
        <v>13433</v>
      </c>
      <c r="U2361" s="638">
        <v>3937</v>
      </c>
      <c r="V2361" s="636">
        <v>2022</v>
      </c>
      <c r="W2361" s="640"/>
      <c r="X2361" s="641">
        <f t="shared" si="108"/>
        <v>3.4119888239776479</v>
      </c>
      <c r="Y2361" s="642" t="str">
        <f t="shared" si="109"/>
        <v/>
      </c>
      <c r="Z2361" s="642" t="str">
        <f t="shared" si="110"/>
        <v/>
      </c>
    </row>
    <row r="2362" spans="1:26" s="127" customFormat="1" ht="25">
      <c r="A2362" s="636">
        <v>64970</v>
      </c>
      <c r="B2362" s="637" t="s">
        <v>33</v>
      </c>
      <c r="C2362" s="636" t="s">
        <v>2725</v>
      </c>
      <c r="D2362" s="637" t="s">
        <v>3446</v>
      </c>
      <c r="E2362" s="637" t="s">
        <v>3447</v>
      </c>
      <c r="F2362" s="636">
        <v>64417</v>
      </c>
      <c r="G2362" s="637" t="s">
        <v>81</v>
      </c>
      <c r="H2362" s="637" t="s">
        <v>1163</v>
      </c>
      <c r="I2362" s="637" t="s">
        <v>58</v>
      </c>
      <c r="J2362" s="636">
        <v>22</v>
      </c>
      <c r="K2362" s="636">
        <v>2</v>
      </c>
      <c r="L2362" s="637" t="s">
        <v>52</v>
      </c>
      <c r="M2362" s="637" t="s">
        <v>1852</v>
      </c>
      <c r="N2362" s="637" t="s">
        <v>1035</v>
      </c>
      <c r="O2362" s="637" t="s">
        <v>82</v>
      </c>
      <c r="P2362" s="637" t="s">
        <v>2726</v>
      </c>
      <c r="Q2362" s="638">
        <v>0</v>
      </c>
      <c r="R2362" s="638">
        <v>0</v>
      </c>
      <c r="S2362" s="638">
        <v>0</v>
      </c>
      <c r="T2362" s="638">
        <v>0</v>
      </c>
      <c r="U2362" s="638">
        <v>0</v>
      </c>
      <c r="V2362" s="636">
        <v>2022</v>
      </c>
      <c r="W2362" s="640"/>
      <c r="X2362" s="641" t="str">
        <f t="shared" si="108"/>
        <v/>
      </c>
      <c r="Y2362" s="642" t="str">
        <f t="shared" si="109"/>
        <v/>
      </c>
      <c r="Z2362" s="642" t="str">
        <f t="shared" si="110"/>
        <v/>
      </c>
    </row>
    <row r="2363" spans="1:26" s="127" customFormat="1" ht="25">
      <c r="A2363" s="636">
        <v>64970</v>
      </c>
      <c r="B2363" s="637" t="s">
        <v>33</v>
      </c>
      <c r="C2363" s="636" t="s">
        <v>2725</v>
      </c>
      <c r="D2363" s="637" t="s">
        <v>3446</v>
      </c>
      <c r="E2363" s="637" t="s">
        <v>3447</v>
      </c>
      <c r="F2363" s="636">
        <v>64417</v>
      </c>
      <c r="G2363" s="637" t="s">
        <v>81</v>
      </c>
      <c r="H2363" s="637" t="s">
        <v>1163</v>
      </c>
      <c r="I2363" s="637" t="s">
        <v>58</v>
      </c>
      <c r="J2363" s="636">
        <v>22</v>
      </c>
      <c r="K2363" s="636">
        <v>2</v>
      </c>
      <c r="L2363" s="637" t="s">
        <v>52</v>
      </c>
      <c r="M2363" s="637" t="s">
        <v>441</v>
      </c>
      <c r="N2363" s="637" t="s">
        <v>442</v>
      </c>
      <c r="O2363" s="637" t="s">
        <v>442</v>
      </c>
      <c r="P2363" s="637" t="s">
        <v>1156</v>
      </c>
      <c r="Q2363" s="638">
        <v>0</v>
      </c>
      <c r="R2363" s="638">
        <v>0</v>
      </c>
      <c r="S2363" s="638">
        <v>27327</v>
      </c>
      <c r="T2363" s="638">
        <v>27327</v>
      </c>
      <c r="U2363" s="638">
        <v>8009</v>
      </c>
      <c r="V2363" s="636">
        <v>2022</v>
      </c>
      <c r="W2363" s="640"/>
      <c r="X2363" s="641">
        <f t="shared" si="108"/>
        <v>3.4120364589836436</v>
      </c>
      <c r="Y2363" s="642" t="str">
        <f t="shared" si="109"/>
        <v/>
      </c>
      <c r="Z2363" s="642" t="str">
        <f t="shared" si="110"/>
        <v/>
      </c>
    </row>
    <row r="2364" spans="1:26" s="127" customFormat="1" ht="25">
      <c r="A2364" s="636">
        <v>64975</v>
      </c>
      <c r="B2364" s="637" t="s">
        <v>33</v>
      </c>
      <c r="C2364" s="636" t="s">
        <v>2725</v>
      </c>
      <c r="D2364" s="637" t="s">
        <v>3448</v>
      </c>
      <c r="E2364" s="637" t="s">
        <v>2277</v>
      </c>
      <c r="F2364" s="636">
        <v>60025</v>
      </c>
      <c r="G2364" s="637" t="s">
        <v>89</v>
      </c>
      <c r="H2364" s="637" t="s">
        <v>1163</v>
      </c>
      <c r="I2364" s="637" t="s">
        <v>58</v>
      </c>
      <c r="J2364" s="636">
        <v>22</v>
      </c>
      <c r="K2364" s="636">
        <v>2</v>
      </c>
      <c r="L2364" s="637" t="s">
        <v>52</v>
      </c>
      <c r="M2364" s="637" t="s">
        <v>441</v>
      </c>
      <c r="N2364" s="637" t="s">
        <v>442</v>
      </c>
      <c r="O2364" s="637" t="s">
        <v>442</v>
      </c>
      <c r="P2364" s="637" t="s">
        <v>1156</v>
      </c>
      <c r="Q2364" s="638">
        <v>0</v>
      </c>
      <c r="R2364" s="638">
        <v>0</v>
      </c>
      <c r="S2364" s="638">
        <v>10005</v>
      </c>
      <c r="T2364" s="638">
        <v>10005</v>
      </c>
      <c r="U2364" s="638">
        <v>2932</v>
      </c>
      <c r="V2364" s="636">
        <v>2022</v>
      </c>
      <c r="W2364" s="640"/>
      <c r="X2364" s="641">
        <f t="shared" si="108"/>
        <v>3.4123465211459756</v>
      </c>
      <c r="Y2364" s="642" t="str">
        <f t="shared" si="109"/>
        <v/>
      </c>
      <c r="Z2364" s="642" t="str">
        <f t="shared" si="110"/>
        <v/>
      </c>
    </row>
    <row r="2365" spans="1:26" s="127" customFormat="1" ht="25">
      <c r="A2365" s="636">
        <v>64977</v>
      </c>
      <c r="B2365" s="637" t="s">
        <v>33</v>
      </c>
      <c r="C2365" s="636" t="s">
        <v>2725</v>
      </c>
      <c r="D2365" s="637" t="s">
        <v>3449</v>
      </c>
      <c r="E2365" s="637" t="s">
        <v>3450</v>
      </c>
      <c r="F2365" s="636">
        <v>64426</v>
      </c>
      <c r="G2365" s="637" t="s">
        <v>41</v>
      </c>
      <c r="H2365" s="637" t="s">
        <v>1163</v>
      </c>
      <c r="I2365" s="637" t="s">
        <v>58</v>
      </c>
      <c r="J2365" s="636">
        <v>22</v>
      </c>
      <c r="K2365" s="636">
        <v>2</v>
      </c>
      <c r="L2365" s="637" t="s">
        <v>52</v>
      </c>
      <c r="M2365" s="637" t="s">
        <v>441</v>
      </c>
      <c r="N2365" s="637" t="s">
        <v>442</v>
      </c>
      <c r="O2365" s="637" t="s">
        <v>442</v>
      </c>
      <c r="P2365" s="637" t="s">
        <v>1156</v>
      </c>
      <c r="Q2365" s="638">
        <v>0</v>
      </c>
      <c r="R2365" s="638">
        <v>0</v>
      </c>
      <c r="S2365" s="638">
        <v>12527</v>
      </c>
      <c r="T2365" s="638">
        <v>12527</v>
      </c>
      <c r="U2365" s="638">
        <v>3671</v>
      </c>
      <c r="V2365" s="636">
        <v>2022</v>
      </c>
      <c r="W2365" s="640"/>
      <c r="X2365" s="641">
        <f t="shared" si="108"/>
        <v>3.4124216834649959</v>
      </c>
      <c r="Y2365" s="642" t="str">
        <f t="shared" si="109"/>
        <v/>
      </c>
      <c r="Z2365" s="642" t="str">
        <f t="shared" si="110"/>
        <v/>
      </c>
    </row>
    <row r="2366" spans="1:26" s="127" customFormat="1" ht="25">
      <c r="A2366" s="636">
        <v>64978</v>
      </c>
      <c r="B2366" s="637" t="s">
        <v>33</v>
      </c>
      <c r="C2366" s="636" t="s">
        <v>2725</v>
      </c>
      <c r="D2366" s="637" t="s">
        <v>3451</v>
      </c>
      <c r="E2366" s="637" t="s">
        <v>3450</v>
      </c>
      <c r="F2366" s="636">
        <v>64426</v>
      </c>
      <c r="G2366" s="637" t="s">
        <v>41</v>
      </c>
      <c r="H2366" s="637" t="s">
        <v>1163</v>
      </c>
      <c r="I2366" s="637" t="s">
        <v>58</v>
      </c>
      <c r="J2366" s="636">
        <v>22</v>
      </c>
      <c r="K2366" s="636">
        <v>2</v>
      </c>
      <c r="L2366" s="637" t="s">
        <v>52</v>
      </c>
      <c r="M2366" s="637" t="s">
        <v>441</v>
      </c>
      <c r="N2366" s="637" t="s">
        <v>442</v>
      </c>
      <c r="O2366" s="637" t="s">
        <v>442</v>
      </c>
      <c r="P2366" s="637" t="s">
        <v>1156</v>
      </c>
      <c r="Q2366" s="638">
        <v>0</v>
      </c>
      <c r="R2366" s="638">
        <v>0</v>
      </c>
      <c r="S2366" s="638">
        <v>18860</v>
      </c>
      <c r="T2366" s="638">
        <v>18860</v>
      </c>
      <c r="U2366" s="638">
        <v>5527</v>
      </c>
      <c r="V2366" s="636">
        <v>2022</v>
      </c>
      <c r="W2366" s="640"/>
      <c r="X2366" s="641">
        <f t="shared" si="108"/>
        <v>3.4123394246426635</v>
      </c>
      <c r="Y2366" s="642" t="str">
        <f t="shared" si="109"/>
        <v/>
      </c>
      <c r="Z2366" s="642" t="str">
        <f t="shared" si="110"/>
        <v/>
      </c>
    </row>
    <row r="2367" spans="1:26" s="127" customFormat="1" ht="25">
      <c r="A2367" s="636">
        <v>64979</v>
      </c>
      <c r="B2367" s="637" t="s">
        <v>33</v>
      </c>
      <c r="C2367" s="636" t="s">
        <v>2725</v>
      </c>
      <c r="D2367" s="637" t="s">
        <v>3452</v>
      </c>
      <c r="E2367" s="637" t="s">
        <v>3450</v>
      </c>
      <c r="F2367" s="636">
        <v>64426</v>
      </c>
      <c r="G2367" s="637" t="s">
        <v>41</v>
      </c>
      <c r="H2367" s="637" t="s">
        <v>1163</v>
      </c>
      <c r="I2367" s="637" t="s">
        <v>58</v>
      </c>
      <c r="J2367" s="636">
        <v>22</v>
      </c>
      <c r="K2367" s="636">
        <v>2</v>
      </c>
      <c r="L2367" s="637" t="s">
        <v>52</v>
      </c>
      <c r="M2367" s="637" t="s">
        <v>441</v>
      </c>
      <c r="N2367" s="637" t="s">
        <v>442</v>
      </c>
      <c r="O2367" s="637" t="s">
        <v>442</v>
      </c>
      <c r="P2367" s="637" t="s">
        <v>1156</v>
      </c>
      <c r="Q2367" s="638">
        <v>0</v>
      </c>
      <c r="R2367" s="638">
        <v>0</v>
      </c>
      <c r="S2367" s="638">
        <v>11560</v>
      </c>
      <c r="T2367" s="638">
        <v>11560</v>
      </c>
      <c r="U2367" s="638">
        <v>3388</v>
      </c>
      <c r="V2367" s="636">
        <v>2022</v>
      </c>
      <c r="W2367" s="640"/>
      <c r="X2367" s="641">
        <f t="shared" si="108"/>
        <v>3.4120425029515937</v>
      </c>
      <c r="Y2367" s="642" t="str">
        <f t="shared" si="109"/>
        <v/>
      </c>
      <c r="Z2367" s="642" t="str">
        <f t="shared" si="110"/>
        <v/>
      </c>
    </row>
    <row r="2368" spans="1:26" s="127" customFormat="1" ht="37.5" hidden="1">
      <c r="A2368" s="636">
        <v>64980</v>
      </c>
      <c r="B2368" s="637" t="s">
        <v>33</v>
      </c>
      <c r="C2368" s="636" t="s">
        <v>2725</v>
      </c>
      <c r="D2368" s="637" t="s">
        <v>3453</v>
      </c>
      <c r="E2368" s="637" t="s">
        <v>3453</v>
      </c>
      <c r="F2368" s="636">
        <v>64427</v>
      </c>
      <c r="G2368" s="637" t="s">
        <v>81</v>
      </c>
      <c r="H2368" s="637" t="s">
        <v>1163</v>
      </c>
      <c r="I2368" s="637" t="s">
        <v>58</v>
      </c>
      <c r="J2368" s="636">
        <v>611</v>
      </c>
      <c r="K2368" s="636">
        <v>4</v>
      </c>
      <c r="L2368" s="637" t="s">
        <v>406</v>
      </c>
      <c r="M2368" s="637" t="s">
        <v>1852</v>
      </c>
      <c r="N2368" s="637" t="s">
        <v>1035</v>
      </c>
      <c r="O2368" s="637" t="s">
        <v>82</v>
      </c>
      <c r="P2368" s="637" t="s">
        <v>2726</v>
      </c>
      <c r="Q2368" s="638">
        <v>69</v>
      </c>
      <c r="R2368" s="638">
        <v>69</v>
      </c>
      <c r="S2368" s="638">
        <v>0</v>
      </c>
      <c r="T2368" s="638">
        <v>0</v>
      </c>
      <c r="U2368" s="638">
        <v>-21</v>
      </c>
      <c r="V2368" s="636">
        <v>2022</v>
      </c>
      <c r="W2368" s="640"/>
      <c r="X2368" s="641" t="str">
        <f t="shared" si="108"/>
        <v/>
      </c>
      <c r="Y2368" s="642" t="str">
        <f t="shared" si="109"/>
        <v/>
      </c>
      <c r="Z2368" s="642" t="str">
        <f t="shared" si="110"/>
        <v/>
      </c>
    </row>
    <row r="2369" spans="1:26" s="127" customFormat="1" ht="37.5" hidden="1">
      <c r="A2369" s="636">
        <v>64980</v>
      </c>
      <c r="B2369" s="637" t="s">
        <v>33</v>
      </c>
      <c r="C2369" s="636" t="s">
        <v>2725</v>
      </c>
      <c r="D2369" s="637" t="s">
        <v>3453</v>
      </c>
      <c r="E2369" s="637" t="s">
        <v>3453</v>
      </c>
      <c r="F2369" s="636">
        <v>64427</v>
      </c>
      <c r="G2369" s="637" t="s">
        <v>81</v>
      </c>
      <c r="H2369" s="637" t="s">
        <v>1163</v>
      </c>
      <c r="I2369" s="637" t="s">
        <v>58</v>
      </c>
      <c r="J2369" s="636">
        <v>611</v>
      </c>
      <c r="K2369" s="636">
        <v>4</v>
      </c>
      <c r="L2369" s="637" t="s">
        <v>406</v>
      </c>
      <c r="M2369" s="637" t="s">
        <v>51</v>
      </c>
      <c r="N2369" s="637" t="s">
        <v>46</v>
      </c>
      <c r="O2369" s="637" t="s">
        <v>46</v>
      </c>
      <c r="P2369" s="637" t="s">
        <v>47</v>
      </c>
      <c r="Q2369" s="638">
        <v>118</v>
      </c>
      <c r="R2369" s="638">
        <v>118</v>
      </c>
      <c r="S2369" s="638">
        <v>686</v>
      </c>
      <c r="T2369" s="638">
        <v>686</v>
      </c>
      <c r="U2369" s="638">
        <v>62</v>
      </c>
      <c r="V2369" s="636">
        <v>2022</v>
      </c>
      <c r="W2369" s="640"/>
      <c r="X2369" s="641" t="str">
        <f t="shared" si="108"/>
        <v/>
      </c>
      <c r="Y2369" s="642" t="str">
        <f t="shared" si="109"/>
        <v/>
      </c>
      <c r="Z2369" s="642" t="str">
        <f t="shared" si="110"/>
        <v/>
      </c>
    </row>
    <row r="2370" spans="1:26" s="127" customFormat="1" ht="37.5" hidden="1">
      <c r="A2370" s="636">
        <v>64980</v>
      </c>
      <c r="B2370" s="637" t="s">
        <v>33</v>
      </c>
      <c r="C2370" s="636" t="s">
        <v>2725</v>
      </c>
      <c r="D2370" s="637" t="s">
        <v>3453</v>
      </c>
      <c r="E2370" s="637" t="s">
        <v>3453</v>
      </c>
      <c r="F2370" s="636">
        <v>64427</v>
      </c>
      <c r="G2370" s="637" t="s">
        <v>81</v>
      </c>
      <c r="H2370" s="637" t="s">
        <v>1163</v>
      </c>
      <c r="I2370" s="637" t="s">
        <v>58</v>
      </c>
      <c r="J2370" s="636">
        <v>611</v>
      </c>
      <c r="K2370" s="636">
        <v>4</v>
      </c>
      <c r="L2370" s="637" t="s">
        <v>406</v>
      </c>
      <c r="M2370" s="637" t="s">
        <v>441</v>
      </c>
      <c r="N2370" s="637" t="s">
        <v>442</v>
      </c>
      <c r="O2370" s="637" t="s">
        <v>442</v>
      </c>
      <c r="P2370" s="637" t="s">
        <v>1156</v>
      </c>
      <c r="Q2370" s="638">
        <v>0</v>
      </c>
      <c r="R2370" s="638">
        <v>0</v>
      </c>
      <c r="S2370" s="638">
        <v>4089</v>
      </c>
      <c r="T2370" s="638">
        <v>4089</v>
      </c>
      <c r="U2370" s="638">
        <v>1198</v>
      </c>
      <c r="V2370" s="636">
        <v>2022</v>
      </c>
      <c r="W2370" s="640"/>
      <c r="X2370" s="641" t="str">
        <f t="shared" si="108"/>
        <v/>
      </c>
      <c r="Y2370" s="642" t="str">
        <f t="shared" si="109"/>
        <v/>
      </c>
      <c r="Z2370" s="642" t="str">
        <f t="shared" si="110"/>
        <v/>
      </c>
    </row>
    <row r="2371" spans="1:26" s="127" customFormat="1" ht="25">
      <c r="A2371" s="636">
        <v>65015</v>
      </c>
      <c r="B2371" s="637" t="s">
        <v>33</v>
      </c>
      <c r="C2371" s="636" t="s">
        <v>2725</v>
      </c>
      <c r="D2371" s="637" t="s">
        <v>3689</v>
      </c>
      <c r="E2371" s="637" t="s">
        <v>3690</v>
      </c>
      <c r="F2371" s="636">
        <v>65500</v>
      </c>
      <c r="G2371" s="637" t="s">
        <v>81</v>
      </c>
      <c r="H2371" s="637" t="s">
        <v>1163</v>
      </c>
      <c r="I2371" s="637" t="s">
        <v>58</v>
      </c>
      <c r="J2371" s="636">
        <v>22</v>
      </c>
      <c r="K2371" s="636">
        <v>2</v>
      </c>
      <c r="L2371" s="637" t="s">
        <v>52</v>
      </c>
      <c r="M2371" s="637" t="s">
        <v>1852</v>
      </c>
      <c r="N2371" s="637" t="s">
        <v>1035</v>
      </c>
      <c r="O2371" s="637" t="s">
        <v>82</v>
      </c>
      <c r="P2371" s="637" t="s">
        <v>2726</v>
      </c>
      <c r="Q2371" s="638">
        <v>715</v>
      </c>
      <c r="R2371" s="638">
        <v>715</v>
      </c>
      <c r="S2371" s="638">
        <v>0</v>
      </c>
      <c r="T2371" s="638">
        <v>0</v>
      </c>
      <c r="U2371" s="638">
        <v>-14</v>
      </c>
      <c r="V2371" s="636">
        <v>2022</v>
      </c>
      <c r="W2371" s="640"/>
      <c r="X2371" s="641" t="str">
        <f t="shared" si="108"/>
        <v/>
      </c>
      <c r="Y2371" s="642" t="str">
        <f t="shared" si="109"/>
        <v/>
      </c>
      <c r="Z2371" s="642" t="str">
        <f t="shared" si="110"/>
        <v/>
      </c>
    </row>
    <row r="2372" spans="1:26" s="127" customFormat="1" ht="25">
      <c r="A2372" s="636">
        <v>65015</v>
      </c>
      <c r="B2372" s="637" t="s">
        <v>33</v>
      </c>
      <c r="C2372" s="636" t="s">
        <v>2725</v>
      </c>
      <c r="D2372" s="637" t="s">
        <v>3689</v>
      </c>
      <c r="E2372" s="637" t="s">
        <v>3690</v>
      </c>
      <c r="F2372" s="636">
        <v>65500</v>
      </c>
      <c r="G2372" s="637" t="s">
        <v>81</v>
      </c>
      <c r="H2372" s="637" t="s">
        <v>1163</v>
      </c>
      <c r="I2372" s="637" t="s">
        <v>58</v>
      </c>
      <c r="J2372" s="636">
        <v>22</v>
      </c>
      <c r="K2372" s="636">
        <v>2</v>
      </c>
      <c r="L2372" s="637" t="s">
        <v>52</v>
      </c>
      <c r="M2372" s="637" t="s">
        <v>441</v>
      </c>
      <c r="N2372" s="637" t="s">
        <v>442</v>
      </c>
      <c r="O2372" s="637" t="s">
        <v>442</v>
      </c>
      <c r="P2372" s="637" t="s">
        <v>1156</v>
      </c>
      <c r="Q2372" s="638">
        <v>0</v>
      </c>
      <c r="R2372" s="638">
        <v>0</v>
      </c>
      <c r="S2372" s="638">
        <v>27641</v>
      </c>
      <c r="T2372" s="638">
        <v>27641</v>
      </c>
      <c r="U2372" s="638">
        <v>8101</v>
      </c>
      <c r="V2372" s="636">
        <v>2022</v>
      </c>
      <c r="W2372" s="640"/>
      <c r="X2372" s="641">
        <f t="shared" si="108"/>
        <v>3.4120478953215652</v>
      </c>
      <c r="Y2372" s="642" t="str">
        <f t="shared" si="109"/>
        <v/>
      </c>
      <c r="Z2372" s="642" t="str">
        <f t="shared" si="110"/>
        <v/>
      </c>
    </row>
    <row r="2373" spans="1:26" s="127" customFormat="1" ht="25">
      <c r="A2373" s="636">
        <v>65054</v>
      </c>
      <c r="B2373" s="637" t="s">
        <v>33</v>
      </c>
      <c r="C2373" s="636" t="s">
        <v>2725</v>
      </c>
      <c r="D2373" s="637" t="s">
        <v>3454</v>
      </c>
      <c r="E2373" s="637" t="s">
        <v>3455</v>
      </c>
      <c r="F2373" s="636">
        <v>64470</v>
      </c>
      <c r="G2373" s="637" t="s">
        <v>81</v>
      </c>
      <c r="H2373" s="637" t="s">
        <v>1163</v>
      </c>
      <c r="I2373" s="637" t="s">
        <v>58</v>
      </c>
      <c r="J2373" s="636">
        <v>22</v>
      </c>
      <c r="K2373" s="636">
        <v>2</v>
      </c>
      <c r="L2373" s="637" t="s">
        <v>52</v>
      </c>
      <c r="M2373" s="637" t="s">
        <v>1852</v>
      </c>
      <c r="N2373" s="637" t="s">
        <v>1035</v>
      </c>
      <c r="O2373" s="637" t="s">
        <v>82</v>
      </c>
      <c r="P2373" s="637" t="s">
        <v>2726</v>
      </c>
      <c r="Q2373" s="638">
        <v>0</v>
      </c>
      <c r="R2373" s="638">
        <v>0</v>
      </c>
      <c r="S2373" s="638">
        <v>0</v>
      </c>
      <c r="T2373" s="638">
        <v>0</v>
      </c>
      <c r="U2373" s="638">
        <v>0</v>
      </c>
      <c r="V2373" s="636">
        <v>2022</v>
      </c>
      <c r="W2373" s="640"/>
      <c r="X2373" s="641" t="str">
        <f t="shared" si="108"/>
        <v/>
      </c>
      <c r="Y2373" s="642" t="str">
        <f t="shared" si="109"/>
        <v/>
      </c>
      <c r="Z2373" s="642" t="str">
        <f t="shared" si="110"/>
        <v/>
      </c>
    </row>
    <row r="2374" spans="1:26" s="127" customFormat="1" ht="25">
      <c r="A2374" s="636">
        <v>65054</v>
      </c>
      <c r="B2374" s="637" t="s">
        <v>33</v>
      </c>
      <c r="C2374" s="636" t="s">
        <v>2725</v>
      </c>
      <c r="D2374" s="637" t="s">
        <v>3454</v>
      </c>
      <c r="E2374" s="637" t="s">
        <v>3455</v>
      </c>
      <c r="F2374" s="636">
        <v>64470</v>
      </c>
      <c r="G2374" s="637" t="s">
        <v>81</v>
      </c>
      <c r="H2374" s="637" t="s">
        <v>1163</v>
      </c>
      <c r="I2374" s="637" t="s">
        <v>58</v>
      </c>
      <c r="J2374" s="636">
        <v>22</v>
      </c>
      <c r="K2374" s="636">
        <v>2</v>
      </c>
      <c r="L2374" s="637" t="s">
        <v>52</v>
      </c>
      <c r="M2374" s="637" t="s">
        <v>441</v>
      </c>
      <c r="N2374" s="637" t="s">
        <v>442</v>
      </c>
      <c r="O2374" s="637" t="s">
        <v>442</v>
      </c>
      <c r="P2374" s="637" t="s">
        <v>1156</v>
      </c>
      <c r="Q2374" s="638">
        <v>0</v>
      </c>
      <c r="R2374" s="638">
        <v>0</v>
      </c>
      <c r="S2374" s="638">
        <v>8858</v>
      </c>
      <c r="T2374" s="638">
        <v>8858</v>
      </c>
      <c r="U2374" s="638">
        <v>2596</v>
      </c>
      <c r="V2374" s="636">
        <v>2022</v>
      </c>
      <c r="W2374" s="640"/>
      <c r="X2374" s="641">
        <f t="shared" si="108"/>
        <v>3.4121725731895225</v>
      </c>
      <c r="Y2374" s="642" t="str">
        <f t="shared" si="109"/>
        <v/>
      </c>
      <c r="Z2374" s="642" t="str">
        <f t="shared" si="110"/>
        <v/>
      </c>
    </row>
    <row r="2375" spans="1:26" s="127" customFormat="1" ht="25">
      <c r="A2375" s="636">
        <v>65055</v>
      </c>
      <c r="B2375" s="637" t="s">
        <v>33</v>
      </c>
      <c r="C2375" s="636" t="s">
        <v>2725</v>
      </c>
      <c r="D2375" s="637" t="s">
        <v>3456</v>
      </c>
      <c r="E2375" s="637" t="s">
        <v>3457</v>
      </c>
      <c r="F2375" s="636">
        <v>64471</v>
      </c>
      <c r="G2375" s="637" t="s">
        <v>81</v>
      </c>
      <c r="H2375" s="637" t="s">
        <v>1163</v>
      </c>
      <c r="I2375" s="637" t="s">
        <v>58</v>
      </c>
      <c r="J2375" s="636">
        <v>22</v>
      </c>
      <c r="K2375" s="636">
        <v>2</v>
      </c>
      <c r="L2375" s="637" t="s">
        <v>52</v>
      </c>
      <c r="M2375" s="637" t="s">
        <v>1852</v>
      </c>
      <c r="N2375" s="637" t="s">
        <v>1035</v>
      </c>
      <c r="O2375" s="637" t="s">
        <v>82</v>
      </c>
      <c r="P2375" s="637" t="s">
        <v>2726</v>
      </c>
      <c r="Q2375" s="638">
        <v>0</v>
      </c>
      <c r="R2375" s="638">
        <v>0</v>
      </c>
      <c r="S2375" s="638">
        <v>0</v>
      </c>
      <c r="T2375" s="638">
        <v>0</v>
      </c>
      <c r="U2375" s="638">
        <v>0</v>
      </c>
      <c r="V2375" s="636">
        <v>2022</v>
      </c>
      <c r="W2375" s="640"/>
      <c r="X2375" s="641" t="str">
        <f t="shared" si="108"/>
        <v/>
      </c>
      <c r="Y2375" s="642" t="str">
        <f t="shared" si="109"/>
        <v/>
      </c>
      <c r="Z2375" s="642" t="str">
        <f t="shared" si="110"/>
        <v/>
      </c>
    </row>
    <row r="2376" spans="1:26" s="127" customFormat="1" ht="25">
      <c r="A2376" s="636">
        <v>65055</v>
      </c>
      <c r="B2376" s="637" t="s">
        <v>33</v>
      </c>
      <c r="C2376" s="636" t="s">
        <v>2725</v>
      </c>
      <c r="D2376" s="637" t="s">
        <v>3456</v>
      </c>
      <c r="E2376" s="637" t="s">
        <v>3457</v>
      </c>
      <c r="F2376" s="636">
        <v>64471</v>
      </c>
      <c r="G2376" s="637" t="s">
        <v>81</v>
      </c>
      <c r="H2376" s="637" t="s">
        <v>1163</v>
      </c>
      <c r="I2376" s="637" t="s">
        <v>58</v>
      </c>
      <c r="J2376" s="636">
        <v>22</v>
      </c>
      <c r="K2376" s="636">
        <v>2</v>
      </c>
      <c r="L2376" s="637" t="s">
        <v>52</v>
      </c>
      <c r="M2376" s="637" t="s">
        <v>441</v>
      </c>
      <c r="N2376" s="637" t="s">
        <v>442</v>
      </c>
      <c r="O2376" s="637" t="s">
        <v>442</v>
      </c>
      <c r="P2376" s="637" t="s">
        <v>1156</v>
      </c>
      <c r="Q2376" s="638">
        <v>0</v>
      </c>
      <c r="R2376" s="638">
        <v>0</v>
      </c>
      <c r="S2376" s="638">
        <v>7658</v>
      </c>
      <c r="T2376" s="638">
        <v>7658</v>
      </c>
      <c r="U2376" s="638">
        <v>2244</v>
      </c>
      <c r="V2376" s="636">
        <v>2022</v>
      </c>
      <c r="W2376" s="640"/>
      <c r="X2376" s="641">
        <f t="shared" ref="X2376:X2439" si="111">IF(OR(K2376&gt;3,T2376=0,NOT(U2376&gt;0)),"",T2376/U2376)</f>
        <v>3.4126559714795008</v>
      </c>
      <c r="Y2376" s="642" t="str">
        <f t="shared" ref="Y2376:Y2439" si="112">IF(AND($M2376=$Y$2,$N2376=$Y$3,NOT($Q2376=$R2376),NOT($U2376=0)),IF($K2376=5,$S2376/($U2376+(8/5)*$U2376),IF($K2376=7,$S2376/($U2376+(29/25)*$U2376),"")),"")</f>
        <v/>
      </c>
      <c r="Z2376" s="642" t="str">
        <f t="shared" si="110"/>
        <v/>
      </c>
    </row>
    <row r="2377" spans="1:26" s="127" customFormat="1" ht="25">
      <c r="A2377" s="636">
        <v>65056</v>
      </c>
      <c r="B2377" s="637" t="s">
        <v>33</v>
      </c>
      <c r="C2377" s="636" t="s">
        <v>2725</v>
      </c>
      <c r="D2377" s="637" t="s">
        <v>3458</v>
      </c>
      <c r="E2377" s="637" t="s">
        <v>3459</v>
      </c>
      <c r="F2377" s="636">
        <v>64472</v>
      </c>
      <c r="G2377" s="637" t="s">
        <v>81</v>
      </c>
      <c r="H2377" s="637" t="s">
        <v>1163</v>
      </c>
      <c r="I2377" s="637" t="s">
        <v>58</v>
      </c>
      <c r="J2377" s="636">
        <v>22</v>
      </c>
      <c r="K2377" s="636">
        <v>2</v>
      </c>
      <c r="L2377" s="637" t="s">
        <v>52</v>
      </c>
      <c r="M2377" s="637" t="s">
        <v>1852</v>
      </c>
      <c r="N2377" s="637" t="s">
        <v>1035</v>
      </c>
      <c r="O2377" s="637" t="s">
        <v>82</v>
      </c>
      <c r="P2377" s="637" t="s">
        <v>2726</v>
      </c>
      <c r="Q2377" s="638">
        <v>3</v>
      </c>
      <c r="R2377" s="638">
        <v>3</v>
      </c>
      <c r="S2377" s="638">
        <v>0</v>
      </c>
      <c r="T2377" s="638">
        <v>0</v>
      </c>
      <c r="U2377" s="638">
        <v>-1</v>
      </c>
      <c r="V2377" s="636">
        <v>2022</v>
      </c>
      <c r="W2377" s="640"/>
      <c r="X2377" s="641" t="str">
        <f t="shared" si="111"/>
        <v/>
      </c>
      <c r="Y2377" s="642" t="str">
        <f t="shared" si="112"/>
        <v/>
      </c>
      <c r="Z2377" s="642" t="str">
        <f t="shared" si="110"/>
        <v/>
      </c>
    </row>
    <row r="2378" spans="1:26" s="127" customFormat="1" ht="25">
      <c r="A2378" s="636">
        <v>65056</v>
      </c>
      <c r="B2378" s="637" t="s">
        <v>33</v>
      </c>
      <c r="C2378" s="636" t="s">
        <v>2725</v>
      </c>
      <c r="D2378" s="637" t="s">
        <v>3458</v>
      </c>
      <c r="E2378" s="637" t="s">
        <v>3459</v>
      </c>
      <c r="F2378" s="636">
        <v>64472</v>
      </c>
      <c r="G2378" s="637" t="s">
        <v>81</v>
      </c>
      <c r="H2378" s="637" t="s">
        <v>1163</v>
      </c>
      <c r="I2378" s="637" t="s">
        <v>58</v>
      </c>
      <c r="J2378" s="636">
        <v>22</v>
      </c>
      <c r="K2378" s="636">
        <v>2</v>
      </c>
      <c r="L2378" s="637" t="s">
        <v>52</v>
      </c>
      <c r="M2378" s="637" t="s">
        <v>441</v>
      </c>
      <c r="N2378" s="637" t="s">
        <v>442</v>
      </c>
      <c r="O2378" s="637" t="s">
        <v>442</v>
      </c>
      <c r="P2378" s="637" t="s">
        <v>1156</v>
      </c>
      <c r="Q2378" s="638">
        <v>0</v>
      </c>
      <c r="R2378" s="638">
        <v>0</v>
      </c>
      <c r="S2378" s="638">
        <v>9136</v>
      </c>
      <c r="T2378" s="638">
        <v>9136</v>
      </c>
      <c r="U2378" s="638">
        <v>2678</v>
      </c>
      <c r="V2378" s="636">
        <v>2022</v>
      </c>
      <c r="W2378" s="640"/>
      <c r="X2378" s="641">
        <f t="shared" si="111"/>
        <v>3.4115011202389844</v>
      </c>
      <c r="Y2378" s="642" t="str">
        <f t="shared" si="112"/>
        <v/>
      </c>
      <c r="Z2378" s="642" t="str">
        <f t="shared" si="110"/>
        <v/>
      </c>
    </row>
    <row r="2379" spans="1:26" s="127" customFormat="1" ht="25">
      <c r="A2379" s="636">
        <v>65057</v>
      </c>
      <c r="B2379" s="637" t="s">
        <v>33</v>
      </c>
      <c r="C2379" s="636" t="s">
        <v>2725</v>
      </c>
      <c r="D2379" s="637" t="s">
        <v>3460</v>
      </c>
      <c r="E2379" s="637" t="s">
        <v>3461</v>
      </c>
      <c r="F2379" s="636">
        <v>64473</v>
      </c>
      <c r="G2379" s="637" t="s">
        <v>81</v>
      </c>
      <c r="H2379" s="637" t="s">
        <v>1163</v>
      </c>
      <c r="I2379" s="637" t="s">
        <v>58</v>
      </c>
      <c r="J2379" s="636">
        <v>22</v>
      </c>
      <c r="K2379" s="636">
        <v>2</v>
      </c>
      <c r="L2379" s="637" t="s">
        <v>52</v>
      </c>
      <c r="M2379" s="637" t="s">
        <v>1852</v>
      </c>
      <c r="N2379" s="637" t="s">
        <v>1035</v>
      </c>
      <c r="O2379" s="637" t="s">
        <v>82</v>
      </c>
      <c r="P2379" s="637" t="s">
        <v>2726</v>
      </c>
      <c r="Q2379" s="638">
        <v>8</v>
      </c>
      <c r="R2379" s="638">
        <v>8</v>
      </c>
      <c r="S2379" s="638">
        <v>0</v>
      </c>
      <c r="T2379" s="638">
        <v>0</v>
      </c>
      <c r="U2379" s="638">
        <v>0</v>
      </c>
      <c r="V2379" s="636">
        <v>2022</v>
      </c>
      <c r="W2379" s="640"/>
      <c r="X2379" s="641" t="str">
        <f t="shared" si="111"/>
        <v/>
      </c>
      <c r="Y2379" s="642" t="str">
        <f t="shared" si="112"/>
        <v/>
      </c>
      <c r="Z2379" s="642" t="str">
        <f t="shared" si="110"/>
        <v/>
      </c>
    </row>
    <row r="2380" spans="1:26" s="127" customFormat="1" ht="25">
      <c r="A2380" s="636">
        <v>65057</v>
      </c>
      <c r="B2380" s="637" t="s">
        <v>33</v>
      </c>
      <c r="C2380" s="636" t="s">
        <v>2725</v>
      </c>
      <c r="D2380" s="637" t="s">
        <v>3460</v>
      </c>
      <c r="E2380" s="637" t="s">
        <v>3461</v>
      </c>
      <c r="F2380" s="636">
        <v>64473</v>
      </c>
      <c r="G2380" s="637" t="s">
        <v>81</v>
      </c>
      <c r="H2380" s="637" t="s">
        <v>1163</v>
      </c>
      <c r="I2380" s="637" t="s">
        <v>58</v>
      </c>
      <c r="J2380" s="636">
        <v>22</v>
      </c>
      <c r="K2380" s="636">
        <v>2</v>
      </c>
      <c r="L2380" s="637" t="s">
        <v>52</v>
      </c>
      <c r="M2380" s="637" t="s">
        <v>441</v>
      </c>
      <c r="N2380" s="637" t="s">
        <v>442</v>
      </c>
      <c r="O2380" s="637" t="s">
        <v>442</v>
      </c>
      <c r="P2380" s="637" t="s">
        <v>1156</v>
      </c>
      <c r="Q2380" s="638">
        <v>0</v>
      </c>
      <c r="R2380" s="638">
        <v>0</v>
      </c>
      <c r="S2380" s="638">
        <v>5109</v>
      </c>
      <c r="T2380" s="638">
        <v>5109</v>
      </c>
      <c r="U2380" s="638">
        <v>1497</v>
      </c>
      <c r="V2380" s="636">
        <v>2022</v>
      </c>
      <c r="W2380" s="640"/>
      <c r="X2380" s="641">
        <f t="shared" si="111"/>
        <v>3.4128256513026054</v>
      </c>
      <c r="Y2380" s="642" t="str">
        <f t="shared" si="112"/>
        <v/>
      </c>
      <c r="Z2380" s="642" t="str">
        <f t="shared" si="110"/>
        <v/>
      </c>
    </row>
    <row r="2381" spans="1:26" s="127" customFormat="1" ht="37.5" hidden="1">
      <c r="A2381" s="636">
        <v>65071</v>
      </c>
      <c r="B2381" s="637" t="s">
        <v>33</v>
      </c>
      <c r="C2381" s="636" t="s">
        <v>2725</v>
      </c>
      <c r="D2381" s="637" t="s">
        <v>3691</v>
      </c>
      <c r="E2381" s="637" t="s">
        <v>1883</v>
      </c>
      <c r="F2381" s="636">
        <v>60947</v>
      </c>
      <c r="G2381" s="637" t="s">
        <v>57</v>
      </c>
      <c r="H2381" s="637" t="s">
        <v>1162</v>
      </c>
      <c r="I2381" s="637" t="s">
        <v>58</v>
      </c>
      <c r="J2381" s="636">
        <v>335</v>
      </c>
      <c r="K2381" s="636">
        <v>6</v>
      </c>
      <c r="L2381" s="637" t="s">
        <v>404</v>
      </c>
      <c r="M2381" s="637" t="s">
        <v>441</v>
      </c>
      <c r="N2381" s="637" t="s">
        <v>442</v>
      </c>
      <c r="O2381" s="637" t="s">
        <v>442</v>
      </c>
      <c r="P2381" s="637" t="s">
        <v>1156</v>
      </c>
      <c r="Q2381" s="638">
        <v>0</v>
      </c>
      <c r="R2381" s="638">
        <v>0</v>
      </c>
      <c r="S2381" s="638">
        <v>8895</v>
      </c>
      <c r="T2381" s="638">
        <v>8895</v>
      </c>
      <c r="U2381" s="638">
        <v>2607</v>
      </c>
      <c r="V2381" s="636">
        <v>2022</v>
      </c>
      <c r="W2381" s="640"/>
      <c r="X2381" s="641" t="str">
        <f t="shared" si="111"/>
        <v/>
      </c>
      <c r="Y2381" s="642" t="str">
        <f t="shared" si="112"/>
        <v/>
      </c>
      <c r="Z2381" s="642" t="str">
        <f t="shared" si="110"/>
        <v/>
      </c>
    </row>
    <row r="2382" spans="1:26" s="127" customFormat="1" ht="25">
      <c r="A2382" s="636">
        <v>65083</v>
      </c>
      <c r="B2382" s="637" t="s">
        <v>33</v>
      </c>
      <c r="C2382" s="636" t="s">
        <v>2725</v>
      </c>
      <c r="D2382" s="637" t="s">
        <v>3462</v>
      </c>
      <c r="E2382" s="637" t="s">
        <v>1731</v>
      </c>
      <c r="F2382" s="636">
        <v>59254</v>
      </c>
      <c r="G2382" s="637" t="s">
        <v>81</v>
      </c>
      <c r="H2382" s="637" t="s">
        <v>1163</v>
      </c>
      <c r="I2382" s="637" t="s">
        <v>58</v>
      </c>
      <c r="J2382" s="636">
        <v>22</v>
      </c>
      <c r="K2382" s="636">
        <v>2</v>
      </c>
      <c r="L2382" s="637" t="s">
        <v>52</v>
      </c>
      <c r="M2382" s="637" t="s">
        <v>441</v>
      </c>
      <c r="N2382" s="637" t="s">
        <v>442</v>
      </c>
      <c r="O2382" s="637" t="s">
        <v>442</v>
      </c>
      <c r="P2382" s="637" t="s">
        <v>1156</v>
      </c>
      <c r="Q2382" s="638">
        <v>0</v>
      </c>
      <c r="R2382" s="638">
        <v>0</v>
      </c>
      <c r="S2382" s="638">
        <v>13885</v>
      </c>
      <c r="T2382" s="638">
        <v>13885</v>
      </c>
      <c r="U2382" s="638">
        <v>4070</v>
      </c>
      <c r="V2382" s="636">
        <v>2022</v>
      </c>
      <c r="W2382" s="640"/>
      <c r="X2382" s="641">
        <f t="shared" si="111"/>
        <v>3.4115479115479115</v>
      </c>
      <c r="Y2382" s="642" t="str">
        <f t="shared" si="112"/>
        <v/>
      </c>
      <c r="Z2382" s="642" t="str">
        <f t="shared" si="110"/>
        <v/>
      </c>
    </row>
    <row r="2383" spans="1:26" s="127" customFormat="1" ht="25">
      <c r="A2383" s="636">
        <v>65085</v>
      </c>
      <c r="B2383" s="637" t="s">
        <v>33</v>
      </c>
      <c r="C2383" s="636" t="s">
        <v>2725</v>
      </c>
      <c r="D2383" s="637" t="s">
        <v>3463</v>
      </c>
      <c r="E2383" s="637" t="s">
        <v>1731</v>
      </c>
      <c r="F2383" s="636">
        <v>59254</v>
      </c>
      <c r="G2383" s="637" t="s">
        <v>81</v>
      </c>
      <c r="H2383" s="637" t="s">
        <v>1163</v>
      </c>
      <c r="I2383" s="637" t="s">
        <v>58</v>
      </c>
      <c r="J2383" s="636">
        <v>22</v>
      </c>
      <c r="K2383" s="636">
        <v>2</v>
      </c>
      <c r="L2383" s="637" t="s">
        <v>52</v>
      </c>
      <c r="M2383" s="637" t="s">
        <v>441</v>
      </c>
      <c r="N2383" s="637" t="s">
        <v>442</v>
      </c>
      <c r="O2383" s="637" t="s">
        <v>442</v>
      </c>
      <c r="P2383" s="637" t="s">
        <v>1156</v>
      </c>
      <c r="Q2383" s="638">
        <v>0</v>
      </c>
      <c r="R2383" s="638">
        <v>0</v>
      </c>
      <c r="S2383" s="638">
        <v>16402</v>
      </c>
      <c r="T2383" s="638">
        <v>16402</v>
      </c>
      <c r="U2383" s="638">
        <v>4807</v>
      </c>
      <c r="V2383" s="636">
        <v>2022</v>
      </c>
      <c r="W2383" s="640"/>
      <c r="X2383" s="641">
        <f t="shared" si="111"/>
        <v>3.4121073434574578</v>
      </c>
      <c r="Y2383" s="642" t="str">
        <f t="shared" si="112"/>
        <v/>
      </c>
      <c r="Z2383" s="642" t="str">
        <f t="shared" si="110"/>
        <v/>
      </c>
    </row>
    <row r="2384" spans="1:26" s="127" customFormat="1" ht="25">
      <c r="A2384" s="636">
        <v>65092</v>
      </c>
      <c r="B2384" s="637" t="s">
        <v>33</v>
      </c>
      <c r="C2384" s="636" t="s">
        <v>2725</v>
      </c>
      <c r="D2384" s="637" t="s">
        <v>3464</v>
      </c>
      <c r="E2384" s="637" t="s">
        <v>2277</v>
      </c>
      <c r="F2384" s="636">
        <v>60025</v>
      </c>
      <c r="G2384" s="637" t="s">
        <v>81</v>
      </c>
      <c r="H2384" s="637" t="s">
        <v>1163</v>
      </c>
      <c r="I2384" s="637" t="s">
        <v>58</v>
      </c>
      <c r="J2384" s="636">
        <v>22</v>
      </c>
      <c r="K2384" s="636">
        <v>2</v>
      </c>
      <c r="L2384" s="637" t="s">
        <v>52</v>
      </c>
      <c r="M2384" s="637" t="s">
        <v>441</v>
      </c>
      <c r="N2384" s="637" t="s">
        <v>442</v>
      </c>
      <c r="O2384" s="637" t="s">
        <v>442</v>
      </c>
      <c r="P2384" s="637" t="s">
        <v>1156</v>
      </c>
      <c r="Q2384" s="638">
        <v>0</v>
      </c>
      <c r="R2384" s="638">
        <v>0</v>
      </c>
      <c r="S2384" s="638">
        <v>5244</v>
      </c>
      <c r="T2384" s="638">
        <v>5244</v>
      </c>
      <c r="U2384" s="638">
        <v>1537</v>
      </c>
      <c r="V2384" s="636">
        <v>2022</v>
      </c>
      <c r="W2384" s="640"/>
      <c r="X2384" s="641">
        <f t="shared" si="111"/>
        <v>3.4118412491867276</v>
      </c>
      <c r="Y2384" s="642" t="str">
        <f t="shared" si="112"/>
        <v/>
      </c>
      <c r="Z2384" s="642" t="str">
        <f t="shared" ref="Z2384:Z2447" si="113">IF(AND($M2384=$Y$2,$N2384=$Y$4,NOT($Q2384=$R2384),NOT($U2384=0)),IF($K2384=5,$S2384/($U2384+(8/5)*$U2384),IF($K2384=7,$S2384/($U2384+(29/25)*$U2384),"")),"")</f>
        <v/>
      </c>
    </row>
    <row r="2385" spans="1:26" s="127" customFormat="1" ht="25">
      <c r="A2385" s="636">
        <v>65093</v>
      </c>
      <c r="B2385" s="637" t="s">
        <v>33</v>
      </c>
      <c r="C2385" s="636" t="s">
        <v>2725</v>
      </c>
      <c r="D2385" s="637" t="s">
        <v>3465</v>
      </c>
      <c r="E2385" s="637" t="s">
        <v>2277</v>
      </c>
      <c r="F2385" s="636">
        <v>60025</v>
      </c>
      <c r="G2385" s="637" t="s">
        <v>81</v>
      </c>
      <c r="H2385" s="637" t="s">
        <v>1163</v>
      </c>
      <c r="I2385" s="637" t="s">
        <v>58</v>
      </c>
      <c r="J2385" s="636">
        <v>22</v>
      </c>
      <c r="K2385" s="636">
        <v>2</v>
      </c>
      <c r="L2385" s="637" t="s">
        <v>52</v>
      </c>
      <c r="M2385" s="637" t="s">
        <v>441</v>
      </c>
      <c r="N2385" s="637" t="s">
        <v>442</v>
      </c>
      <c r="O2385" s="637" t="s">
        <v>442</v>
      </c>
      <c r="P2385" s="637" t="s">
        <v>1156</v>
      </c>
      <c r="Q2385" s="638">
        <v>0</v>
      </c>
      <c r="R2385" s="638">
        <v>0</v>
      </c>
      <c r="S2385" s="638">
        <v>5448</v>
      </c>
      <c r="T2385" s="638">
        <v>5448</v>
      </c>
      <c r="U2385" s="638">
        <v>1597</v>
      </c>
      <c r="V2385" s="636">
        <v>2022</v>
      </c>
      <c r="W2385" s="640"/>
      <c r="X2385" s="641">
        <f t="shared" si="111"/>
        <v>3.4113963681903567</v>
      </c>
      <c r="Y2385" s="642" t="str">
        <f t="shared" si="112"/>
        <v/>
      </c>
      <c r="Z2385" s="642" t="str">
        <f t="shared" si="113"/>
        <v/>
      </c>
    </row>
    <row r="2386" spans="1:26" s="127" customFormat="1" ht="25">
      <c r="A2386" s="636">
        <v>65112</v>
      </c>
      <c r="B2386" s="637" t="s">
        <v>33</v>
      </c>
      <c r="C2386" s="636" t="s">
        <v>2725</v>
      </c>
      <c r="D2386" s="637" t="s">
        <v>3692</v>
      </c>
      <c r="E2386" s="637" t="s">
        <v>3693</v>
      </c>
      <c r="F2386" s="636">
        <v>64500</v>
      </c>
      <c r="G2386" s="637" t="s">
        <v>90</v>
      </c>
      <c r="H2386" s="637" t="s">
        <v>1163</v>
      </c>
      <c r="I2386" s="637" t="s">
        <v>58</v>
      </c>
      <c r="J2386" s="636">
        <v>22</v>
      </c>
      <c r="K2386" s="636">
        <v>2</v>
      </c>
      <c r="L2386" s="637" t="s">
        <v>52</v>
      </c>
      <c r="M2386" s="637" t="s">
        <v>441</v>
      </c>
      <c r="N2386" s="637" t="s">
        <v>442</v>
      </c>
      <c r="O2386" s="637" t="s">
        <v>442</v>
      </c>
      <c r="P2386" s="637" t="s">
        <v>1156</v>
      </c>
      <c r="Q2386" s="638">
        <v>0</v>
      </c>
      <c r="R2386" s="638">
        <v>0</v>
      </c>
      <c r="S2386" s="638">
        <v>24142</v>
      </c>
      <c r="T2386" s="638">
        <v>24142</v>
      </c>
      <c r="U2386" s="638">
        <v>7076</v>
      </c>
      <c r="V2386" s="636">
        <v>2022</v>
      </c>
      <c r="W2386" s="640"/>
      <c r="X2386" s="641">
        <f t="shared" si="111"/>
        <v>3.4118145845110233</v>
      </c>
      <c r="Y2386" s="642" t="str">
        <f t="shared" si="112"/>
        <v/>
      </c>
      <c r="Z2386" s="642" t="str">
        <f t="shared" si="113"/>
        <v/>
      </c>
    </row>
    <row r="2387" spans="1:26" s="127" customFormat="1" ht="25">
      <c r="A2387" s="636">
        <v>65114</v>
      </c>
      <c r="B2387" s="637" t="s">
        <v>33</v>
      </c>
      <c r="C2387" s="636" t="s">
        <v>2725</v>
      </c>
      <c r="D2387" s="637" t="s">
        <v>3466</v>
      </c>
      <c r="E2387" s="637" t="s">
        <v>3467</v>
      </c>
      <c r="F2387" s="636">
        <v>64420</v>
      </c>
      <c r="G2387" s="637" t="s">
        <v>81</v>
      </c>
      <c r="H2387" s="637" t="s">
        <v>1163</v>
      </c>
      <c r="I2387" s="637" t="s">
        <v>58</v>
      </c>
      <c r="J2387" s="636">
        <v>22</v>
      </c>
      <c r="K2387" s="636">
        <v>2</v>
      </c>
      <c r="L2387" s="637" t="s">
        <v>52</v>
      </c>
      <c r="M2387" s="637" t="s">
        <v>1852</v>
      </c>
      <c r="N2387" s="637" t="s">
        <v>1035</v>
      </c>
      <c r="O2387" s="637" t="s">
        <v>82</v>
      </c>
      <c r="P2387" s="637" t="s">
        <v>2726</v>
      </c>
      <c r="Q2387" s="638">
        <v>0</v>
      </c>
      <c r="R2387" s="638">
        <v>0</v>
      </c>
      <c r="S2387" s="638">
        <v>0</v>
      </c>
      <c r="T2387" s="638">
        <v>0</v>
      </c>
      <c r="U2387" s="638">
        <v>0</v>
      </c>
      <c r="V2387" s="636">
        <v>2022</v>
      </c>
      <c r="W2387" s="640"/>
      <c r="X2387" s="641" t="str">
        <f t="shared" si="111"/>
        <v/>
      </c>
      <c r="Y2387" s="642" t="str">
        <f t="shared" si="112"/>
        <v/>
      </c>
      <c r="Z2387" s="642" t="str">
        <f t="shared" si="113"/>
        <v/>
      </c>
    </row>
    <row r="2388" spans="1:26" s="127" customFormat="1" ht="25">
      <c r="A2388" s="636">
        <v>65114</v>
      </c>
      <c r="B2388" s="637" t="s">
        <v>33</v>
      </c>
      <c r="C2388" s="636" t="s">
        <v>2725</v>
      </c>
      <c r="D2388" s="637" t="s">
        <v>3466</v>
      </c>
      <c r="E2388" s="637" t="s">
        <v>3467</v>
      </c>
      <c r="F2388" s="636">
        <v>64420</v>
      </c>
      <c r="G2388" s="637" t="s">
        <v>81</v>
      </c>
      <c r="H2388" s="637" t="s">
        <v>1163</v>
      </c>
      <c r="I2388" s="637" t="s">
        <v>58</v>
      </c>
      <c r="J2388" s="636">
        <v>22</v>
      </c>
      <c r="K2388" s="636">
        <v>2</v>
      </c>
      <c r="L2388" s="637" t="s">
        <v>52</v>
      </c>
      <c r="M2388" s="637" t="s">
        <v>441</v>
      </c>
      <c r="N2388" s="637" t="s">
        <v>442</v>
      </c>
      <c r="O2388" s="637" t="s">
        <v>442</v>
      </c>
      <c r="P2388" s="637" t="s">
        <v>1156</v>
      </c>
      <c r="Q2388" s="638">
        <v>0</v>
      </c>
      <c r="R2388" s="638">
        <v>0</v>
      </c>
      <c r="S2388" s="638">
        <v>361</v>
      </c>
      <c r="T2388" s="638">
        <v>361</v>
      </c>
      <c r="U2388" s="638">
        <v>106</v>
      </c>
      <c r="V2388" s="636">
        <v>2022</v>
      </c>
      <c r="W2388" s="640"/>
      <c r="X2388" s="641">
        <f t="shared" si="111"/>
        <v>3.4056603773584904</v>
      </c>
      <c r="Y2388" s="642" t="str">
        <f t="shared" si="112"/>
        <v/>
      </c>
      <c r="Z2388" s="642" t="str">
        <f t="shared" si="113"/>
        <v/>
      </c>
    </row>
    <row r="2389" spans="1:26" s="127" customFormat="1" ht="25">
      <c r="A2389" s="636">
        <v>65122</v>
      </c>
      <c r="B2389" s="637" t="s">
        <v>33</v>
      </c>
      <c r="C2389" s="636" t="s">
        <v>2725</v>
      </c>
      <c r="D2389" s="637" t="s">
        <v>3468</v>
      </c>
      <c r="E2389" s="637" t="s">
        <v>3623</v>
      </c>
      <c r="F2389" s="636">
        <v>61944</v>
      </c>
      <c r="G2389" s="637" t="s">
        <v>57</v>
      </c>
      <c r="H2389" s="637" t="s">
        <v>1162</v>
      </c>
      <c r="I2389" s="637" t="s">
        <v>58</v>
      </c>
      <c r="J2389" s="636">
        <v>22</v>
      </c>
      <c r="K2389" s="636">
        <v>2</v>
      </c>
      <c r="L2389" s="637" t="s">
        <v>52</v>
      </c>
      <c r="M2389" s="637" t="s">
        <v>441</v>
      </c>
      <c r="N2389" s="637" t="s">
        <v>442</v>
      </c>
      <c r="O2389" s="637" t="s">
        <v>442</v>
      </c>
      <c r="P2389" s="637" t="s">
        <v>1156</v>
      </c>
      <c r="Q2389" s="638">
        <v>0</v>
      </c>
      <c r="R2389" s="638">
        <v>0</v>
      </c>
      <c r="S2389" s="638">
        <v>112306</v>
      </c>
      <c r="T2389" s="638">
        <v>112306</v>
      </c>
      <c r="U2389" s="638">
        <v>32915</v>
      </c>
      <c r="V2389" s="636">
        <v>2022</v>
      </c>
      <c r="W2389" s="640"/>
      <c r="X2389" s="641">
        <f t="shared" si="111"/>
        <v>3.4120006076257026</v>
      </c>
      <c r="Y2389" s="642" t="str">
        <f t="shared" si="112"/>
        <v/>
      </c>
      <c r="Z2389" s="642" t="str">
        <f t="shared" si="113"/>
        <v/>
      </c>
    </row>
    <row r="2390" spans="1:26" s="127" customFormat="1" ht="25">
      <c r="A2390" s="636">
        <v>65124</v>
      </c>
      <c r="B2390" s="637" t="s">
        <v>33</v>
      </c>
      <c r="C2390" s="636" t="s">
        <v>2725</v>
      </c>
      <c r="D2390" s="637" t="s">
        <v>3694</v>
      </c>
      <c r="E2390" s="637" t="s">
        <v>3623</v>
      </c>
      <c r="F2390" s="636">
        <v>61944</v>
      </c>
      <c r="G2390" s="637" t="s">
        <v>57</v>
      </c>
      <c r="H2390" s="637" t="s">
        <v>1162</v>
      </c>
      <c r="I2390" s="637" t="s">
        <v>58</v>
      </c>
      <c r="J2390" s="636">
        <v>22</v>
      </c>
      <c r="K2390" s="636">
        <v>2</v>
      </c>
      <c r="L2390" s="637" t="s">
        <v>52</v>
      </c>
      <c r="M2390" s="637" t="s">
        <v>441</v>
      </c>
      <c r="N2390" s="637" t="s">
        <v>442</v>
      </c>
      <c r="O2390" s="637" t="s">
        <v>442</v>
      </c>
      <c r="P2390" s="637" t="s">
        <v>1156</v>
      </c>
      <c r="Q2390" s="638">
        <v>0</v>
      </c>
      <c r="R2390" s="638">
        <v>0</v>
      </c>
      <c r="S2390" s="638">
        <v>1641</v>
      </c>
      <c r="T2390" s="638">
        <v>1641</v>
      </c>
      <c r="U2390" s="638">
        <v>481</v>
      </c>
      <c r="V2390" s="636">
        <v>2022</v>
      </c>
      <c r="W2390" s="640"/>
      <c r="X2390" s="641">
        <f t="shared" si="111"/>
        <v>3.4116424116424118</v>
      </c>
      <c r="Y2390" s="642" t="str">
        <f t="shared" si="112"/>
        <v/>
      </c>
      <c r="Z2390" s="642" t="str">
        <f t="shared" si="113"/>
        <v/>
      </c>
    </row>
    <row r="2391" spans="1:26" s="127" customFormat="1" ht="25">
      <c r="A2391" s="636">
        <v>65125</v>
      </c>
      <c r="B2391" s="637" t="s">
        <v>33</v>
      </c>
      <c r="C2391" s="636" t="s">
        <v>2725</v>
      </c>
      <c r="D2391" s="637" t="s">
        <v>3695</v>
      </c>
      <c r="E2391" s="637" t="s">
        <v>3623</v>
      </c>
      <c r="F2391" s="636">
        <v>61944</v>
      </c>
      <c r="G2391" s="637" t="s">
        <v>57</v>
      </c>
      <c r="H2391" s="637" t="s">
        <v>1162</v>
      </c>
      <c r="I2391" s="637" t="s">
        <v>58</v>
      </c>
      <c r="J2391" s="636">
        <v>22</v>
      </c>
      <c r="K2391" s="636">
        <v>2</v>
      </c>
      <c r="L2391" s="637" t="s">
        <v>52</v>
      </c>
      <c r="M2391" s="637" t="s">
        <v>441</v>
      </c>
      <c r="N2391" s="637" t="s">
        <v>442</v>
      </c>
      <c r="O2391" s="637" t="s">
        <v>442</v>
      </c>
      <c r="P2391" s="637" t="s">
        <v>1156</v>
      </c>
      <c r="Q2391" s="638">
        <v>0</v>
      </c>
      <c r="R2391" s="638">
        <v>0</v>
      </c>
      <c r="S2391" s="638">
        <v>18756</v>
      </c>
      <c r="T2391" s="638">
        <v>18756</v>
      </c>
      <c r="U2391" s="638">
        <v>5497</v>
      </c>
      <c r="V2391" s="636">
        <v>2022</v>
      </c>
      <c r="W2391" s="640"/>
      <c r="X2391" s="641">
        <f t="shared" si="111"/>
        <v>3.412042932508641</v>
      </c>
      <c r="Y2391" s="642" t="str">
        <f t="shared" si="112"/>
        <v/>
      </c>
      <c r="Z2391" s="642" t="str">
        <f t="shared" si="113"/>
        <v/>
      </c>
    </row>
    <row r="2392" spans="1:26" s="127" customFormat="1" ht="25">
      <c r="A2392" s="636">
        <v>65135</v>
      </c>
      <c r="B2392" s="637" t="s">
        <v>33</v>
      </c>
      <c r="C2392" s="636" t="s">
        <v>2725</v>
      </c>
      <c r="D2392" s="637" t="s">
        <v>3696</v>
      </c>
      <c r="E2392" s="637" t="s">
        <v>2277</v>
      </c>
      <c r="F2392" s="636">
        <v>60025</v>
      </c>
      <c r="G2392" s="637" t="s">
        <v>89</v>
      </c>
      <c r="H2392" s="637" t="s">
        <v>1163</v>
      </c>
      <c r="I2392" s="637" t="s">
        <v>58</v>
      </c>
      <c r="J2392" s="636">
        <v>22</v>
      </c>
      <c r="K2392" s="636">
        <v>2</v>
      </c>
      <c r="L2392" s="637" t="s">
        <v>52</v>
      </c>
      <c r="M2392" s="637" t="s">
        <v>441</v>
      </c>
      <c r="N2392" s="637" t="s">
        <v>442</v>
      </c>
      <c r="O2392" s="637" t="s">
        <v>442</v>
      </c>
      <c r="P2392" s="637" t="s">
        <v>1156</v>
      </c>
      <c r="Q2392" s="638">
        <v>0</v>
      </c>
      <c r="R2392" s="638">
        <v>0</v>
      </c>
      <c r="S2392" s="638">
        <v>1767</v>
      </c>
      <c r="T2392" s="638">
        <v>1767</v>
      </c>
      <c r="U2392" s="638">
        <v>518</v>
      </c>
      <c r="V2392" s="636">
        <v>2022</v>
      </c>
      <c r="W2392" s="640"/>
      <c r="X2392" s="641">
        <f t="shared" si="111"/>
        <v>3.4111969111969112</v>
      </c>
      <c r="Y2392" s="642" t="str">
        <f t="shared" si="112"/>
        <v/>
      </c>
      <c r="Z2392" s="642" t="str">
        <f t="shared" si="113"/>
        <v/>
      </c>
    </row>
    <row r="2393" spans="1:26" s="127" customFormat="1" ht="25">
      <c r="A2393" s="636">
        <v>65152</v>
      </c>
      <c r="B2393" s="637" t="s">
        <v>33</v>
      </c>
      <c r="C2393" s="636" t="s">
        <v>2725</v>
      </c>
      <c r="D2393" s="637" t="s">
        <v>3469</v>
      </c>
      <c r="E2393" s="637" t="s">
        <v>1926</v>
      </c>
      <c r="F2393" s="636">
        <v>58135</v>
      </c>
      <c r="G2393" s="637" t="s">
        <v>41</v>
      </c>
      <c r="H2393" s="637" t="s">
        <v>1163</v>
      </c>
      <c r="I2393" s="637" t="s">
        <v>58</v>
      </c>
      <c r="J2393" s="636">
        <v>22</v>
      </c>
      <c r="K2393" s="636">
        <v>2</v>
      </c>
      <c r="L2393" s="637" t="s">
        <v>52</v>
      </c>
      <c r="M2393" s="637" t="s">
        <v>441</v>
      </c>
      <c r="N2393" s="637" t="s">
        <v>442</v>
      </c>
      <c r="O2393" s="637" t="s">
        <v>442</v>
      </c>
      <c r="P2393" s="637" t="s">
        <v>1156</v>
      </c>
      <c r="Q2393" s="638">
        <v>0</v>
      </c>
      <c r="R2393" s="638">
        <v>0</v>
      </c>
      <c r="S2393" s="638">
        <v>5985</v>
      </c>
      <c r="T2393" s="638">
        <v>5985</v>
      </c>
      <c r="U2393" s="638">
        <v>1754</v>
      </c>
      <c r="V2393" s="636">
        <v>2022</v>
      </c>
      <c r="W2393" s="640"/>
      <c r="X2393" s="641">
        <f t="shared" si="111"/>
        <v>3.412200684150513</v>
      </c>
      <c r="Y2393" s="642" t="str">
        <f t="shared" si="112"/>
        <v/>
      </c>
      <c r="Z2393" s="642" t="str">
        <f t="shared" si="113"/>
        <v/>
      </c>
    </row>
    <row r="2394" spans="1:26" s="127" customFormat="1" ht="25">
      <c r="A2394" s="636">
        <v>65154</v>
      </c>
      <c r="B2394" s="637" t="s">
        <v>33</v>
      </c>
      <c r="C2394" s="636" t="s">
        <v>2725</v>
      </c>
      <c r="D2394" s="637" t="s">
        <v>3697</v>
      </c>
      <c r="E2394" s="637" t="s">
        <v>1108</v>
      </c>
      <c r="F2394" s="636">
        <v>56769</v>
      </c>
      <c r="G2394" s="637" t="s">
        <v>81</v>
      </c>
      <c r="H2394" s="637" t="s">
        <v>1163</v>
      </c>
      <c r="I2394" s="637" t="s">
        <v>58</v>
      </c>
      <c r="J2394" s="636">
        <v>22</v>
      </c>
      <c r="K2394" s="636">
        <v>2</v>
      </c>
      <c r="L2394" s="637" t="s">
        <v>52</v>
      </c>
      <c r="M2394" s="637" t="s">
        <v>1852</v>
      </c>
      <c r="N2394" s="637" t="s">
        <v>1035</v>
      </c>
      <c r="O2394" s="637" t="s">
        <v>82</v>
      </c>
      <c r="P2394" s="637" t="s">
        <v>2726</v>
      </c>
      <c r="Q2394" s="638">
        <v>0</v>
      </c>
      <c r="R2394" s="638">
        <v>0</v>
      </c>
      <c r="S2394" s="638">
        <v>0</v>
      </c>
      <c r="T2394" s="638">
        <v>0</v>
      </c>
      <c r="U2394" s="638">
        <v>0</v>
      </c>
      <c r="V2394" s="636">
        <v>2022</v>
      </c>
      <c r="W2394" s="640"/>
      <c r="X2394" s="641" t="str">
        <f t="shared" si="111"/>
        <v/>
      </c>
      <c r="Y2394" s="642" t="str">
        <f t="shared" si="112"/>
        <v/>
      </c>
      <c r="Z2394" s="642" t="str">
        <f t="shared" si="113"/>
        <v/>
      </c>
    </row>
    <row r="2395" spans="1:26" s="127" customFormat="1" ht="25">
      <c r="A2395" s="636">
        <v>65154</v>
      </c>
      <c r="B2395" s="637" t="s">
        <v>33</v>
      </c>
      <c r="C2395" s="636" t="s">
        <v>2725</v>
      </c>
      <c r="D2395" s="637" t="s">
        <v>3697</v>
      </c>
      <c r="E2395" s="637" t="s">
        <v>1108</v>
      </c>
      <c r="F2395" s="636">
        <v>56769</v>
      </c>
      <c r="G2395" s="637" t="s">
        <v>81</v>
      </c>
      <c r="H2395" s="637" t="s">
        <v>1163</v>
      </c>
      <c r="I2395" s="637" t="s">
        <v>58</v>
      </c>
      <c r="J2395" s="636">
        <v>22</v>
      </c>
      <c r="K2395" s="636">
        <v>2</v>
      </c>
      <c r="L2395" s="637" t="s">
        <v>52</v>
      </c>
      <c r="M2395" s="637" t="s">
        <v>441</v>
      </c>
      <c r="N2395" s="637" t="s">
        <v>442</v>
      </c>
      <c r="O2395" s="637" t="s">
        <v>442</v>
      </c>
      <c r="P2395" s="637" t="s">
        <v>1156</v>
      </c>
      <c r="Q2395" s="638">
        <v>0</v>
      </c>
      <c r="R2395" s="638">
        <v>0</v>
      </c>
      <c r="S2395" s="638">
        <v>1706</v>
      </c>
      <c r="T2395" s="638">
        <v>1706</v>
      </c>
      <c r="U2395" s="638">
        <v>500</v>
      </c>
      <c r="V2395" s="636">
        <v>2022</v>
      </c>
      <c r="W2395" s="640"/>
      <c r="X2395" s="641">
        <f t="shared" si="111"/>
        <v>3.4119999999999999</v>
      </c>
      <c r="Y2395" s="642" t="str">
        <f t="shared" si="112"/>
        <v/>
      </c>
      <c r="Z2395" s="642" t="str">
        <f t="shared" si="113"/>
        <v/>
      </c>
    </row>
    <row r="2396" spans="1:26" s="127" customFormat="1" ht="25">
      <c r="A2396" s="636">
        <v>65163</v>
      </c>
      <c r="B2396" s="637" t="s">
        <v>33</v>
      </c>
      <c r="C2396" s="636" t="s">
        <v>2725</v>
      </c>
      <c r="D2396" s="637" t="s">
        <v>3698</v>
      </c>
      <c r="E2396" s="637" t="s">
        <v>3699</v>
      </c>
      <c r="F2396" s="636">
        <v>64516</v>
      </c>
      <c r="G2396" s="637" t="s">
        <v>57</v>
      </c>
      <c r="H2396" s="637" t="s">
        <v>1162</v>
      </c>
      <c r="I2396" s="637" t="s">
        <v>58</v>
      </c>
      <c r="J2396" s="636">
        <v>22</v>
      </c>
      <c r="K2396" s="636">
        <v>2</v>
      </c>
      <c r="L2396" s="637" t="s">
        <v>52</v>
      </c>
      <c r="M2396" s="637" t="s">
        <v>441</v>
      </c>
      <c r="N2396" s="637" t="s">
        <v>442</v>
      </c>
      <c r="O2396" s="637" t="s">
        <v>442</v>
      </c>
      <c r="P2396" s="637" t="s">
        <v>1156</v>
      </c>
      <c r="Q2396" s="638">
        <v>0</v>
      </c>
      <c r="R2396" s="638">
        <v>0</v>
      </c>
      <c r="S2396" s="638">
        <v>0</v>
      </c>
      <c r="T2396" s="638">
        <v>0</v>
      </c>
      <c r="U2396" s="638">
        <v>0</v>
      </c>
      <c r="V2396" s="636">
        <v>2022</v>
      </c>
      <c r="W2396" s="640"/>
      <c r="X2396" s="641" t="str">
        <f t="shared" si="111"/>
        <v/>
      </c>
      <c r="Y2396" s="642" t="str">
        <f t="shared" si="112"/>
        <v/>
      </c>
      <c r="Z2396" s="642" t="str">
        <f t="shared" si="113"/>
        <v/>
      </c>
    </row>
    <row r="2397" spans="1:26" s="127" customFormat="1" ht="25">
      <c r="A2397" s="636">
        <v>65166</v>
      </c>
      <c r="B2397" s="637" t="s">
        <v>33</v>
      </c>
      <c r="C2397" s="636" t="s">
        <v>2725</v>
      </c>
      <c r="D2397" s="637" t="s">
        <v>3700</v>
      </c>
      <c r="E2397" s="637" t="s">
        <v>2277</v>
      </c>
      <c r="F2397" s="636">
        <v>60025</v>
      </c>
      <c r="G2397" s="637" t="s">
        <v>89</v>
      </c>
      <c r="H2397" s="637" t="s">
        <v>1163</v>
      </c>
      <c r="I2397" s="637" t="s">
        <v>58</v>
      </c>
      <c r="J2397" s="636">
        <v>22</v>
      </c>
      <c r="K2397" s="636">
        <v>2</v>
      </c>
      <c r="L2397" s="637" t="s">
        <v>52</v>
      </c>
      <c r="M2397" s="637" t="s">
        <v>441</v>
      </c>
      <c r="N2397" s="637" t="s">
        <v>442</v>
      </c>
      <c r="O2397" s="637" t="s">
        <v>442</v>
      </c>
      <c r="P2397" s="637" t="s">
        <v>1156</v>
      </c>
      <c r="Q2397" s="638">
        <v>0</v>
      </c>
      <c r="R2397" s="638">
        <v>0</v>
      </c>
      <c r="S2397" s="638">
        <v>2907</v>
      </c>
      <c r="T2397" s="638">
        <v>2907</v>
      </c>
      <c r="U2397" s="638">
        <v>852</v>
      </c>
      <c r="V2397" s="636">
        <v>2022</v>
      </c>
      <c r="W2397" s="640"/>
      <c r="X2397" s="641">
        <f t="shared" si="111"/>
        <v>3.4119718309859155</v>
      </c>
      <c r="Y2397" s="642" t="str">
        <f t="shared" si="112"/>
        <v/>
      </c>
      <c r="Z2397" s="642" t="str">
        <f t="shared" si="113"/>
        <v/>
      </c>
    </row>
    <row r="2398" spans="1:26" s="127" customFormat="1" ht="25">
      <c r="A2398" s="636">
        <v>65174</v>
      </c>
      <c r="B2398" s="637" t="s">
        <v>33</v>
      </c>
      <c r="C2398" s="636" t="s">
        <v>2725</v>
      </c>
      <c r="D2398" s="637" t="s">
        <v>3470</v>
      </c>
      <c r="E2398" s="637" t="s">
        <v>3471</v>
      </c>
      <c r="F2398" s="636">
        <v>64534</v>
      </c>
      <c r="G2398" s="637" t="s">
        <v>81</v>
      </c>
      <c r="H2398" s="637" t="s">
        <v>1163</v>
      </c>
      <c r="I2398" s="637" t="s">
        <v>58</v>
      </c>
      <c r="J2398" s="636">
        <v>22</v>
      </c>
      <c r="K2398" s="636">
        <v>2</v>
      </c>
      <c r="L2398" s="637" t="s">
        <v>52</v>
      </c>
      <c r="M2398" s="637" t="s">
        <v>1852</v>
      </c>
      <c r="N2398" s="637" t="s">
        <v>1035</v>
      </c>
      <c r="O2398" s="637" t="s">
        <v>82</v>
      </c>
      <c r="P2398" s="637" t="s">
        <v>2726</v>
      </c>
      <c r="Q2398" s="638">
        <v>1017</v>
      </c>
      <c r="R2398" s="638">
        <v>1017</v>
      </c>
      <c r="S2398" s="638">
        <v>0</v>
      </c>
      <c r="T2398" s="638">
        <v>0</v>
      </c>
      <c r="U2398" s="638">
        <v>43</v>
      </c>
      <c r="V2398" s="636">
        <v>2022</v>
      </c>
      <c r="W2398" s="640"/>
      <c r="X2398" s="641" t="str">
        <f t="shared" si="111"/>
        <v/>
      </c>
      <c r="Y2398" s="642" t="str">
        <f t="shared" si="112"/>
        <v/>
      </c>
      <c r="Z2398" s="642" t="str">
        <f t="shared" si="113"/>
        <v/>
      </c>
    </row>
    <row r="2399" spans="1:26" s="127" customFormat="1" ht="25">
      <c r="A2399" s="636">
        <v>65174</v>
      </c>
      <c r="B2399" s="637" t="s">
        <v>33</v>
      </c>
      <c r="C2399" s="636" t="s">
        <v>2725</v>
      </c>
      <c r="D2399" s="637" t="s">
        <v>3470</v>
      </c>
      <c r="E2399" s="637" t="s">
        <v>3471</v>
      </c>
      <c r="F2399" s="636">
        <v>64534</v>
      </c>
      <c r="G2399" s="637" t="s">
        <v>81</v>
      </c>
      <c r="H2399" s="637" t="s">
        <v>1163</v>
      </c>
      <c r="I2399" s="637" t="s">
        <v>58</v>
      </c>
      <c r="J2399" s="636">
        <v>22</v>
      </c>
      <c r="K2399" s="636">
        <v>2</v>
      </c>
      <c r="L2399" s="637" t="s">
        <v>52</v>
      </c>
      <c r="M2399" s="637" t="s">
        <v>441</v>
      </c>
      <c r="N2399" s="637" t="s">
        <v>442</v>
      </c>
      <c r="O2399" s="637" t="s">
        <v>442</v>
      </c>
      <c r="P2399" s="637" t="s">
        <v>1156</v>
      </c>
      <c r="Q2399" s="638">
        <v>0</v>
      </c>
      <c r="R2399" s="638">
        <v>0</v>
      </c>
      <c r="S2399" s="638">
        <v>11066</v>
      </c>
      <c r="T2399" s="638">
        <v>11066</v>
      </c>
      <c r="U2399" s="638">
        <v>3243</v>
      </c>
      <c r="V2399" s="636">
        <v>2022</v>
      </c>
      <c r="W2399" s="640"/>
      <c r="X2399" s="641">
        <f t="shared" si="111"/>
        <v>3.4122725871106998</v>
      </c>
      <c r="Y2399" s="642" t="str">
        <f t="shared" si="112"/>
        <v/>
      </c>
      <c r="Z2399" s="642" t="str">
        <f t="shared" si="113"/>
        <v/>
      </c>
    </row>
    <row r="2400" spans="1:26" s="127" customFormat="1" ht="25">
      <c r="A2400" s="636">
        <v>65175</v>
      </c>
      <c r="B2400" s="637" t="s">
        <v>33</v>
      </c>
      <c r="C2400" s="636" t="s">
        <v>2725</v>
      </c>
      <c r="D2400" s="637" t="s">
        <v>3472</v>
      </c>
      <c r="E2400" s="637" t="s">
        <v>3473</v>
      </c>
      <c r="F2400" s="636">
        <v>64535</v>
      </c>
      <c r="G2400" s="637" t="s">
        <v>81</v>
      </c>
      <c r="H2400" s="637" t="s">
        <v>1163</v>
      </c>
      <c r="I2400" s="637" t="s">
        <v>58</v>
      </c>
      <c r="J2400" s="636">
        <v>22</v>
      </c>
      <c r="K2400" s="636">
        <v>2</v>
      </c>
      <c r="L2400" s="637" t="s">
        <v>52</v>
      </c>
      <c r="M2400" s="637" t="s">
        <v>441</v>
      </c>
      <c r="N2400" s="637" t="s">
        <v>442</v>
      </c>
      <c r="O2400" s="637" t="s">
        <v>442</v>
      </c>
      <c r="P2400" s="637" t="s">
        <v>1156</v>
      </c>
      <c r="Q2400" s="638">
        <v>0</v>
      </c>
      <c r="R2400" s="638">
        <v>0</v>
      </c>
      <c r="S2400" s="638">
        <v>22269</v>
      </c>
      <c r="T2400" s="638">
        <v>22269</v>
      </c>
      <c r="U2400" s="638">
        <v>6527</v>
      </c>
      <c r="V2400" s="636">
        <v>2022</v>
      </c>
      <c r="W2400" s="640"/>
      <c r="X2400" s="641">
        <f t="shared" si="111"/>
        <v>3.4118277922475868</v>
      </c>
      <c r="Y2400" s="642" t="str">
        <f t="shared" si="112"/>
        <v/>
      </c>
      <c r="Z2400" s="642" t="str">
        <f t="shared" si="113"/>
        <v/>
      </c>
    </row>
    <row r="2401" spans="1:26" s="127" customFormat="1" ht="25">
      <c r="A2401" s="636">
        <v>65183</v>
      </c>
      <c r="B2401" s="637" t="s">
        <v>33</v>
      </c>
      <c r="C2401" s="636" t="s">
        <v>2725</v>
      </c>
      <c r="D2401" s="637" t="s">
        <v>3474</v>
      </c>
      <c r="E2401" s="637" t="s">
        <v>2277</v>
      </c>
      <c r="F2401" s="636">
        <v>60025</v>
      </c>
      <c r="G2401" s="637" t="s">
        <v>81</v>
      </c>
      <c r="H2401" s="637" t="s">
        <v>1163</v>
      </c>
      <c r="I2401" s="637" t="s">
        <v>58</v>
      </c>
      <c r="J2401" s="636">
        <v>22</v>
      </c>
      <c r="K2401" s="636">
        <v>2</v>
      </c>
      <c r="L2401" s="637" t="s">
        <v>52</v>
      </c>
      <c r="M2401" s="637" t="s">
        <v>441</v>
      </c>
      <c r="N2401" s="637" t="s">
        <v>442</v>
      </c>
      <c r="O2401" s="637" t="s">
        <v>442</v>
      </c>
      <c r="P2401" s="637" t="s">
        <v>1156</v>
      </c>
      <c r="Q2401" s="638">
        <v>0</v>
      </c>
      <c r="R2401" s="638">
        <v>0</v>
      </c>
      <c r="S2401" s="638">
        <v>15822</v>
      </c>
      <c r="T2401" s="638">
        <v>15822</v>
      </c>
      <c r="U2401" s="638">
        <v>4637</v>
      </c>
      <c r="V2401" s="636">
        <v>2022</v>
      </c>
      <c r="W2401" s="640"/>
      <c r="X2401" s="641">
        <f t="shared" si="111"/>
        <v>3.4121199051110631</v>
      </c>
      <c r="Y2401" s="642" t="str">
        <f t="shared" si="112"/>
        <v/>
      </c>
      <c r="Z2401" s="642" t="str">
        <f t="shared" si="113"/>
        <v/>
      </c>
    </row>
    <row r="2402" spans="1:26" s="127" customFormat="1" ht="25">
      <c r="A2402" s="636">
        <v>65184</v>
      </c>
      <c r="B2402" s="637" t="s">
        <v>33</v>
      </c>
      <c r="C2402" s="636" t="s">
        <v>2725</v>
      </c>
      <c r="D2402" s="637" t="s">
        <v>3475</v>
      </c>
      <c r="E2402" s="637" t="s">
        <v>2277</v>
      </c>
      <c r="F2402" s="636">
        <v>60025</v>
      </c>
      <c r="G2402" s="637" t="s">
        <v>81</v>
      </c>
      <c r="H2402" s="637" t="s">
        <v>1163</v>
      </c>
      <c r="I2402" s="637" t="s">
        <v>58</v>
      </c>
      <c r="J2402" s="636">
        <v>22</v>
      </c>
      <c r="K2402" s="636">
        <v>2</v>
      </c>
      <c r="L2402" s="637" t="s">
        <v>52</v>
      </c>
      <c r="M2402" s="637" t="s">
        <v>441</v>
      </c>
      <c r="N2402" s="637" t="s">
        <v>442</v>
      </c>
      <c r="O2402" s="637" t="s">
        <v>442</v>
      </c>
      <c r="P2402" s="637" t="s">
        <v>1156</v>
      </c>
      <c r="Q2402" s="638">
        <v>0</v>
      </c>
      <c r="R2402" s="638">
        <v>0</v>
      </c>
      <c r="S2402" s="638">
        <v>7148</v>
      </c>
      <c r="T2402" s="638">
        <v>7148</v>
      </c>
      <c r="U2402" s="638">
        <v>2095</v>
      </c>
      <c r="V2402" s="636">
        <v>2022</v>
      </c>
      <c r="W2402" s="640"/>
      <c r="X2402" s="641">
        <f t="shared" si="111"/>
        <v>3.4119331742243437</v>
      </c>
      <c r="Y2402" s="642" t="str">
        <f t="shared" si="112"/>
        <v/>
      </c>
      <c r="Z2402" s="642" t="str">
        <f t="shared" si="113"/>
        <v/>
      </c>
    </row>
    <row r="2403" spans="1:26" s="127" customFormat="1" ht="25">
      <c r="A2403" s="636">
        <v>65197</v>
      </c>
      <c r="B2403" s="637" t="s">
        <v>33</v>
      </c>
      <c r="C2403" s="636" t="s">
        <v>2725</v>
      </c>
      <c r="D2403" s="637" t="s">
        <v>3476</v>
      </c>
      <c r="E2403" s="637" t="s">
        <v>1761</v>
      </c>
      <c r="F2403" s="636">
        <v>57128</v>
      </c>
      <c r="G2403" s="637" t="s">
        <v>41</v>
      </c>
      <c r="H2403" s="637" t="s">
        <v>1163</v>
      </c>
      <c r="I2403" s="637" t="s">
        <v>58</v>
      </c>
      <c r="J2403" s="636">
        <v>22</v>
      </c>
      <c r="K2403" s="636">
        <v>2</v>
      </c>
      <c r="L2403" s="637" t="s">
        <v>52</v>
      </c>
      <c r="M2403" s="637" t="s">
        <v>1232</v>
      </c>
      <c r="N2403" s="637" t="s">
        <v>39</v>
      </c>
      <c r="O2403" s="637" t="s">
        <v>39</v>
      </c>
      <c r="P2403" s="637" t="s">
        <v>1020</v>
      </c>
      <c r="Q2403" s="638">
        <v>128371</v>
      </c>
      <c r="R2403" s="638">
        <v>128371</v>
      </c>
      <c r="S2403" s="638">
        <v>132222</v>
      </c>
      <c r="T2403" s="638">
        <v>132222</v>
      </c>
      <c r="U2403" s="638">
        <v>19193</v>
      </c>
      <c r="V2403" s="636">
        <v>2022</v>
      </c>
      <c r="W2403" s="640"/>
      <c r="X2403" s="641">
        <f t="shared" si="111"/>
        <v>6.8890741416141301</v>
      </c>
      <c r="Y2403" s="642" t="str">
        <f t="shared" si="112"/>
        <v/>
      </c>
      <c r="Z2403" s="642" t="str">
        <f t="shared" si="113"/>
        <v/>
      </c>
    </row>
    <row r="2404" spans="1:26" s="127" customFormat="1" ht="25">
      <c r="A2404" s="636">
        <v>65198</v>
      </c>
      <c r="B2404" s="637" t="s">
        <v>33</v>
      </c>
      <c r="C2404" s="636" t="s">
        <v>2725</v>
      </c>
      <c r="D2404" s="637" t="s">
        <v>3477</v>
      </c>
      <c r="E2404" s="637" t="s">
        <v>1761</v>
      </c>
      <c r="F2404" s="636">
        <v>57128</v>
      </c>
      <c r="G2404" s="637" t="s">
        <v>41</v>
      </c>
      <c r="H2404" s="637" t="s">
        <v>1163</v>
      </c>
      <c r="I2404" s="637" t="s">
        <v>58</v>
      </c>
      <c r="J2404" s="636">
        <v>22</v>
      </c>
      <c r="K2404" s="636">
        <v>2</v>
      </c>
      <c r="L2404" s="637" t="s">
        <v>52</v>
      </c>
      <c r="M2404" s="637" t="s">
        <v>1232</v>
      </c>
      <c r="N2404" s="637" t="s">
        <v>39</v>
      </c>
      <c r="O2404" s="637" t="s">
        <v>39</v>
      </c>
      <c r="P2404" s="637" t="s">
        <v>1020</v>
      </c>
      <c r="Q2404" s="638">
        <v>117926</v>
      </c>
      <c r="R2404" s="638">
        <v>117926</v>
      </c>
      <c r="S2404" s="638">
        <v>120286</v>
      </c>
      <c r="T2404" s="638">
        <v>120286</v>
      </c>
      <c r="U2404" s="638">
        <v>17244</v>
      </c>
      <c r="V2404" s="636">
        <v>2022</v>
      </c>
      <c r="W2404" s="640"/>
      <c r="X2404" s="641">
        <f t="shared" si="111"/>
        <v>6.9755277197865926</v>
      </c>
      <c r="Y2404" s="642" t="str">
        <f t="shared" si="112"/>
        <v/>
      </c>
      <c r="Z2404" s="642" t="str">
        <f t="shared" si="113"/>
        <v/>
      </c>
    </row>
    <row r="2405" spans="1:26" s="127" customFormat="1" ht="25">
      <c r="A2405" s="636">
        <v>65201</v>
      </c>
      <c r="B2405" s="637" t="s">
        <v>33</v>
      </c>
      <c r="C2405" s="636" t="s">
        <v>2725</v>
      </c>
      <c r="D2405" s="637" t="s">
        <v>3478</v>
      </c>
      <c r="E2405" s="637" t="s">
        <v>1761</v>
      </c>
      <c r="F2405" s="636">
        <v>57128</v>
      </c>
      <c r="G2405" s="637" t="s">
        <v>57</v>
      </c>
      <c r="H2405" s="637" t="s">
        <v>1162</v>
      </c>
      <c r="I2405" s="637" t="s">
        <v>58</v>
      </c>
      <c r="J2405" s="636">
        <v>22</v>
      </c>
      <c r="K2405" s="636">
        <v>2</v>
      </c>
      <c r="L2405" s="637" t="s">
        <v>52</v>
      </c>
      <c r="M2405" s="637" t="s">
        <v>1232</v>
      </c>
      <c r="N2405" s="637" t="s">
        <v>39</v>
      </c>
      <c r="O2405" s="637" t="s">
        <v>39</v>
      </c>
      <c r="P2405" s="637" t="s">
        <v>1020</v>
      </c>
      <c r="Q2405" s="638">
        <v>407122</v>
      </c>
      <c r="R2405" s="638">
        <v>407122</v>
      </c>
      <c r="S2405" s="638">
        <v>419336</v>
      </c>
      <c r="T2405" s="638">
        <v>419336</v>
      </c>
      <c r="U2405" s="638">
        <v>61045</v>
      </c>
      <c r="V2405" s="636">
        <v>2022</v>
      </c>
      <c r="W2405" s="640"/>
      <c r="X2405" s="641">
        <f t="shared" si="111"/>
        <v>6.8692931444016709</v>
      </c>
      <c r="Y2405" s="642" t="str">
        <f t="shared" si="112"/>
        <v/>
      </c>
      <c r="Z2405" s="642" t="str">
        <f t="shared" si="113"/>
        <v/>
      </c>
    </row>
    <row r="2406" spans="1:26" s="127" customFormat="1" ht="25">
      <c r="A2406" s="636">
        <v>65209</v>
      </c>
      <c r="B2406" s="637" t="s">
        <v>33</v>
      </c>
      <c r="C2406" s="636" t="s">
        <v>2725</v>
      </c>
      <c r="D2406" s="637" t="s">
        <v>3479</v>
      </c>
      <c r="E2406" s="637" t="s">
        <v>1761</v>
      </c>
      <c r="F2406" s="636">
        <v>57128</v>
      </c>
      <c r="G2406" s="637" t="s">
        <v>81</v>
      </c>
      <c r="H2406" s="637" t="s">
        <v>1163</v>
      </c>
      <c r="I2406" s="637" t="s">
        <v>58</v>
      </c>
      <c r="J2406" s="636">
        <v>22</v>
      </c>
      <c r="K2406" s="636">
        <v>2</v>
      </c>
      <c r="L2406" s="637" t="s">
        <v>52</v>
      </c>
      <c r="M2406" s="637" t="s">
        <v>1232</v>
      </c>
      <c r="N2406" s="637" t="s">
        <v>39</v>
      </c>
      <c r="O2406" s="637" t="s">
        <v>39</v>
      </c>
      <c r="P2406" s="637" t="s">
        <v>1020</v>
      </c>
      <c r="Q2406" s="638">
        <v>106017</v>
      </c>
      <c r="R2406" s="638">
        <v>106017</v>
      </c>
      <c r="S2406" s="638">
        <v>109198</v>
      </c>
      <c r="T2406" s="638">
        <v>109198</v>
      </c>
      <c r="U2406" s="638">
        <v>16000</v>
      </c>
      <c r="V2406" s="636">
        <v>2022</v>
      </c>
      <c r="W2406" s="640"/>
      <c r="X2406" s="641">
        <f t="shared" si="111"/>
        <v>6.8248749999999996</v>
      </c>
      <c r="Y2406" s="642" t="str">
        <f t="shared" si="112"/>
        <v/>
      </c>
      <c r="Z2406" s="642" t="str">
        <f t="shared" si="113"/>
        <v/>
      </c>
    </row>
    <row r="2407" spans="1:26" s="127" customFormat="1" ht="25">
      <c r="A2407" s="636">
        <v>65212</v>
      </c>
      <c r="B2407" s="637" t="s">
        <v>33</v>
      </c>
      <c r="C2407" s="636" t="s">
        <v>2725</v>
      </c>
      <c r="D2407" s="637" t="s">
        <v>3480</v>
      </c>
      <c r="E2407" s="637" t="s">
        <v>1761</v>
      </c>
      <c r="F2407" s="636">
        <v>57128</v>
      </c>
      <c r="G2407" s="637" t="s">
        <v>57</v>
      </c>
      <c r="H2407" s="637" t="s">
        <v>1162</v>
      </c>
      <c r="I2407" s="637" t="s">
        <v>1135</v>
      </c>
      <c r="J2407" s="636">
        <v>22</v>
      </c>
      <c r="K2407" s="636">
        <v>2</v>
      </c>
      <c r="L2407" s="637" t="s">
        <v>52</v>
      </c>
      <c r="M2407" s="637" t="s">
        <v>1232</v>
      </c>
      <c r="N2407" s="637" t="s">
        <v>39</v>
      </c>
      <c r="O2407" s="637" t="s">
        <v>39</v>
      </c>
      <c r="P2407" s="637" t="s">
        <v>1020</v>
      </c>
      <c r="Q2407" s="638">
        <v>112373</v>
      </c>
      <c r="R2407" s="638">
        <v>112373</v>
      </c>
      <c r="S2407" s="638">
        <v>115745</v>
      </c>
      <c r="T2407" s="638">
        <v>115745</v>
      </c>
      <c r="U2407" s="638">
        <v>17462</v>
      </c>
      <c r="V2407" s="636">
        <v>2022</v>
      </c>
      <c r="W2407" s="640"/>
      <c r="X2407" s="641">
        <f t="shared" si="111"/>
        <v>6.6283930821211774</v>
      </c>
      <c r="Y2407" s="642" t="str">
        <f t="shared" si="112"/>
        <v/>
      </c>
      <c r="Z2407" s="642" t="str">
        <f t="shared" si="113"/>
        <v/>
      </c>
    </row>
    <row r="2408" spans="1:26" s="127" customFormat="1" ht="25">
      <c r="A2408" s="636">
        <v>65216</v>
      </c>
      <c r="B2408" s="637" t="s">
        <v>33</v>
      </c>
      <c r="C2408" s="636" t="s">
        <v>2725</v>
      </c>
      <c r="D2408" s="637" t="s">
        <v>3481</v>
      </c>
      <c r="E2408" s="637" t="s">
        <v>2277</v>
      </c>
      <c r="F2408" s="636">
        <v>60025</v>
      </c>
      <c r="G2408" s="637" t="s">
        <v>81</v>
      </c>
      <c r="H2408" s="637" t="s">
        <v>1163</v>
      </c>
      <c r="I2408" s="637" t="s">
        <v>58</v>
      </c>
      <c r="J2408" s="636">
        <v>22</v>
      </c>
      <c r="K2408" s="636">
        <v>2</v>
      </c>
      <c r="L2408" s="637" t="s">
        <v>52</v>
      </c>
      <c r="M2408" s="637" t="s">
        <v>441</v>
      </c>
      <c r="N2408" s="637" t="s">
        <v>442</v>
      </c>
      <c r="O2408" s="637" t="s">
        <v>442</v>
      </c>
      <c r="P2408" s="637" t="s">
        <v>1156</v>
      </c>
      <c r="Q2408" s="638">
        <v>0</v>
      </c>
      <c r="R2408" s="638">
        <v>0</v>
      </c>
      <c r="S2408" s="638">
        <v>7200</v>
      </c>
      <c r="T2408" s="638">
        <v>7200</v>
      </c>
      <c r="U2408" s="638">
        <v>2110</v>
      </c>
      <c r="V2408" s="636">
        <v>2022</v>
      </c>
      <c r="W2408" s="640"/>
      <c r="X2408" s="641">
        <f t="shared" si="111"/>
        <v>3.4123222748815167</v>
      </c>
      <c r="Y2408" s="642" t="str">
        <f t="shared" si="112"/>
        <v/>
      </c>
      <c r="Z2408" s="642" t="str">
        <f t="shared" si="113"/>
        <v/>
      </c>
    </row>
    <row r="2409" spans="1:26" s="127" customFormat="1" ht="25">
      <c r="A2409" s="636">
        <v>65217</v>
      </c>
      <c r="B2409" s="637" t="s">
        <v>33</v>
      </c>
      <c r="C2409" s="636" t="s">
        <v>2725</v>
      </c>
      <c r="D2409" s="637" t="s">
        <v>3701</v>
      </c>
      <c r="E2409" s="637" t="s">
        <v>2166</v>
      </c>
      <c r="F2409" s="636">
        <v>61012</v>
      </c>
      <c r="G2409" s="637" t="s">
        <v>57</v>
      </c>
      <c r="H2409" s="637" t="s">
        <v>1162</v>
      </c>
      <c r="I2409" s="637" t="s">
        <v>58</v>
      </c>
      <c r="J2409" s="636">
        <v>22</v>
      </c>
      <c r="K2409" s="636">
        <v>2</v>
      </c>
      <c r="L2409" s="637" t="s">
        <v>52</v>
      </c>
      <c r="M2409" s="637" t="s">
        <v>1852</v>
      </c>
      <c r="N2409" s="637" t="s">
        <v>1035</v>
      </c>
      <c r="O2409" s="637" t="s">
        <v>82</v>
      </c>
      <c r="P2409" s="637" t="s">
        <v>2726</v>
      </c>
      <c r="Q2409" s="638">
        <v>269</v>
      </c>
      <c r="R2409" s="638">
        <v>269</v>
      </c>
      <c r="S2409" s="638">
        <v>0</v>
      </c>
      <c r="T2409" s="638">
        <v>0</v>
      </c>
      <c r="U2409" s="638">
        <v>-46</v>
      </c>
      <c r="V2409" s="636">
        <v>2022</v>
      </c>
      <c r="W2409" s="640"/>
      <c r="X2409" s="641" t="str">
        <f t="shared" si="111"/>
        <v/>
      </c>
      <c r="Y2409" s="642" t="str">
        <f t="shared" si="112"/>
        <v/>
      </c>
      <c r="Z2409" s="642" t="str">
        <f t="shared" si="113"/>
        <v/>
      </c>
    </row>
    <row r="2410" spans="1:26" s="127" customFormat="1" ht="25">
      <c r="A2410" s="636">
        <v>65217</v>
      </c>
      <c r="B2410" s="637" t="s">
        <v>33</v>
      </c>
      <c r="C2410" s="636" t="s">
        <v>2725</v>
      </c>
      <c r="D2410" s="637" t="s">
        <v>3701</v>
      </c>
      <c r="E2410" s="637" t="s">
        <v>2166</v>
      </c>
      <c r="F2410" s="636">
        <v>61012</v>
      </c>
      <c r="G2410" s="637" t="s">
        <v>57</v>
      </c>
      <c r="H2410" s="637" t="s">
        <v>1162</v>
      </c>
      <c r="I2410" s="637" t="s">
        <v>58</v>
      </c>
      <c r="J2410" s="636">
        <v>22</v>
      </c>
      <c r="K2410" s="636">
        <v>2</v>
      </c>
      <c r="L2410" s="637" t="s">
        <v>52</v>
      </c>
      <c r="M2410" s="637" t="s">
        <v>441</v>
      </c>
      <c r="N2410" s="637" t="s">
        <v>442</v>
      </c>
      <c r="O2410" s="637" t="s">
        <v>442</v>
      </c>
      <c r="P2410" s="637" t="s">
        <v>1156</v>
      </c>
      <c r="Q2410" s="638">
        <v>0</v>
      </c>
      <c r="R2410" s="638">
        <v>0</v>
      </c>
      <c r="S2410" s="638">
        <v>20533</v>
      </c>
      <c r="T2410" s="638">
        <v>20533</v>
      </c>
      <c r="U2410" s="638">
        <v>6018</v>
      </c>
      <c r="V2410" s="636">
        <v>2022</v>
      </c>
      <c r="W2410" s="640"/>
      <c r="X2410" s="641">
        <f t="shared" si="111"/>
        <v>3.4119308740445331</v>
      </c>
      <c r="Y2410" s="642" t="str">
        <f t="shared" si="112"/>
        <v/>
      </c>
      <c r="Z2410" s="642" t="str">
        <f t="shared" si="113"/>
        <v/>
      </c>
    </row>
    <row r="2411" spans="1:26" s="127" customFormat="1" ht="25">
      <c r="A2411" s="636">
        <v>65222</v>
      </c>
      <c r="B2411" s="637" t="s">
        <v>33</v>
      </c>
      <c r="C2411" s="636" t="s">
        <v>2725</v>
      </c>
      <c r="D2411" s="637" t="s">
        <v>3702</v>
      </c>
      <c r="E2411" s="637" t="s">
        <v>3064</v>
      </c>
      <c r="F2411" s="636">
        <v>63244</v>
      </c>
      <c r="G2411" s="637" t="s">
        <v>57</v>
      </c>
      <c r="H2411" s="637" t="s">
        <v>1162</v>
      </c>
      <c r="I2411" s="637" t="s">
        <v>58</v>
      </c>
      <c r="J2411" s="636">
        <v>22</v>
      </c>
      <c r="K2411" s="636">
        <v>2</v>
      </c>
      <c r="L2411" s="637" t="s">
        <v>52</v>
      </c>
      <c r="M2411" s="637" t="s">
        <v>441</v>
      </c>
      <c r="N2411" s="637" t="s">
        <v>442</v>
      </c>
      <c r="O2411" s="637" t="s">
        <v>442</v>
      </c>
      <c r="P2411" s="637" t="s">
        <v>1156</v>
      </c>
      <c r="Q2411" s="638">
        <v>0</v>
      </c>
      <c r="R2411" s="638">
        <v>0</v>
      </c>
      <c r="S2411" s="638">
        <v>12622</v>
      </c>
      <c r="T2411" s="638">
        <v>12622</v>
      </c>
      <c r="U2411" s="638">
        <v>3700</v>
      </c>
      <c r="V2411" s="636">
        <v>2022</v>
      </c>
      <c r="W2411" s="640"/>
      <c r="X2411" s="641">
        <f t="shared" si="111"/>
        <v>3.4113513513513514</v>
      </c>
      <c r="Y2411" s="642" t="str">
        <f t="shared" si="112"/>
        <v/>
      </c>
      <c r="Z2411" s="642" t="str">
        <f t="shared" si="113"/>
        <v/>
      </c>
    </row>
    <row r="2412" spans="1:26" s="127" customFormat="1" ht="25">
      <c r="A2412" s="636">
        <v>65232</v>
      </c>
      <c r="B2412" s="637" t="s">
        <v>33</v>
      </c>
      <c r="C2412" s="636" t="s">
        <v>2725</v>
      </c>
      <c r="D2412" s="637" t="s">
        <v>3482</v>
      </c>
      <c r="E2412" s="637" t="s">
        <v>3623</v>
      </c>
      <c r="F2412" s="636">
        <v>61944</v>
      </c>
      <c r="G2412" s="637" t="s">
        <v>57</v>
      </c>
      <c r="H2412" s="637" t="s">
        <v>1162</v>
      </c>
      <c r="I2412" s="637" t="s">
        <v>58</v>
      </c>
      <c r="J2412" s="636">
        <v>22</v>
      </c>
      <c r="K2412" s="636">
        <v>2</v>
      </c>
      <c r="L2412" s="637" t="s">
        <v>52</v>
      </c>
      <c r="M2412" s="637" t="s">
        <v>441</v>
      </c>
      <c r="N2412" s="637" t="s">
        <v>442</v>
      </c>
      <c r="O2412" s="637" t="s">
        <v>442</v>
      </c>
      <c r="P2412" s="637" t="s">
        <v>1156</v>
      </c>
      <c r="Q2412" s="638">
        <v>0</v>
      </c>
      <c r="R2412" s="638">
        <v>0</v>
      </c>
      <c r="S2412" s="638">
        <v>7224</v>
      </c>
      <c r="T2412" s="638">
        <v>7224</v>
      </c>
      <c r="U2412" s="638">
        <v>2117</v>
      </c>
      <c r="V2412" s="636">
        <v>2022</v>
      </c>
      <c r="W2412" s="640"/>
      <c r="X2412" s="641">
        <f t="shared" si="111"/>
        <v>3.4123760037789324</v>
      </c>
      <c r="Y2412" s="642" t="str">
        <f t="shared" si="112"/>
        <v/>
      </c>
      <c r="Z2412" s="642" t="str">
        <f t="shared" si="113"/>
        <v/>
      </c>
    </row>
    <row r="2413" spans="1:26" s="127" customFormat="1" ht="25">
      <c r="A2413" s="636">
        <v>65233</v>
      </c>
      <c r="B2413" s="637" t="s">
        <v>33</v>
      </c>
      <c r="C2413" s="636" t="s">
        <v>2725</v>
      </c>
      <c r="D2413" s="637" t="s">
        <v>3483</v>
      </c>
      <c r="E2413" s="637" t="s">
        <v>3623</v>
      </c>
      <c r="F2413" s="636">
        <v>61944</v>
      </c>
      <c r="G2413" s="637" t="s">
        <v>57</v>
      </c>
      <c r="H2413" s="637" t="s">
        <v>1162</v>
      </c>
      <c r="I2413" s="637" t="s">
        <v>58</v>
      </c>
      <c r="J2413" s="636">
        <v>22</v>
      </c>
      <c r="K2413" s="636">
        <v>2</v>
      </c>
      <c r="L2413" s="637" t="s">
        <v>52</v>
      </c>
      <c r="M2413" s="637" t="s">
        <v>441</v>
      </c>
      <c r="N2413" s="637" t="s">
        <v>442</v>
      </c>
      <c r="O2413" s="637" t="s">
        <v>442</v>
      </c>
      <c r="P2413" s="637" t="s">
        <v>1156</v>
      </c>
      <c r="Q2413" s="638">
        <v>0</v>
      </c>
      <c r="R2413" s="638">
        <v>0</v>
      </c>
      <c r="S2413" s="638">
        <v>8241</v>
      </c>
      <c r="T2413" s="638">
        <v>8241</v>
      </c>
      <c r="U2413" s="638">
        <v>2416</v>
      </c>
      <c r="V2413" s="636">
        <v>2022</v>
      </c>
      <c r="W2413" s="640"/>
      <c r="X2413" s="641">
        <f t="shared" si="111"/>
        <v>3.4110099337748343</v>
      </c>
      <c r="Y2413" s="642" t="str">
        <f t="shared" si="112"/>
        <v/>
      </c>
      <c r="Z2413" s="642" t="str">
        <f t="shared" si="113"/>
        <v/>
      </c>
    </row>
    <row r="2414" spans="1:26" s="127" customFormat="1" ht="25">
      <c r="A2414" s="636">
        <v>65242</v>
      </c>
      <c r="B2414" s="637" t="s">
        <v>33</v>
      </c>
      <c r="C2414" s="636" t="s">
        <v>2725</v>
      </c>
      <c r="D2414" s="637" t="s">
        <v>3484</v>
      </c>
      <c r="E2414" s="637" t="s">
        <v>3485</v>
      </c>
      <c r="F2414" s="636">
        <v>64560</v>
      </c>
      <c r="G2414" s="637" t="s">
        <v>81</v>
      </c>
      <c r="H2414" s="637" t="s">
        <v>1163</v>
      </c>
      <c r="I2414" s="637" t="s">
        <v>58</v>
      </c>
      <c r="J2414" s="636">
        <v>22</v>
      </c>
      <c r="K2414" s="636">
        <v>2</v>
      </c>
      <c r="L2414" s="637" t="s">
        <v>52</v>
      </c>
      <c r="M2414" s="637" t="s">
        <v>1852</v>
      </c>
      <c r="N2414" s="637" t="s">
        <v>1035</v>
      </c>
      <c r="O2414" s="637" t="s">
        <v>82</v>
      </c>
      <c r="P2414" s="637" t="s">
        <v>2726</v>
      </c>
      <c r="Q2414" s="638">
        <v>0</v>
      </c>
      <c r="R2414" s="638">
        <v>0</v>
      </c>
      <c r="S2414" s="638">
        <v>0</v>
      </c>
      <c r="T2414" s="638">
        <v>0</v>
      </c>
      <c r="U2414" s="638">
        <v>0</v>
      </c>
      <c r="V2414" s="636">
        <v>2022</v>
      </c>
      <c r="W2414" s="640"/>
      <c r="X2414" s="641" t="str">
        <f t="shared" si="111"/>
        <v/>
      </c>
      <c r="Y2414" s="642" t="str">
        <f t="shared" si="112"/>
        <v/>
      </c>
      <c r="Z2414" s="642" t="str">
        <f t="shared" si="113"/>
        <v/>
      </c>
    </row>
    <row r="2415" spans="1:26" s="127" customFormat="1" ht="25">
      <c r="A2415" s="636">
        <v>65242</v>
      </c>
      <c r="B2415" s="637" t="s">
        <v>33</v>
      </c>
      <c r="C2415" s="636" t="s">
        <v>2725</v>
      </c>
      <c r="D2415" s="637" t="s">
        <v>3484</v>
      </c>
      <c r="E2415" s="637" t="s">
        <v>3485</v>
      </c>
      <c r="F2415" s="636">
        <v>64560</v>
      </c>
      <c r="G2415" s="637" t="s">
        <v>81</v>
      </c>
      <c r="H2415" s="637" t="s">
        <v>1163</v>
      </c>
      <c r="I2415" s="637" t="s">
        <v>58</v>
      </c>
      <c r="J2415" s="636">
        <v>22</v>
      </c>
      <c r="K2415" s="636">
        <v>2</v>
      </c>
      <c r="L2415" s="637" t="s">
        <v>52</v>
      </c>
      <c r="M2415" s="637" t="s">
        <v>441</v>
      </c>
      <c r="N2415" s="637" t="s">
        <v>442</v>
      </c>
      <c r="O2415" s="637" t="s">
        <v>442</v>
      </c>
      <c r="P2415" s="637" t="s">
        <v>1156</v>
      </c>
      <c r="Q2415" s="638">
        <v>0</v>
      </c>
      <c r="R2415" s="638">
        <v>0</v>
      </c>
      <c r="S2415" s="638">
        <v>13394</v>
      </c>
      <c r="T2415" s="638">
        <v>13394</v>
      </c>
      <c r="U2415" s="638">
        <v>3926</v>
      </c>
      <c r="V2415" s="636">
        <v>2022</v>
      </c>
      <c r="W2415" s="640"/>
      <c r="X2415" s="641">
        <f t="shared" si="111"/>
        <v>3.411614875191034</v>
      </c>
      <c r="Y2415" s="642" t="str">
        <f t="shared" si="112"/>
        <v/>
      </c>
      <c r="Z2415" s="642" t="str">
        <f t="shared" si="113"/>
        <v/>
      </c>
    </row>
    <row r="2416" spans="1:26" s="127" customFormat="1" ht="25">
      <c r="A2416" s="636">
        <v>65279</v>
      </c>
      <c r="B2416" s="637" t="s">
        <v>33</v>
      </c>
      <c r="C2416" s="636" t="s">
        <v>2725</v>
      </c>
      <c r="D2416" s="637" t="s">
        <v>3486</v>
      </c>
      <c r="E2416" s="637" t="s">
        <v>3487</v>
      </c>
      <c r="F2416" s="636">
        <v>64561</v>
      </c>
      <c r="G2416" s="637" t="s">
        <v>81</v>
      </c>
      <c r="H2416" s="637" t="s">
        <v>1163</v>
      </c>
      <c r="I2416" s="637" t="s">
        <v>58</v>
      </c>
      <c r="J2416" s="636">
        <v>22</v>
      </c>
      <c r="K2416" s="636">
        <v>2</v>
      </c>
      <c r="L2416" s="637" t="s">
        <v>52</v>
      </c>
      <c r="M2416" s="637" t="s">
        <v>441</v>
      </c>
      <c r="N2416" s="637" t="s">
        <v>442</v>
      </c>
      <c r="O2416" s="637" t="s">
        <v>442</v>
      </c>
      <c r="P2416" s="637" t="s">
        <v>1156</v>
      </c>
      <c r="Q2416" s="638">
        <v>0</v>
      </c>
      <c r="R2416" s="638">
        <v>0</v>
      </c>
      <c r="S2416" s="638">
        <v>12140</v>
      </c>
      <c r="T2416" s="638">
        <v>12140</v>
      </c>
      <c r="U2416" s="638">
        <v>3558</v>
      </c>
      <c r="V2416" s="636">
        <v>2022</v>
      </c>
      <c r="W2416" s="640"/>
      <c r="X2416" s="641">
        <f t="shared" si="111"/>
        <v>3.4120292299044408</v>
      </c>
      <c r="Y2416" s="642" t="str">
        <f t="shared" si="112"/>
        <v/>
      </c>
      <c r="Z2416" s="642" t="str">
        <f t="shared" si="113"/>
        <v/>
      </c>
    </row>
    <row r="2417" spans="1:26" s="127" customFormat="1" ht="25">
      <c r="A2417" s="636">
        <v>65287</v>
      </c>
      <c r="B2417" s="637" t="s">
        <v>33</v>
      </c>
      <c r="C2417" s="636" t="s">
        <v>2725</v>
      </c>
      <c r="D2417" s="637" t="s">
        <v>3488</v>
      </c>
      <c r="E2417" s="637" t="s">
        <v>1926</v>
      </c>
      <c r="F2417" s="636">
        <v>58135</v>
      </c>
      <c r="G2417" s="637" t="s">
        <v>41</v>
      </c>
      <c r="H2417" s="637" t="s">
        <v>1163</v>
      </c>
      <c r="I2417" s="637" t="s">
        <v>58</v>
      </c>
      <c r="J2417" s="636">
        <v>22</v>
      </c>
      <c r="K2417" s="636">
        <v>2</v>
      </c>
      <c r="L2417" s="637" t="s">
        <v>52</v>
      </c>
      <c r="M2417" s="637" t="s">
        <v>441</v>
      </c>
      <c r="N2417" s="637" t="s">
        <v>442</v>
      </c>
      <c r="O2417" s="637" t="s">
        <v>442</v>
      </c>
      <c r="P2417" s="637" t="s">
        <v>1156</v>
      </c>
      <c r="Q2417" s="638">
        <v>0</v>
      </c>
      <c r="R2417" s="638">
        <v>0</v>
      </c>
      <c r="S2417" s="638">
        <v>12438</v>
      </c>
      <c r="T2417" s="638">
        <v>12438</v>
      </c>
      <c r="U2417" s="638">
        <v>3646</v>
      </c>
      <c r="V2417" s="636">
        <v>2022</v>
      </c>
      <c r="W2417" s="640"/>
      <c r="X2417" s="641">
        <f t="shared" si="111"/>
        <v>3.4114097641250685</v>
      </c>
      <c r="Y2417" s="642" t="str">
        <f t="shared" si="112"/>
        <v/>
      </c>
      <c r="Z2417" s="642" t="str">
        <f t="shared" si="113"/>
        <v/>
      </c>
    </row>
    <row r="2418" spans="1:26" s="127" customFormat="1" ht="25">
      <c r="A2418" s="636">
        <v>65294</v>
      </c>
      <c r="B2418" s="637" t="s">
        <v>33</v>
      </c>
      <c r="C2418" s="636" t="s">
        <v>2725</v>
      </c>
      <c r="D2418" s="637" t="s">
        <v>3489</v>
      </c>
      <c r="E2418" s="637" t="s">
        <v>3025</v>
      </c>
      <c r="F2418" s="636">
        <v>57280</v>
      </c>
      <c r="G2418" s="637" t="s">
        <v>81</v>
      </c>
      <c r="H2418" s="637" t="s">
        <v>1163</v>
      </c>
      <c r="I2418" s="637" t="s">
        <v>58</v>
      </c>
      <c r="J2418" s="636">
        <v>22</v>
      </c>
      <c r="K2418" s="636">
        <v>2</v>
      </c>
      <c r="L2418" s="637" t="s">
        <v>52</v>
      </c>
      <c r="M2418" s="637" t="s">
        <v>35</v>
      </c>
      <c r="N2418" s="637" t="s">
        <v>36</v>
      </c>
      <c r="O2418" s="637" t="s">
        <v>37</v>
      </c>
      <c r="P2418" s="637" t="s">
        <v>1156</v>
      </c>
      <c r="Q2418" s="638">
        <v>0</v>
      </c>
      <c r="R2418" s="638">
        <v>0</v>
      </c>
      <c r="S2418" s="638">
        <v>10015</v>
      </c>
      <c r="T2418" s="638">
        <v>10015</v>
      </c>
      <c r="U2418" s="638">
        <v>2935</v>
      </c>
      <c r="V2418" s="636">
        <v>2022</v>
      </c>
      <c r="W2418" s="640"/>
      <c r="X2418" s="641">
        <f t="shared" si="111"/>
        <v>3.4122657580919933</v>
      </c>
      <c r="Y2418" s="642" t="str">
        <f t="shared" si="112"/>
        <v/>
      </c>
      <c r="Z2418" s="642" t="str">
        <f t="shared" si="113"/>
        <v/>
      </c>
    </row>
    <row r="2419" spans="1:26" s="127" customFormat="1" ht="25">
      <c r="A2419" s="636">
        <v>65297</v>
      </c>
      <c r="B2419" s="637" t="s">
        <v>33</v>
      </c>
      <c r="C2419" s="636" t="s">
        <v>2725</v>
      </c>
      <c r="D2419" s="637" t="s">
        <v>3490</v>
      </c>
      <c r="E2419" s="637" t="s">
        <v>3490</v>
      </c>
      <c r="F2419" s="636">
        <v>64602</v>
      </c>
      <c r="G2419" s="637" t="s">
        <v>57</v>
      </c>
      <c r="H2419" s="637" t="s">
        <v>1162</v>
      </c>
      <c r="I2419" s="637" t="s">
        <v>58</v>
      </c>
      <c r="J2419" s="636">
        <v>22</v>
      </c>
      <c r="K2419" s="636">
        <v>2</v>
      </c>
      <c r="L2419" s="637" t="s">
        <v>52</v>
      </c>
      <c r="M2419" s="637" t="s">
        <v>441</v>
      </c>
      <c r="N2419" s="637" t="s">
        <v>442</v>
      </c>
      <c r="O2419" s="637" t="s">
        <v>442</v>
      </c>
      <c r="P2419" s="637" t="s">
        <v>1156</v>
      </c>
      <c r="Q2419" s="638">
        <v>0</v>
      </c>
      <c r="R2419" s="638">
        <v>0</v>
      </c>
      <c r="S2419" s="638">
        <v>18962</v>
      </c>
      <c r="T2419" s="638">
        <v>18962</v>
      </c>
      <c r="U2419" s="638">
        <v>5557</v>
      </c>
      <c r="V2419" s="636">
        <v>2022</v>
      </c>
      <c r="W2419" s="640"/>
      <c r="X2419" s="641">
        <f t="shared" si="111"/>
        <v>3.4122728090696417</v>
      </c>
      <c r="Y2419" s="642" t="str">
        <f t="shared" si="112"/>
        <v/>
      </c>
      <c r="Z2419" s="642" t="str">
        <f t="shared" si="113"/>
        <v/>
      </c>
    </row>
    <row r="2420" spans="1:26" s="127" customFormat="1" ht="25">
      <c r="A2420" s="636">
        <v>65298</v>
      </c>
      <c r="B2420" s="637" t="s">
        <v>33</v>
      </c>
      <c r="C2420" s="636" t="s">
        <v>2725</v>
      </c>
      <c r="D2420" s="637" t="s">
        <v>3491</v>
      </c>
      <c r="E2420" s="637" t="s">
        <v>3491</v>
      </c>
      <c r="F2420" s="636">
        <v>64603</v>
      </c>
      <c r="G2420" s="637" t="s">
        <v>57</v>
      </c>
      <c r="H2420" s="637" t="s">
        <v>1162</v>
      </c>
      <c r="I2420" s="637" t="s">
        <v>58</v>
      </c>
      <c r="J2420" s="636">
        <v>22</v>
      </c>
      <c r="K2420" s="636">
        <v>2</v>
      </c>
      <c r="L2420" s="637" t="s">
        <v>52</v>
      </c>
      <c r="M2420" s="637" t="s">
        <v>441</v>
      </c>
      <c r="N2420" s="637" t="s">
        <v>442</v>
      </c>
      <c r="O2420" s="637" t="s">
        <v>442</v>
      </c>
      <c r="P2420" s="637" t="s">
        <v>1156</v>
      </c>
      <c r="Q2420" s="638">
        <v>0</v>
      </c>
      <c r="R2420" s="638">
        <v>0</v>
      </c>
      <c r="S2420" s="638">
        <v>27419</v>
      </c>
      <c r="T2420" s="638">
        <v>27419</v>
      </c>
      <c r="U2420" s="638">
        <v>8036</v>
      </c>
      <c r="V2420" s="636">
        <v>2022</v>
      </c>
      <c r="W2420" s="640"/>
      <c r="X2420" s="641">
        <f t="shared" si="111"/>
        <v>3.4120209059233448</v>
      </c>
      <c r="Y2420" s="642" t="str">
        <f t="shared" si="112"/>
        <v/>
      </c>
      <c r="Z2420" s="642" t="str">
        <f t="shared" si="113"/>
        <v/>
      </c>
    </row>
    <row r="2421" spans="1:26" s="127" customFormat="1" ht="25">
      <c r="A2421" s="636">
        <v>65299</v>
      </c>
      <c r="B2421" s="637" t="s">
        <v>33</v>
      </c>
      <c r="C2421" s="636" t="s">
        <v>2725</v>
      </c>
      <c r="D2421" s="637" t="s">
        <v>3492</v>
      </c>
      <c r="E2421" s="637" t="s">
        <v>3492</v>
      </c>
      <c r="F2421" s="636">
        <v>64604</v>
      </c>
      <c r="G2421" s="637" t="s">
        <v>57</v>
      </c>
      <c r="H2421" s="637" t="s">
        <v>1162</v>
      </c>
      <c r="I2421" s="637" t="s">
        <v>58</v>
      </c>
      <c r="J2421" s="636">
        <v>22</v>
      </c>
      <c r="K2421" s="636">
        <v>2</v>
      </c>
      <c r="L2421" s="637" t="s">
        <v>52</v>
      </c>
      <c r="M2421" s="637" t="s">
        <v>441</v>
      </c>
      <c r="N2421" s="637" t="s">
        <v>442</v>
      </c>
      <c r="O2421" s="637" t="s">
        <v>442</v>
      </c>
      <c r="P2421" s="637" t="s">
        <v>1156</v>
      </c>
      <c r="Q2421" s="638">
        <v>0</v>
      </c>
      <c r="R2421" s="638">
        <v>0</v>
      </c>
      <c r="S2421" s="638">
        <v>27118</v>
      </c>
      <c r="T2421" s="638">
        <v>27118</v>
      </c>
      <c r="U2421" s="638">
        <v>7948</v>
      </c>
      <c r="V2421" s="636">
        <v>2022</v>
      </c>
      <c r="W2421" s="640"/>
      <c r="X2421" s="641">
        <f t="shared" si="111"/>
        <v>3.4119275289380977</v>
      </c>
      <c r="Y2421" s="642" t="str">
        <f t="shared" si="112"/>
        <v/>
      </c>
      <c r="Z2421" s="642" t="str">
        <f t="shared" si="113"/>
        <v/>
      </c>
    </row>
    <row r="2422" spans="1:26" s="127" customFormat="1" ht="25">
      <c r="A2422" s="636">
        <v>65300</v>
      </c>
      <c r="B2422" s="637" t="s">
        <v>33</v>
      </c>
      <c r="C2422" s="636" t="s">
        <v>2725</v>
      </c>
      <c r="D2422" s="637" t="s">
        <v>3493</v>
      </c>
      <c r="E2422" s="637" t="s">
        <v>3493</v>
      </c>
      <c r="F2422" s="636">
        <v>64605</v>
      </c>
      <c r="G2422" s="637" t="s">
        <v>57</v>
      </c>
      <c r="H2422" s="637" t="s">
        <v>1162</v>
      </c>
      <c r="I2422" s="637" t="s">
        <v>58</v>
      </c>
      <c r="J2422" s="636">
        <v>22</v>
      </c>
      <c r="K2422" s="636">
        <v>2</v>
      </c>
      <c r="L2422" s="637" t="s">
        <v>52</v>
      </c>
      <c r="M2422" s="637" t="s">
        <v>441</v>
      </c>
      <c r="N2422" s="637" t="s">
        <v>442</v>
      </c>
      <c r="O2422" s="637" t="s">
        <v>442</v>
      </c>
      <c r="P2422" s="637" t="s">
        <v>1156</v>
      </c>
      <c r="Q2422" s="638">
        <v>0</v>
      </c>
      <c r="R2422" s="638">
        <v>0</v>
      </c>
      <c r="S2422" s="638">
        <v>22194</v>
      </c>
      <c r="T2422" s="638">
        <v>22194</v>
      </c>
      <c r="U2422" s="638">
        <v>6505</v>
      </c>
      <c r="V2422" s="636">
        <v>2022</v>
      </c>
      <c r="W2422" s="640"/>
      <c r="X2422" s="641">
        <f t="shared" si="111"/>
        <v>3.4118370484242888</v>
      </c>
      <c r="Y2422" s="642" t="str">
        <f t="shared" si="112"/>
        <v/>
      </c>
      <c r="Z2422" s="642" t="str">
        <f t="shared" si="113"/>
        <v/>
      </c>
    </row>
    <row r="2423" spans="1:26" s="127" customFormat="1" ht="25">
      <c r="A2423" s="636">
        <v>65352</v>
      </c>
      <c r="B2423" s="637" t="s">
        <v>33</v>
      </c>
      <c r="C2423" s="636" t="s">
        <v>2725</v>
      </c>
      <c r="D2423" s="637" t="s">
        <v>3494</v>
      </c>
      <c r="E2423" s="637" t="s">
        <v>1926</v>
      </c>
      <c r="F2423" s="636">
        <v>58135</v>
      </c>
      <c r="G2423" s="637" t="s">
        <v>89</v>
      </c>
      <c r="H2423" s="637" t="s">
        <v>1163</v>
      </c>
      <c r="I2423" s="637" t="s">
        <v>58</v>
      </c>
      <c r="J2423" s="636">
        <v>22</v>
      </c>
      <c r="K2423" s="636">
        <v>2</v>
      </c>
      <c r="L2423" s="637" t="s">
        <v>52</v>
      </c>
      <c r="M2423" s="637" t="s">
        <v>441</v>
      </c>
      <c r="N2423" s="637" t="s">
        <v>442</v>
      </c>
      <c r="O2423" s="637" t="s">
        <v>442</v>
      </c>
      <c r="P2423" s="637" t="s">
        <v>1156</v>
      </c>
      <c r="Q2423" s="638">
        <v>0</v>
      </c>
      <c r="R2423" s="638">
        <v>0</v>
      </c>
      <c r="S2423" s="638">
        <v>12160</v>
      </c>
      <c r="T2423" s="638">
        <v>12160</v>
      </c>
      <c r="U2423" s="638">
        <v>3564</v>
      </c>
      <c r="V2423" s="636">
        <v>2022</v>
      </c>
      <c r="W2423" s="640"/>
      <c r="X2423" s="641">
        <f t="shared" si="111"/>
        <v>3.4118967452300786</v>
      </c>
      <c r="Y2423" s="642" t="str">
        <f t="shared" si="112"/>
        <v/>
      </c>
      <c r="Z2423" s="642" t="str">
        <f t="shared" si="113"/>
        <v/>
      </c>
    </row>
    <row r="2424" spans="1:26" s="127" customFormat="1" ht="25">
      <c r="A2424" s="636">
        <v>65353</v>
      </c>
      <c r="B2424" s="637" t="s">
        <v>33</v>
      </c>
      <c r="C2424" s="636" t="s">
        <v>2725</v>
      </c>
      <c r="D2424" s="637" t="s">
        <v>3495</v>
      </c>
      <c r="E2424" s="637" t="s">
        <v>1926</v>
      </c>
      <c r="F2424" s="636">
        <v>58135</v>
      </c>
      <c r="G2424" s="637" t="s">
        <v>41</v>
      </c>
      <c r="H2424" s="637" t="s">
        <v>1163</v>
      </c>
      <c r="I2424" s="637" t="s">
        <v>58</v>
      </c>
      <c r="J2424" s="636">
        <v>22</v>
      </c>
      <c r="K2424" s="636">
        <v>2</v>
      </c>
      <c r="L2424" s="637" t="s">
        <v>52</v>
      </c>
      <c r="M2424" s="637" t="s">
        <v>441</v>
      </c>
      <c r="N2424" s="637" t="s">
        <v>442</v>
      </c>
      <c r="O2424" s="637" t="s">
        <v>442</v>
      </c>
      <c r="P2424" s="637" t="s">
        <v>1156</v>
      </c>
      <c r="Q2424" s="638">
        <v>0</v>
      </c>
      <c r="R2424" s="638">
        <v>0</v>
      </c>
      <c r="S2424" s="638">
        <v>5904</v>
      </c>
      <c r="T2424" s="638">
        <v>5904</v>
      </c>
      <c r="U2424" s="638">
        <v>1730</v>
      </c>
      <c r="V2424" s="636">
        <v>2022</v>
      </c>
      <c r="W2424" s="640"/>
      <c r="X2424" s="641">
        <f t="shared" si="111"/>
        <v>3.4127167630057804</v>
      </c>
      <c r="Y2424" s="642" t="str">
        <f t="shared" si="112"/>
        <v/>
      </c>
      <c r="Z2424" s="642" t="str">
        <f t="shared" si="113"/>
        <v/>
      </c>
    </row>
    <row r="2425" spans="1:26" s="127" customFormat="1" ht="25">
      <c r="A2425" s="636">
        <v>65362</v>
      </c>
      <c r="B2425" s="637" t="s">
        <v>33</v>
      </c>
      <c r="C2425" s="636" t="s">
        <v>2725</v>
      </c>
      <c r="D2425" s="637" t="s">
        <v>3703</v>
      </c>
      <c r="E2425" s="637" t="s">
        <v>3704</v>
      </c>
      <c r="F2425" s="636">
        <v>64625</v>
      </c>
      <c r="G2425" s="637" t="s">
        <v>81</v>
      </c>
      <c r="H2425" s="637" t="s">
        <v>1163</v>
      </c>
      <c r="I2425" s="637" t="s">
        <v>58</v>
      </c>
      <c r="J2425" s="636">
        <v>22</v>
      </c>
      <c r="K2425" s="636">
        <v>2</v>
      </c>
      <c r="L2425" s="637" t="s">
        <v>52</v>
      </c>
      <c r="M2425" s="637" t="s">
        <v>441</v>
      </c>
      <c r="N2425" s="637" t="s">
        <v>442</v>
      </c>
      <c r="O2425" s="637" t="s">
        <v>442</v>
      </c>
      <c r="P2425" s="637" t="s">
        <v>1156</v>
      </c>
      <c r="Q2425" s="638">
        <v>0</v>
      </c>
      <c r="R2425" s="638">
        <v>0</v>
      </c>
      <c r="S2425" s="638">
        <v>7461</v>
      </c>
      <c r="T2425" s="638">
        <v>7461</v>
      </c>
      <c r="U2425" s="638">
        <v>2187</v>
      </c>
      <c r="V2425" s="636">
        <v>2022</v>
      </c>
      <c r="W2425" s="640"/>
      <c r="X2425" s="641">
        <f t="shared" si="111"/>
        <v>3.4115226337448559</v>
      </c>
      <c r="Y2425" s="642" t="str">
        <f t="shared" si="112"/>
        <v/>
      </c>
      <c r="Z2425" s="642" t="str">
        <f t="shared" si="113"/>
        <v/>
      </c>
    </row>
    <row r="2426" spans="1:26" s="127" customFormat="1" ht="25">
      <c r="A2426" s="636">
        <v>65370</v>
      </c>
      <c r="B2426" s="637" t="s">
        <v>33</v>
      </c>
      <c r="C2426" s="636" t="s">
        <v>2725</v>
      </c>
      <c r="D2426" s="637" t="s">
        <v>3496</v>
      </c>
      <c r="E2426" s="637" t="s">
        <v>3496</v>
      </c>
      <c r="F2426" s="636">
        <v>64687</v>
      </c>
      <c r="G2426" s="637" t="s">
        <v>90</v>
      </c>
      <c r="H2426" s="637" t="s">
        <v>1163</v>
      </c>
      <c r="I2426" s="637" t="s">
        <v>58</v>
      </c>
      <c r="J2426" s="636">
        <v>22</v>
      </c>
      <c r="K2426" s="636">
        <v>2</v>
      </c>
      <c r="L2426" s="637" t="s">
        <v>52</v>
      </c>
      <c r="M2426" s="637" t="s">
        <v>441</v>
      </c>
      <c r="N2426" s="637" t="s">
        <v>442</v>
      </c>
      <c r="O2426" s="637" t="s">
        <v>442</v>
      </c>
      <c r="P2426" s="637" t="s">
        <v>1156</v>
      </c>
      <c r="Q2426" s="638">
        <v>0</v>
      </c>
      <c r="R2426" s="638">
        <v>0</v>
      </c>
      <c r="S2426" s="638">
        <v>18744</v>
      </c>
      <c r="T2426" s="638">
        <v>18744</v>
      </c>
      <c r="U2426" s="638">
        <v>5493</v>
      </c>
      <c r="V2426" s="636">
        <v>2022</v>
      </c>
      <c r="W2426" s="640"/>
      <c r="X2426" s="641">
        <f t="shared" si="111"/>
        <v>3.4123429819770617</v>
      </c>
      <c r="Y2426" s="642" t="str">
        <f t="shared" si="112"/>
        <v/>
      </c>
      <c r="Z2426" s="642" t="str">
        <f t="shared" si="113"/>
        <v/>
      </c>
    </row>
    <row r="2427" spans="1:26" s="127" customFormat="1" ht="25">
      <c r="A2427" s="636">
        <v>65378</v>
      </c>
      <c r="B2427" s="637" t="s">
        <v>33</v>
      </c>
      <c r="C2427" s="636" t="s">
        <v>2725</v>
      </c>
      <c r="D2427" s="637" t="s">
        <v>3705</v>
      </c>
      <c r="E2427" s="637" t="s">
        <v>3706</v>
      </c>
      <c r="F2427" s="636">
        <v>64700</v>
      </c>
      <c r="G2427" s="637" t="s">
        <v>57</v>
      </c>
      <c r="H2427" s="637" t="s">
        <v>1162</v>
      </c>
      <c r="I2427" s="637" t="s">
        <v>58</v>
      </c>
      <c r="J2427" s="636">
        <v>22</v>
      </c>
      <c r="K2427" s="636">
        <v>2</v>
      </c>
      <c r="L2427" s="637" t="s">
        <v>52</v>
      </c>
      <c r="M2427" s="637" t="s">
        <v>441</v>
      </c>
      <c r="N2427" s="637" t="s">
        <v>442</v>
      </c>
      <c r="O2427" s="637" t="s">
        <v>442</v>
      </c>
      <c r="P2427" s="637" t="s">
        <v>1156</v>
      </c>
      <c r="Q2427" s="638">
        <v>0</v>
      </c>
      <c r="R2427" s="638">
        <v>0</v>
      </c>
      <c r="S2427" s="638">
        <v>11125</v>
      </c>
      <c r="T2427" s="638">
        <v>11125</v>
      </c>
      <c r="U2427" s="638">
        <v>3261</v>
      </c>
      <c r="V2427" s="636">
        <v>2022</v>
      </c>
      <c r="W2427" s="640"/>
      <c r="X2427" s="641">
        <f t="shared" si="111"/>
        <v>3.4115302054584484</v>
      </c>
      <c r="Y2427" s="642" t="str">
        <f t="shared" si="112"/>
        <v/>
      </c>
      <c r="Z2427" s="642" t="str">
        <f t="shared" si="113"/>
        <v/>
      </c>
    </row>
    <row r="2428" spans="1:26" s="127" customFormat="1" ht="25">
      <c r="A2428" s="636">
        <v>65379</v>
      </c>
      <c r="B2428" s="637" t="s">
        <v>33</v>
      </c>
      <c r="C2428" s="636" t="s">
        <v>2725</v>
      </c>
      <c r="D2428" s="637" t="s">
        <v>3497</v>
      </c>
      <c r="E2428" s="637" t="s">
        <v>3498</v>
      </c>
      <c r="F2428" s="636">
        <v>64699</v>
      </c>
      <c r="G2428" s="637" t="s">
        <v>57</v>
      </c>
      <c r="H2428" s="637" t="s">
        <v>1162</v>
      </c>
      <c r="I2428" s="637" t="s">
        <v>58</v>
      </c>
      <c r="J2428" s="636">
        <v>22</v>
      </c>
      <c r="K2428" s="636">
        <v>2</v>
      </c>
      <c r="L2428" s="637" t="s">
        <v>52</v>
      </c>
      <c r="M2428" s="637" t="s">
        <v>441</v>
      </c>
      <c r="N2428" s="637" t="s">
        <v>442</v>
      </c>
      <c r="O2428" s="637" t="s">
        <v>442</v>
      </c>
      <c r="P2428" s="637" t="s">
        <v>1156</v>
      </c>
      <c r="Q2428" s="638">
        <v>0</v>
      </c>
      <c r="R2428" s="638">
        <v>0</v>
      </c>
      <c r="S2428" s="638">
        <v>26313</v>
      </c>
      <c r="T2428" s="638">
        <v>26313</v>
      </c>
      <c r="U2428" s="638">
        <v>7712</v>
      </c>
      <c r="V2428" s="636">
        <v>2022</v>
      </c>
      <c r="W2428" s="640"/>
      <c r="X2428" s="641">
        <f t="shared" si="111"/>
        <v>3.4119553941908713</v>
      </c>
      <c r="Y2428" s="642" t="str">
        <f t="shared" si="112"/>
        <v/>
      </c>
      <c r="Z2428" s="642" t="str">
        <f t="shared" si="113"/>
        <v/>
      </c>
    </row>
    <row r="2429" spans="1:26" s="127" customFormat="1" ht="25">
      <c r="A2429" s="636">
        <v>65385</v>
      </c>
      <c r="B2429" s="637" t="s">
        <v>33</v>
      </c>
      <c r="C2429" s="636" t="s">
        <v>2725</v>
      </c>
      <c r="D2429" s="637" t="s">
        <v>3707</v>
      </c>
      <c r="E2429" s="637" t="s">
        <v>3708</v>
      </c>
      <c r="F2429" s="636">
        <v>56990</v>
      </c>
      <c r="G2429" s="637" t="s">
        <v>57</v>
      </c>
      <c r="H2429" s="637" t="s">
        <v>1162</v>
      </c>
      <c r="I2429" s="637" t="s">
        <v>1135</v>
      </c>
      <c r="J2429" s="636">
        <v>22</v>
      </c>
      <c r="K2429" s="636">
        <v>2</v>
      </c>
      <c r="L2429" s="637" t="s">
        <v>52</v>
      </c>
      <c r="M2429" s="637" t="s">
        <v>441</v>
      </c>
      <c r="N2429" s="637" t="s">
        <v>442</v>
      </c>
      <c r="O2429" s="637" t="s">
        <v>442</v>
      </c>
      <c r="P2429" s="637" t="s">
        <v>1156</v>
      </c>
      <c r="Q2429" s="638">
        <v>0</v>
      </c>
      <c r="R2429" s="638">
        <v>0</v>
      </c>
      <c r="S2429" s="638">
        <v>3112</v>
      </c>
      <c r="T2429" s="638">
        <v>3112</v>
      </c>
      <c r="U2429" s="638">
        <v>912</v>
      </c>
      <c r="V2429" s="636">
        <v>2022</v>
      </c>
      <c r="W2429" s="640"/>
      <c r="X2429" s="641">
        <f t="shared" si="111"/>
        <v>3.4122807017543861</v>
      </c>
      <c r="Y2429" s="642" t="str">
        <f t="shared" si="112"/>
        <v/>
      </c>
      <c r="Z2429" s="642" t="str">
        <f t="shared" si="113"/>
        <v/>
      </c>
    </row>
    <row r="2430" spans="1:26" s="127" customFormat="1" ht="25">
      <c r="A2430" s="636">
        <v>65399</v>
      </c>
      <c r="B2430" s="637" t="s">
        <v>33</v>
      </c>
      <c r="C2430" s="636" t="s">
        <v>2725</v>
      </c>
      <c r="D2430" s="637" t="s">
        <v>3709</v>
      </c>
      <c r="E2430" s="637" t="s">
        <v>3710</v>
      </c>
      <c r="F2430" s="636">
        <v>64726</v>
      </c>
      <c r="G2430" s="637" t="s">
        <v>57</v>
      </c>
      <c r="H2430" s="637" t="s">
        <v>1162</v>
      </c>
      <c r="I2430" s="637" t="s">
        <v>58</v>
      </c>
      <c r="J2430" s="636">
        <v>22</v>
      </c>
      <c r="K2430" s="636">
        <v>2</v>
      </c>
      <c r="L2430" s="637" t="s">
        <v>52</v>
      </c>
      <c r="M2430" s="637" t="s">
        <v>35</v>
      </c>
      <c r="N2430" s="637" t="s">
        <v>36</v>
      </c>
      <c r="O2430" s="637" t="s">
        <v>37</v>
      </c>
      <c r="P2430" s="637" t="s">
        <v>1156</v>
      </c>
      <c r="Q2430" s="638">
        <v>0</v>
      </c>
      <c r="R2430" s="638">
        <v>0</v>
      </c>
      <c r="S2430" s="638">
        <v>3497</v>
      </c>
      <c r="T2430" s="638">
        <v>3497</v>
      </c>
      <c r="U2430" s="638">
        <v>1025</v>
      </c>
      <c r="V2430" s="636">
        <v>2022</v>
      </c>
      <c r="W2430" s="640"/>
      <c r="X2430" s="641">
        <f t="shared" si="111"/>
        <v>3.4117073170731707</v>
      </c>
      <c r="Y2430" s="642" t="str">
        <f t="shared" si="112"/>
        <v/>
      </c>
      <c r="Z2430" s="642" t="str">
        <f t="shared" si="113"/>
        <v/>
      </c>
    </row>
    <row r="2431" spans="1:26" s="127" customFormat="1" ht="25">
      <c r="A2431" s="636">
        <v>65434</v>
      </c>
      <c r="B2431" s="637" t="s">
        <v>33</v>
      </c>
      <c r="C2431" s="636" t="s">
        <v>2725</v>
      </c>
      <c r="D2431" s="637" t="s">
        <v>3711</v>
      </c>
      <c r="E2431" s="637" t="s">
        <v>3712</v>
      </c>
      <c r="F2431" s="636">
        <v>64765</v>
      </c>
      <c r="G2431" s="637" t="s">
        <v>57</v>
      </c>
      <c r="H2431" s="637" t="s">
        <v>1162</v>
      </c>
      <c r="I2431" s="637" t="s">
        <v>58</v>
      </c>
      <c r="J2431" s="636">
        <v>22</v>
      </c>
      <c r="K2431" s="636">
        <v>2</v>
      </c>
      <c r="L2431" s="637" t="s">
        <v>52</v>
      </c>
      <c r="M2431" s="637" t="s">
        <v>441</v>
      </c>
      <c r="N2431" s="637" t="s">
        <v>442</v>
      </c>
      <c r="O2431" s="637" t="s">
        <v>442</v>
      </c>
      <c r="P2431" s="637" t="s">
        <v>1156</v>
      </c>
      <c r="Q2431" s="638">
        <v>0</v>
      </c>
      <c r="R2431" s="638">
        <v>0</v>
      </c>
      <c r="S2431" s="638">
        <v>1208</v>
      </c>
      <c r="T2431" s="638">
        <v>1208</v>
      </c>
      <c r="U2431" s="638">
        <v>354</v>
      </c>
      <c r="V2431" s="636">
        <v>2022</v>
      </c>
      <c r="W2431" s="640"/>
      <c r="X2431" s="641">
        <f t="shared" si="111"/>
        <v>3.4124293785310735</v>
      </c>
      <c r="Y2431" s="642" t="str">
        <f t="shared" si="112"/>
        <v/>
      </c>
      <c r="Z2431" s="642" t="str">
        <f t="shared" si="113"/>
        <v/>
      </c>
    </row>
    <row r="2432" spans="1:26" s="127" customFormat="1" ht="25">
      <c r="A2432" s="636">
        <v>65435</v>
      </c>
      <c r="B2432" s="637" t="s">
        <v>33</v>
      </c>
      <c r="C2432" s="636" t="s">
        <v>2725</v>
      </c>
      <c r="D2432" s="637" t="s">
        <v>3713</v>
      </c>
      <c r="E2432" s="637" t="s">
        <v>3714</v>
      </c>
      <c r="F2432" s="636">
        <v>64766</v>
      </c>
      <c r="G2432" s="637" t="s">
        <v>57</v>
      </c>
      <c r="H2432" s="637" t="s">
        <v>1162</v>
      </c>
      <c r="I2432" s="637" t="s">
        <v>3715</v>
      </c>
      <c r="J2432" s="636">
        <v>22</v>
      </c>
      <c r="K2432" s="636">
        <v>2</v>
      </c>
      <c r="L2432" s="637" t="s">
        <v>52</v>
      </c>
      <c r="M2432" s="637" t="s">
        <v>441</v>
      </c>
      <c r="N2432" s="637" t="s">
        <v>442</v>
      </c>
      <c r="O2432" s="637" t="s">
        <v>442</v>
      </c>
      <c r="P2432" s="637" t="s">
        <v>1156</v>
      </c>
      <c r="Q2432" s="638">
        <v>0</v>
      </c>
      <c r="R2432" s="638">
        <v>0</v>
      </c>
      <c r="S2432" s="638">
        <v>901</v>
      </c>
      <c r="T2432" s="638">
        <v>901</v>
      </c>
      <c r="U2432" s="638">
        <v>264</v>
      </c>
      <c r="V2432" s="636">
        <v>2022</v>
      </c>
      <c r="W2432" s="640"/>
      <c r="X2432" s="641">
        <f t="shared" si="111"/>
        <v>3.4128787878787881</v>
      </c>
      <c r="Y2432" s="642" t="str">
        <f t="shared" si="112"/>
        <v/>
      </c>
      <c r="Z2432" s="642" t="str">
        <f t="shared" si="113"/>
        <v/>
      </c>
    </row>
    <row r="2433" spans="1:26" s="127" customFormat="1" ht="25">
      <c r="A2433" s="636">
        <v>65436</v>
      </c>
      <c r="B2433" s="637" t="s">
        <v>33</v>
      </c>
      <c r="C2433" s="636" t="s">
        <v>2725</v>
      </c>
      <c r="D2433" s="637" t="s">
        <v>3716</v>
      </c>
      <c r="E2433" s="637" t="s">
        <v>3717</v>
      </c>
      <c r="F2433" s="636">
        <v>64767</v>
      </c>
      <c r="G2433" s="637" t="s">
        <v>57</v>
      </c>
      <c r="H2433" s="637" t="s">
        <v>1162</v>
      </c>
      <c r="I2433" s="637" t="s">
        <v>3715</v>
      </c>
      <c r="J2433" s="636">
        <v>22</v>
      </c>
      <c r="K2433" s="636">
        <v>2</v>
      </c>
      <c r="L2433" s="637" t="s">
        <v>52</v>
      </c>
      <c r="M2433" s="637" t="s">
        <v>441</v>
      </c>
      <c r="N2433" s="637" t="s">
        <v>442</v>
      </c>
      <c r="O2433" s="637" t="s">
        <v>442</v>
      </c>
      <c r="P2433" s="637" t="s">
        <v>1156</v>
      </c>
      <c r="Q2433" s="638">
        <v>0</v>
      </c>
      <c r="R2433" s="638">
        <v>0</v>
      </c>
      <c r="S2433" s="638">
        <v>0</v>
      </c>
      <c r="T2433" s="638">
        <v>0</v>
      </c>
      <c r="U2433" s="638">
        <v>0</v>
      </c>
      <c r="V2433" s="636">
        <v>2022</v>
      </c>
      <c r="W2433" s="640"/>
      <c r="X2433" s="641" t="str">
        <f t="shared" si="111"/>
        <v/>
      </c>
      <c r="Y2433" s="642" t="str">
        <f t="shared" si="112"/>
        <v/>
      </c>
      <c r="Z2433" s="642" t="str">
        <f t="shared" si="113"/>
        <v/>
      </c>
    </row>
    <row r="2434" spans="1:26" s="127" customFormat="1" ht="25">
      <c r="A2434" s="636">
        <v>65450</v>
      </c>
      <c r="B2434" s="637" t="s">
        <v>33</v>
      </c>
      <c r="C2434" s="636" t="s">
        <v>2725</v>
      </c>
      <c r="D2434" s="637" t="s">
        <v>3718</v>
      </c>
      <c r="E2434" s="637" t="s">
        <v>3719</v>
      </c>
      <c r="F2434" s="636">
        <v>62856</v>
      </c>
      <c r="G2434" s="637" t="s">
        <v>57</v>
      </c>
      <c r="H2434" s="637" t="s">
        <v>1162</v>
      </c>
      <c r="I2434" s="637" t="s">
        <v>58</v>
      </c>
      <c r="J2434" s="636">
        <v>22</v>
      </c>
      <c r="K2434" s="636">
        <v>2</v>
      </c>
      <c r="L2434" s="637" t="s">
        <v>52</v>
      </c>
      <c r="M2434" s="637" t="s">
        <v>441</v>
      </c>
      <c r="N2434" s="637" t="s">
        <v>442</v>
      </c>
      <c r="O2434" s="637" t="s">
        <v>442</v>
      </c>
      <c r="P2434" s="637" t="s">
        <v>1156</v>
      </c>
      <c r="Q2434" s="638">
        <v>0</v>
      </c>
      <c r="R2434" s="638">
        <v>0</v>
      </c>
      <c r="S2434" s="638">
        <v>2497</v>
      </c>
      <c r="T2434" s="638">
        <v>2497</v>
      </c>
      <c r="U2434" s="638">
        <v>732</v>
      </c>
      <c r="V2434" s="636">
        <v>2022</v>
      </c>
      <c r="W2434" s="640"/>
      <c r="X2434" s="641">
        <f t="shared" si="111"/>
        <v>3.4112021857923498</v>
      </c>
      <c r="Y2434" s="642" t="str">
        <f t="shared" si="112"/>
        <v/>
      </c>
      <c r="Z2434" s="642" t="str">
        <f t="shared" si="113"/>
        <v/>
      </c>
    </row>
    <row r="2435" spans="1:26" s="127" customFormat="1" ht="25">
      <c r="A2435" s="636">
        <v>65459</v>
      </c>
      <c r="B2435" s="637" t="s">
        <v>33</v>
      </c>
      <c r="C2435" s="636" t="s">
        <v>2725</v>
      </c>
      <c r="D2435" s="637" t="s">
        <v>3720</v>
      </c>
      <c r="E2435" s="637" t="s">
        <v>3721</v>
      </c>
      <c r="F2435" s="636">
        <v>64768</v>
      </c>
      <c r="G2435" s="637" t="s">
        <v>57</v>
      </c>
      <c r="H2435" s="637" t="s">
        <v>1162</v>
      </c>
      <c r="I2435" s="637" t="s">
        <v>58</v>
      </c>
      <c r="J2435" s="636">
        <v>22</v>
      </c>
      <c r="K2435" s="636">
        <v>2</v>
      </c>
      <c r="L2435" s="637" t="s">
        <v>52</v>
      </c>
      <c r="M2435" s="637" t="s">
        <v>441</v>
      </c>
      <c r="N2435" s="637" t="s">
        <v>442</v>
      </c>
      <c r="O2435" s="637" t="s">
        <v>442</v>
      </c>
      <c r="P2435" s="637" t="s">
        <v>1156</v>
      </c>
      <c r="Q2435" s="638">
        <v>0</v>
      </c>
      <c r="R2435" s="638">
        <v>0</v>
      </c>
      <c r="S2435" s="638">
        <v>0</v>
      </c>
      <c r="T2435" s="638">
        <v>0</v>
      </c>
      <c r="U2435" s="638">
        <v>0</v>
      </c>
      <c r="V2435" s="636">
        <v>2022</v>
      </c>
      <c r="W2435" s="640"/>
      <c r="X2435" s="641" t="str">
        <f t="shared" si="111"/>
        <v/>
      </c>
      <c r="Y2435" s="642" t="str">
        <f t="shared" si="112"/>
        <v/>
      </c>
      <c r="Z2435" s="642" t="str">
        <f t="shared" si="113"/>
        <v/>
      </c>
    </row>
    <row r="2436" spans="1:26" s="127" customFormat="1" ht="25">
      <c r="A2436" s="636">
        <v>65460</v>
      </c>
      <c r="B2436" s="637" t="s">
        <v>33</v>
      </c>
      <c r="C2436" s="636" t="s">
        <v>2725</v>
      </c>
      <c r="D2436" s="637" t="s">
        <v>3499</v>
      </c>
      <c r="E2436" s="637" t="s">
        <v>3385</v>
      </c>
      <c r="F2436" s="636">
        <v>62915</v>
      </c>
      <c r="G2436" s="637" t="s">
        <v>90</v>
      </c>
      <c r="H2436" s="637" t="s">
        <v>1163</v>
      </c>
      <c r="I2436" s="637" t="s">
        <v>58</v>
      </c>
      <c r="J2436" s="636">
        <v>22</v>
      </c>
      <c r="K2436" s="636">
        <v>2</v>
      </c>
      <c r="L2436" s="637" t="s">
        <v>52</v>
      </c>
      <c r="M2436" s="637" t="s">
        <v>441</v>
      </c>
      <c r="N2436" s="637" t="s">
        <v>442</v>
      </c>
      <c r="O2436" s="637" t="s">
        <v>442</v>
      </c>
      <c r="P2436" s="637" t="s">
        <v>1156</v>
      </c>
      <c r="Q2436" s="638">
        <v>0</v>
      </c>
      <c r="R2436" s="638">
        <v>0</v>
      </c>
      <c r="S2436" s="638">
        <v>22786</v>
      </c>
      <c r="T2436" s="638">
        <v>22786</v>
      </c>
      <c r="U2436" s="638">
        <v>6678</v>
      </c>
      <c r="V2436" s="636">
        <v>2022</v>
      </c>
      <c r="W2436" s="640"/>
      <c r="X2436" s="641">
        <f t="shared" si="111"/>
        <v>3.4120994309673556</v>
      </c>
      <c r="Y2436" s="642" t="str">
        <f t="shared" si="112"/>
        <v/>
      </c>
      <c r="Z2436" s="642" t="str">
        <f t="shared" si="113"/>
        <v/>
      </c>
    </row>
    <row r="2437" spans="1:26" s="127" customFormat="1" ht="25">
      <c r="A2437" s="636">
        <v>65461</v>
      </c>
      <c r="B2437" s="637" t="s">
        <v>33</v>
      </c>
      <c r="C2437" s="636" t="s">
        <v>2725</v>
      </c>
      <c r="D2437" s="637" t="s">
        <v>3500</v>
      </c>
      <c r="E2437" s="637" t="s">
        <v>3385</v>
      </c>
      <c r="F2437" s="636">
        <v>62915</v>
      </c>
      <c r="G2437" s="637" t="s">
        <v>90</v>
      </c>
      <c r="H2437" s="637" t="s">
        <v>1163</v>
      </c>
      <c r="I2437" s="637" t="s">
        <v>58</v>
      </c>
      <c r="J2437" s="636">
        <v>22</v>
      </c>
      <c r="K2437" s="636">
        <v>2</v>
      </c>
      <c r="L2437" s="637" t="s">
        <v>52</v>
      </c>
      <c r="M2437" s="637" t="s">
        <v>441</v>
      </c>
      <c r="N2437" s="637" t="s">
        <v>442</v>
      </c>
      <c r="O2437" s="637" t="s">
        <v>442</v>
      </c>
      <c r="P2437" s="637" t="s">
        <v>1156</v>
      </c>
      <c r="Q2437" s="638">
        <v>0</v>
      </c>
      <c r="R2437" s="638">
        <v>0</v>
      </c>
      <c r="S2437" s="638">
        <v>13628</v>
      </c>
      <c r="T2437" s="638">
        <v>13628</v>
      </c>
      <c r="U2437" s="638">
        <v>3994</v>
      </c>
      <c r="V2437" s="636">
        <v>2022</v>
      </c>
      <c r="W2437" s="640"/>
      <c r="X2437" s="641">
        <f t="shared" si="111"/>
        <v>3.4121181772658988</v>
      </c>
      <c r="Y2437" s="642" t="str">
        <f t="shared" si="112"/>
        <v/>
      </c>
      <c r="Z2437" s="642" t="str">
        <f t="shared" si="113"/>
        <v/>
      </c>
    </row>
    <row r="2438" spans="1:26" s="127" customFormat="1" ht="25">
      <c r="A2438" s="636">
        <v>65473</v>
      </c>
      <c r="B2438" s="637" t="s">
        <v>33</v>
      </c>
      <c r="C2438" s="636" t="s">
        <v>2725</v>
      </c>
      <c r="D2438" s="637" t="s">
        <v>3501</v>
      </c>
      <c r="E2438" s="637" t="s">
        <v>3501</v>
      </c>
      <c r="F2438" s="636">
        <v>64790</v>
      </c>
      <c r="G2438" s="637" t="s">
        <v>130</v>
      </c>
      <c r="H2438" s="637" t="s">
        <v>1163</v>
      </c>
      <c r="I2438" s="637" t="s">
        <v>58</v>
      </c>
      <c r="J2438" s="636">
        <v>22</v>
      </c>
      <c r="K2438" s="636">
        <v>2</v>
      </c>
      <c r="L2438" s="637" t="s">
        <v>52</v>
      </c>
      <c r="M2438" s="637" t="s">
        <v>441</v>
      </c>
      <c r="N2438" s="637" t="s">
        <v>442</v>
      </c>
      <c r="O2438" s="637" t="s">
        <v>442</v>
      </c>
      <c r="P2438" s="637" t="s">
        <v>1156</v>
      </c>
      <c r="Q2438" s="638">
        <v>0</v>
      </c>
      <c r="R2438" s="638">
        <v>0</v>
      </c>
      <c r="S2438" s="638">
        <v>17040</v>
      </c>
      <c r="T2438" s="638">
        <v>17040</v>
      </c>
      <c r="U2438" s="638">
        <v>4994</v>
      </c>
      <c r="V2438" s="636">
        <v>2022</v>
      </c>
      <c r="W2438" s="640"/>
      <c r="X2438" s="641">
        <f t="shared" si="111"/>
        <v>3.4120945134160992</v>
      </c>
      <c r="Y2438" s="642" t="str">
        <f t="shared" si="112"/>
        <v/>
      </c>
      <c r="Z2438" s="642" t="str">
        <f t="shared" si="113"/>
        <v/>
      </c>
    </row>
    <row r="2439" spans="1:26" s="127" customFormat="1" ht="25">
      <c r="A2439" s="636">
        <v>65474</v>
      </c>
      <c r="B2439" s="637" t="s">
        <v>33</v>
      </c>
      <c r="C2439" s="636" t="s">
        <v>2725</v>
      </c>
      <c r="D2439" s="637" t="s">
        <v>3502</v>
      </c>
      <c r="E2439" s="637" t="s">
        <v>3502</v>
      </c>
      <c r="F2439" s="636">
        <v>64791</v>
      </c>
      <c r="G2439" s="637" t="s">
        <v>130</v>
      </c>
      <c r="H2439" s="637" t="s">
        <v>1163</v>
      </c>
      <c r="I2439" s="637" t="s">
        <v>58</v>
      </c>
      <c r="J2439" s="636">
        <v>22</v>
      </c>
      <c r="K2439" s="636">
        <v>2</v>
      </c>
      <c r="L2439" s="637" t="s">
        <v>52</v>
      </c>
      <c r="M2439" s="637" t="s">
        <v>441</v>
      </c>
      <c r="N2439" s="637" t="s">
        <v>442</v>
      </c>
      <c r="O2439" s="637" t="s">
        <v>442</v>
      </c>
      <c r="P2439" s="637" t="s">
        <v>1156</v>
      </c>
      <c r="Q2439" s="638">
        <v>0</v>
      </c>
      <c r="R2439" s="638">
        <v>0</v>
      </c>
      <c r="S2439" s="638">
        <v>42756</v>
      </c>
      <c r="T2439" s="638">
        <v>42756</v>
      </c>
      <c r="U2439" s="638">
        <v>12531</v>
      </c>
      <c r="V2439" s="636">
        <v>2022</v>
      </c>
      <c r="W2439" s="640"/>
      <c r="X2439" s="641">
        <f t="shared" si="111"/>
        <v>3.4120181948767057</v>
      </c>
      <c r="Y2439" s="642" t="str">
        <f t="shared" si="112"/>
        <v/>
      </c>
      <c r="Z2439" s="642" t="str">
        <f t="shared" si="113"/>
        <v/>
      </c>
    </row>
    <row r="2440" spans="1:26" s="127" customFormat="1" ht="25">
      <c r="A2440" s="636">
        <v>65475</v>
      </c>
      <c r="B2440" s="637" t="s">
        <v>33</v>
      </c>
      <c r="C2440" s="636" t="s">
        <v>2725</v>
      </c>
      <c r="D2440" s="637" t="s">
        <v>3503</v>
      </c>
      <c r="E2440" s="637" t="s">
        <v>3503</v>
      </c>
      <c r="F2440" s="636">
        <v>64792</v>
      </c>
      <c r="G2440" s="637" t="s">
        <v>130</v>
      </c>
      <c r="H2440" s="637" t="s">
        <v>1163</v>
      </c>
      <c r="I2440" s="637" t="s">
        <v>58</v>
      </c>
      <c r="J2440" s="636">
        <v>22</v>
      </c>
      <c r="K2440" s="636">
        <v>2</v>
      </c>
      <c r="L2440" s="637" t="s">
        <v>52</v>
      </c>
      <c r="M2440" s="637" t="s">
        <v>441</v>
      </c>
      <c r="N2440" s="637" t="s">
        <v>442</v>
      </c>
      <c r="O2440" s="637" t="s">
        <v>442</v>
      </c>
      <c r="P2440" s="637" t="s">
        <v>1156</v>
      </c>
      <c r="Q2440" s="638">
        <v>0</v>
      </c>
      <c r="R2440" s="638">
        <v>0</v>
      </c>
      <c r="S2440" s="638">
        <v>30042</v>
      </c>
      <c r="T2440" s="638">
        <v>30042</v>
      </c>
      <c r="U2440" s="638">
        <v>8805</v>
      </c>
      <c r="V2440" s="636">
        <v>2022</v>
      </c>
      <c r="W2440" s="640"/>
      <c r="X2440" s="641">
        <f t="shared" ref="X2440:X2503" si="114">IF(OR(K2440&gt;3,T2440=0,NOT(U2440&gt;0)),"",T2440/U2440)</f>
        <v>3.4119250425894379</v>
      </c>
      <c r="Y2440" s="642" t="str">
        <f t="shared" ref="Y2440:Y2503" si="115">IF(AND($M2440=$Y$2,$N2440=$Y$3,NOT($Q2440=$R2440),NOT($U2440=0)),IF($K2440=5,$S2440/($U2440+(8/5)*$U2440),IF($K2440=7,$S2440/($U2440+(29/25)*$U2440),"")),"")</f>
        <v/>
      </c>
      <c r="Z2440" s="642" t="str">
        <f t="shared" si="113"/>
        <v/>
      </c>
    </row>
    <row r="2441" spans="1:26" s="127" customFormat="1" ht="25">
      <c r="A2441" s="636">
        <v>65476</v>
      </c>
      <c r="B2441" s="637" t="s">
        <v>33</v>
      </c>
      <c r="C2441" s="636" t="s">
        <v>2725</v>
      </c>
      <c r="D2441" s="637" t="s">
        <v>3504</v>
      </c>
      <c r="E2441" s="637" t="s">
        <v>3504</v>
      </c>
      <c r="F2441" s="636">
        <v>64793</v>
      </c>
      <c r="G2441" s="637" t="s">
        <v>130</v>
      </c>
      <c r="H2441" s="637" t="s">
        <v>1163</v>
      </c>
      <c r="I2441" s="637" t="s">
        <v>58</v>
      </c>
      <c r="J2441" s="636">
        <v>22</v>
      </c>
      <c r="K2441" s="636">
        <v>2</v>
      </c>
      <c r="L2441" s="637" t="s">
        <v>52</v>
      </c>
      <c r="M2441" s="637" t="s">
        <v>441</v>
      </c>
      <c r="N2441" s="637" t="s">
        <v>442</v>
      </c>
      <c r="O2441" s="637" t="s">
        <v>442</v>
      </c>
      <c r="P2441" s="637" t="s">
        <v>1156</v>
      </c>
      <c r="Q2441" s="638">
        <v>0</v>
      </c>
      <c r="R2441" s="638">
        <v>0</v>
      </c>
      <c r="S2441" s="638">
        <v>34352</v>
      </c>
      <c r="T2441" s="638">
        <v>34352</v>
      </c>
      <c r="U2441" s="638">
        <v>10068</v>
      </c>
      <c r="V2441" s="636">
        <v>2022</v>
      </c>
      <c r="W2441" s="640"/>
      <c r="X2441" s="641">
        <f t="shared" si="114"/>
        <v>3.4119984108065156</v>
      </c>
      <c r="Y2441" s="642" t="str">
        <f t="shared" si="115"/>
        <v/>
      </c>
      <c r="Z2441" s="642" t="str">
        <f t="shared" si="113"/>
        <v/>
      </c>
    </row>
    <row r="2442" spans="1:26" s="127" customFormat="1" ht="25">
      <c r="A2442" s="636">
        <v>65477</v>
      </c>
      <c r="B2442" s="637" t="s">
        <v>33</v>
      </c>
      <c r="C2442" s="636" t="s">
        <v>2725</v>
      </c>
      <c r="D2442" s="637" t="s">
        <v>3505</v>
      </c>
      <c r="E2442" s="637" t="s">
        <v>3505</v>
      </c>
      <c r="F2442" s="636">
        <v>64794</v>
      </c>
      <c r="G2442" s="637" t="s">
        <v>130</v>
      </c>
      <c r="H2442" s="637" t="s">
        <v>1163</v>
      </c>
      <c r="I2442" s="637" t="s">
        <v>58</v>
      </c>
      <c r="J2442" s="636">
        <v>22</v>
      </c>
      <c r="K2442" s="636">
        <v>2</v>
      </c>
      <c r="L2442" s="637" t="s">
        <v>52</v>
      </c>
      <c r="M2442" s="637" t="s">
        <v>441</v>
      </c>
      <c r="N2442" s="637" t="s">
        <v>442</v>
      </c>
      <c r="O2442" s="637" t="s">
        <v>442</v>
      </c>
      <c r="P2442" s="637" t="s">
        <v>1156</v>
      </c>
      <c r="Q2442" s="638">
        <v>0</v>
      </c>
      <c r="R2442" s="638">
        <v>0</v>
      </c>
      <c r="S2442" s="638">
        <v>40949</v>
      </c>
      <c r="T2442" s="638">
        <v>40949</v>
      </c>
      <c r="U2442" s="638">
        <v>12001</v>
      </c>
      <c r="V2442" s="636">
        <v>2022</v>
      </c>
      <c r="W2442" s="640"/>
      <c r="X2442" s="641">
        <f t="shared" si="114"/>
        <v>3.4121323223064746</v>
      </c>
      <c r="Y2442" s="642" t="str">
        <f t="shared" si="115"/>
        <v/>
      </c>
      <c r="Z2442" s="642" t="str">
        <f t="shared" si="113"/>
        <v/>
      </c>
    </row>
    <row r="2443" spans="1:26" s="127" customFormat="1" ht="25">
      <c r="A2443" s="636">
        <v>65478</v>
      </c>
      <c r="B2443" s="637" t="s">
        <v>33</v>
      </c>
      <c r="C2443" s="636" t="s">
        <v>2725</v>
      </c>
      <c r="D2443" s="637" t="s">
        <v>3506</v>
      </c>
      <c r="E2443" s="637" t="s">
        <v>3507</v>
      </c>
      <c r="F2443" s="636">
        <v>64795</v>
      </c>
      <c r="G2443" s="637" t="s">
        <v>130</v>
      </c>
      <c r="H2443" s="637" t="s">
        <v>1163</v>
      </c>
      <c r="I2443" s="637" t="s">
        <v>58</v>
      </c>
      <c r="J2443" s="636">
        <v>22</v>
      </c>
      <c r="K2443" s="636">
        <v>2</v>
      </c>
      <c r="L2443" s="637" t="s">
        <v>52</v>
      </c>
      <c r="M2443" s="637" t="s">
        <v>71</v>
      </c>
      <c r="N2443" s="637" t="s">
        <v>72</v>
      </c>
      <c r="O2443" s="637" t="s">
        <v>72</v>
      </c>
      <c r="P2443" s="637" t="s">
        <v>1156</v>
      </c>
      <c r="Q2443" s="638">
        <v>0</v>
      </c>
      <c r="R2443" s="638">
        <v>0</v>
      </c>
      <c r="S2443" s="638">
        <v>5867</v>
      </c>
      <c r="T2443" s="638">
        <v>5867</v>
      </c>
      <c r="U2443" s="638">
        <v>1720</v>
      </c>
      <c r="V2443" s="636">
        <v>2022</v>
      </c>
      <c r="W2443" s="640"/>
      <c r="X2443" s="641">
        <f t="shared" si="114"/>
        <v>3.411046511627907</v>
      </c>
      <c r="Y2443" s="642" t="str">
        <f t="shared" si="115"/>
        <v/>
      </c>
      <c r="Z2443" s="642" t="str">
        <f t="shared" si="113"/>
        <v/>
      </c>
    </row>
    <row r="2444" spans="1:26" s="127" customFormat="1" ht="25">
      <c r="A2444" s="636">
        <v>65479</v>
      </c>
      <c r="B2444" s="637" t="s">
        <v>33</v>
      </c>
      <c r="C2444" s="636" t="s">
        <v>2725</v>
      </c>
      <c r="D2444" s="637" t="s">
        <v>3508</v>
      </c>
      <c r="E2444" s="637" t="s">
        <v>3508</v>
      </c>
      <c r="F2444" s="636">
        <v>64796</v>
      </c>
      <c r="G2444" s="637" t="s">
        <v>130</v>
      </c>
      <c r="H2444" s="637" t="s">
        <v>1163</v>
      </c>
      <c r="I2444" s="637" t="s">
        <v>58</v>
      </c>
      <c r="J2444" s="636">
        <v>22</v>
      </c>
      <c r="K2444" s="636">
        <v>2</v>
      </c>
      <c r="L2444" s="637" t="s">
        <v>52</v>
      </c>
      <c r="M2444" s="637" t="s">
        <v>71</v>
      </c>
      <c r="N2444" s="637" t="s">
        <v>72</v>
      </c>
      <c r="O2444" s="637" t="s">
        <v>72</v>
      </c>
      <c r="P2444" s="637" t="s">
        <v>1156</v>
      </c>
      <c r="Q2444" s="638">
        <v>0</v>
      </c>
      <c r="R2444" s="638">
        <v>0</v>
      </c>
      <c r="S2444" s="638">
        <v>8453</v>
      </c>
      <c r="T2444" s="638">
        <v>8453</v>
      </c>
      <c r="U2444" s="638">
        <v>2477</v>
      </c>
      <c r="V2444" s="636">
        <v>2022</v>
      </c>
      <c r="W2444" s="640"/>
      <c r="X2444" s="641">
        <f t="shared" si="114"/>
        <v>3.4125958821154621</v>
      </c>
      <c r="Y2444" s="642" t="str">
        <f t="shared" si="115"/>
        <v/>
      </c>
      <c r="Z2444" s="642" t="str">
        <f t="shared" si="113"/>
        <v/>
      </c>
    </row>
    <row r="2445" spans="1:26" s="127" customFormat="1" ht="25">
      <c r="A2445" s="636">
        <v>65487</v>
      </c>
      <c r="B2445" s="637" t="s">
        <v>33</v>
      </c>
      <c r="C2445" s="636" t="s">
        <v>2725</v>
      </c>
      <c r="D2445" s="637" t="s">
        <v>3722</v>
      </c>
      <c r="E2445" s="637" t="s">
        <v>2862</v>
      </c>
      <c r="F2445" s="636">
        <v>62719</v>
      </c>
      <c r="G2445" s="637" t="s">
        <v>57</v>
      </c>
      <c r="H2445" s="637" t="s">
        <v>1162</v>
      </c>
      <c r="I2445" s="637" t="s">
        <v>58</v>
      </c>
      <c r="J2445" s="636">
        <v>22</v>
      </c>
      <c r="K2445" s="636">
        <v>2</v>
      </c>
      <c r="L2445" s="637" t="s">
        <v>52</v>
      </c>
      <c r="M2445" s="637" t="s">
        <v>441</v>
      </c>
      <c r="N2445" s="637" t="s">
        <v>442</v>
      </c>
      <c r="O2445" s="637" t="s">
        <v>442</v>
      </c>
      <c r="P2445" s="637" t="s">
        <v>1156</v>
      </c>
      <c r="Q2445" s="638">
        <v>0</v>
      </c>
      <c r="R2445" s="638">
        <v>0</v>
      </c>
      <c r="S2445" s="638">
        <v>14044</v>
      </c>
      <c r="T2445" s="638">
        <v>14044</v>
      </c>
      <c r="U2445" s="638">
        <v>4116</v>
      </c>
      <c r="V2445" s="636">
        <v>2022</v>
      </c>
      <c r="W2445" s="640"/>
      <c r="X2445" s="641">
        <f t="shared" si="114"/>
        <v>3.4120505344995142</v>
      </c>
      <c r="Y2445" s="642" t="str">
        <f t="shared" si="115"/>
        <v/>
      </c>
      <c r="Z2445" s="642" t="str">
        <f t="shared" si="113"/>
        <v/>
      </c>
    </row>
    <row r="2446" spans="1:26" s="127" customFormat="1" ht="25">
      <c r="A2446" s="636">
        <v>65532</v>
      </c>
      <c r="B2446" s="637" t="s">
        <v>33</v>
      </c>
      <c r="C2446" s="636" t="s">
        <v>2725</v>
      </c>
      <c r="D2446" s="637" t="s">
        <v>3723</v>
      </c>
      <c r="E2446" s="637" t="s">
        <v>3724</v>
      </c>
      <c r="F2446" s="636">
        <v>64848</v>
      </c>
      <c r="G2446" s="637" t="s">
        <v>90</v>
      </c>
      <c r="H2446" s="637" t="s">
        <v>1163</v>
      </c>
      <c r="I2446" s="637" t="s">
        <v>58</v>
      </c>
      <c r="J2446" s="636">
        <v>22</v>
      </c>
      <c r="K2446" s="636">
        <v>2</v>
      </c>
      <c r="L2446" s="637" t="s">
        <v>52</v>
      </c>
      <c r="M2446" s="637" t="s">
        <v>441</v>
      </c>
      <c r="N2446" s="637" t="s">
        <v>442</v>
      </c>
      <c r="O2446" s="637" t="s">
        <v>442</v>
      </c>
      <c r="P2446" s="637" t="s">
        <v>1156</v>
      </c>
      <c r="Q2446" s="638">
        <v>0</v>
      </c>
      <c r="R2446" s="638">
        <v>0</v>
      </c>
      <c r="S2446" s="638">
        <v>28547</v>
      </c>
      <c r="T2446" s="638">
        <v>28547</v>
      </c>
      <c r="U2446" s="638">
        <v>8367</v>
      </c>
      <c r="V2446" s="636">
        <v>2022</v>
      </c>
      <c r="W2446" s="640"/>
      <c r="X2446" s="641">
        <f t="shared" si="114"/>
        <v>3.4118561013505437</v>
      </c>
      <c r="Y2446" s="642" t="str">
        <f t="shared" si="115"/>
        <v/>
      </c>
      <c r="Z2446" s="642" t="str">
        <f t="shared" si="113"/>
        <v/>
      </c>
    </row>
    <row r="2447" spans="1:26" s="127" customFormat="1" ht="25">
      <c r="A2447" s="636">
        <v>65533</v>
      </c>
      <c r="B2447" s="637" t="s">
        <v>33</v>
      </c>
      <c r="C2447" s="636" t="s">
        <v>2725</v>
      </c>
      <c r="D2447" s="637" t="s">
        <v>3725</v>
      </c>
      <c r="E2447" s="637" t="s">
        <v>3726</v>
      </c>
      <c r="F2447" s="636">
        <v>64849</v>
      </c>
      <c r="G2447" s="637" t="s">
        <v>90</v>
      </c>
      <c r="H2447" s="637" t="s">
        <v>1163</v>
      </c>
      <c r="I2447" s="637" t="s">
        <v>58</v>
      </c>
      <c r="J2447" s="636">
        <v>22</v>
      </c>
      <c r="K2447" s="636">
        <v>2</v>
      </c>
      <c r="L2447" s="637" t="s">
        <v>52</v>
      </c>
      <c r="M2447" s="637" t="s">
        <v>441</v>
      </c>
      <c r="N2447" s="637" t="s">
        <v>442</v>
      </c>
      <c r="O2447" s="637" t="s">
        <v>442</v>
      </c>
      <c r="P2447" s="637" t="s">
        <v>1156</v>
      </c>
      <c r="Q2447" s="638">
        <v>0</v>
      </c>
      <c r="R2447" s="638">
        <v>0</v>
      </c>
      <c r="S2447" s="638">
        <v>14307</v>
      </c>
      <c r="T2447" s="638">
        <v>14307</v>
      </c>
      <c r="U2447" s="638">
        <v>4193</v>
      </c>
      <c r="V2447" s="636">
        <v>2022</v>
      </c>
      <c r="W2447" s="640"/>
      <c r="X2447" s="641">
        <f t="shared" si="114"/>
        <v>3.4121154304793704</v>
      </c>
      <c r="Y2447" s="642" t="str">
        <f t="shared" si="115"/>
        <v/>
      </c>
      <c r="Z2447" s="642" t="str">
        <f t="shared" si="113"/>
        <v/>
      </c>
    </row>
    <row r="2448" spans="1:26" s="127" customFormat="1" ht="25">
      <c r="A2448" s="636">
        <v>65534</v>
      </c>
      <c r="B2448" s="637" t="s">
        <v>33</v>
      </c>
      <c r="C2448" s="636" t="s">
        <v>2725</v>
      </c>
      <c r="D2448" s="637" t="s">
        <v>3727</v>
      </c>
      <c r="E2448" s="637" t="s">
        <v>3728</v>
      </c>
      <c r="F2448" s="636">
        <v>64850</v>
      </c>
      <c r="G2448" s="637" t="s">
        <v>90</v>
      </c>
      <c r="H2448" s="637" t="s">
        <v>1163</v>
      </c>
      <c r="I2448" s="637" t="s">
        <v>58</v>
      </c>
      <c r="J2448" s="636">
        <v>22</v>
      </c>
      <c r="K2448" s="636">
        <v>2</v>
      </c>
      <c r="L2448" s="637" t="s">
        <v>52</v>
      </c>
      <c r="M2448" s="637" t="s">
        <v>441</v>
      </c>
      <c r="N2448" s="637" t="s">
        <v>442</v>
      </c>
      <c r="O2448" s="637" t="s">
        <v>442</v>
      </c>
      <c r="P2448" s="637" t="s">
        <v>1156</v>
      </c>
      <c r="Q2448" s="638">
        <v>0</v>
      </c>
      <c r="R2448" s="638">
        <v>0</v>
      </c>
      <c r="S2448" s="638">
        <v>27652</v>
      </c>
      <c r="T2448" s="638">
        <v>27652</v>
      </c>
      <c r="U2448" s="638">
        <v>8104</v>
      </c>
      <c r="V2448" s="636">
        <v>2022</v>
      </c>
      <c r="W2448" s="640"/>
      <c r="X2448" s="641">
        <f t="shared" si="114"/>
        <v>3.4121421520236921</v>
      </c>
      <c r="Y2448" s="642" t="str">
        <f t="shared" si="115"/>
        <v/>
      </c>
      <c r="Z2448" s="642" t="str">
        <f t="shared" ref="Z2448:Z2511" si="116">IF(AND($M2448=$Y$2,$N2448=$Y$4,NOT($Q2448=$R2448),NOT($U2448=0)),IF($K2448=5,$S2448/($U2448+(8/5)*$U2448),IF($K2448=7,$S2448/($U2448+(29/25)*$U2448),"")),"")</f>
        <v/>
      </c>
    </row>
    <row r="2449" spans="1:26" s="127" customFormat="1" ht="25">
      <c r="A2449" s="636">
        <v>65559</v>
      </c>
      <c r="B2449" s="637" t="s">
        <v>33</v>
      </c>
      <c r="C2449" s="636" t="s">
        <v>2725</v>
      </c>
      <c r="D2449" s="637" t="s">
        <v>3729</v>
      </c>
      <c r="E2449" s="637" t="s">
        <v>3730</v>
      </c>
      <c r="F2449" s="636">
        <v>64778</v>
      </c>
      <c r="G2449" s="637" t="s">
        <v>81</v>
      </c>
      <c r="H2449" s="637" t="s">
        <v>1163</v>
      </c>
      <c r="I2449" s="637" t="s">
        <v>58</v>
      </c>
      <c r="J2449" s="636">
        <v>22</v>
      </c>
      <c r="K2449" s="636">
        <v>2</v>
      </c>
      <c r="L2449" s="637" t="s">
        <v>52</v>
      </c>
      <c r="M2449" s="637" t="s">
        <v>441</v>
      </c>
      <c r="N2449" s="637" t="s">
        <v>442</v>
      </c>
      <c r="O2449" s="637" t="s">
        <v>442</v>
      </c>
      <c r="P2449" s="637" t="s">
        <v>1156</v>
      </c>
      <c r="Q2449" s="638">
        <v>0</v>
      </c>
      <c r="R2449" s="638">
        <v>0</v>
      </c>
      <c r="S2449" s="638">
        <v>0</v>
      </c>
      <c r="T2449" s="638">
        <v>0</v>
      </c>
      <c r="U2449" s="638">
        <v>1</v>
      </c>
      <c r="V2449" s="636">
        <v>2022</v>
      </c>
      <c r="W2449" s="640"/>
      <c r="X2449" s="641" t="str">
        <f t="shared" si="114"/>
        <v/>
      </c>
      <c r="Y2449" s="642" t="str">
        <f t="shared" si="115"/>
        <v/>
      </c>
      <c r="Z2449" s="642" t="str">
        <f t="shared" si="116"/>
        <v/>
      </c>
    </row>
    <row r="2450" spans="1:26" s="127" customFormat="1" ht="25">
      <c r="A2450" s="636">
        <v>65560</v>
      </c>
      <c r="B2450" s="637" t="s">
        <v>33</v>
      </c>
      <c r="C2450" s="636" t="s">
        <v>2725</v>
      </c>
      <c r="D2450" s="637" t="s">
        <v>3731</v>
      </c>
      <c r="E2450" s="637" t="s">
        <v>3730</v>
      </c>
      <c r="F2450" s="636">
        <v>64778</v>
      </c>
      <c r="G2450" s="637" t="s">
        <v>81</v>
      </c>
      <c r="H2450" s="637" t="s">
        <v>1163</v>
      </c>
      <c r="I2450" s="637" t="s">
        <v>58</v>
      </c>
      <c r="J2450" s="636">
        <v>22</v>
      </c>
      <c r="K2450" s="636">
        <v>2</v>
      </c>
      <c r="L2450" s="637" t="s">
        <v>52</v>
      </c>
      <c r="M2450" s="637" t="s">
        <v>441</v>
      </c>
      <c r="N2450" s="637" t="s">
        <v>442</v>
      </c>
      <c r="O2450" s="637" t="s">
        <v>442</v>
      </c>
      <c r="P2450" s="637" t="s">
        <v>1156</v>
      </c>
      <c r="Q2450" s="638">
        <v>0</v>
      </c>
      <c r="R2450" s="638">
        <v>0</v>
      </c>
      <c r="S2450" s="638">
        <v>10671</v>
      </c>
      <c r="T2450" s="638">
        <v>10671</v>
      </c>
      <c r="U2450" s="638">
        <v>3127</v>
      </c>
      <c r="V2450" s="636">
        <v>2022</v>
      </c>
      <c r="W2450" s="640"/>
      <c r="X2450" s="641">
        <f t="shared" si="114"/>
        <v>3.4125359769747363</v>
      </c>
      <c r="Y2450" s="642" t="str">
        <f t="shared" si="115"/>
        <v/>
      </c>
      <c r="Z2450" s="642" t="str">
        <f t="shared" si="116"/>
        <v/>
      </c>
    </row>
    <row r="2451" spans="1:26" s="127" customFormat="1" ht="25">
      <c r="A2451" s="636">
        <v>65566</v>
      </c>
      <c r="B2451" s="637" t="s">
        <v>33</v>
      </c>
      <c r="C2451" s="636" t="s">
        <v>2725</v>
      </c>
      <c r="D2451" s="637" t="s">
        <v>3732</v>
      </c>
      <c r="E2451" s="637" t="s">
        <v>3730</v>
      </c>
      <c r="F2451" s="636">
        <v>64778</v>
      </c>
      <c r="G2451" s="637" t="s">
        <v>81</v>
      </c>
      <c r="H2451" s="637" t="s">
        <v>1163</v>
      </c>
      <c r="I2451" s="637" t="s">
        <v>58</v>
      </c>
      <c r="J2451" s="636">
        <v>22</v>
      </c>
      <c r="K2451" s="636">
        <v>2</v>
      </c>
      <c r="L2451" s="637" t="s">
        <v>52</v>
      </c>
      <c r="M2451" s="637" t="s">
        <v>441</v>
      </c>
      <c r="N2451" s="637" t="s">
        <v>442</v>
      </c>
      <c r="O2451" s="637" t="s">
        <v>442</v>
      </c>
      <c r="P2451" s="637" t="s">
        <v>1156</v>
      </c>
      <c r="Q2451" s="638">
        <v>0</v>
      </c>
      <c r="R2451" s="638">
        <v>0</v>
      </c>
      <c r="S2451" s="638">
        <v>25048</v>
      </c>
      <c r="T2451" s="638">
        <v>25048</v>
      </c>
      <c r="U2451" s="638">
        <v>7341</v>
      </c>
      <c r="V2451" s="636">
        <v>2022</v>
      </c>
      <c r="W2451" s="640"/>
      <c r="X2451" s="641">
        <f t="shared" si="114"/>
        <v>3.4120692003814193</v>
      </c>
      <c r="Y2451" s="642" t="str">
        <f t="shared" si="115"/>
        <v/>
      </c>
      <c r="Z2451" s="642" t="str">
        <f t="shared" si="116"/>
        <v/>
      </c>
    </row>
    <row r="2452" spans="1:26" s="127" customFormat="1" ht="25">
      <c r="A2452" s="636">
        <v>65585</v>
      </c>
      <c r="B2452" s="637" t="s">
        <v>33</v>
      </c>
      <c r="C2452" s="636" t="s">
        <v>2725</v>
      </c>
      <c r="D2452" s="637" t="s">
        <v>3733</v>
      </c>
      <c r="E2452" s="637" t="s">
        <v>3734</v>
      </c>
      <c r="F2452" s="636">
        <v>64883</v>
      </c>
      <c r="G2452" s="637" t="s">
        <v>81</v>
      </c>
      <c r="H2452" s="637" t="s">
        <v>1163</v>
      </c>
      <c r="I2452" s="637" t="s">
        <v>1135</v>
      </c>
      <c r="J2452" s="636">
        <v>22</v>
      </c>
      <c r="K2452" s="636">
        <v>2</v>
      </c>
      <c r="L2452" s="637" t="s">
        <v>52</v>
      </c>
      <c r="M2452" s="637" t="s">
        <v>441</v>
      </c>
      <c r="N2452" s="637" t="s">
        <v>442</v>
      </c>
      <c r="O2452" s="637" t="s">
        <v>442</v>
      </c>
      <c r="P2452" s="637" t="s">
        <v>1156</v>
      </c>
      <c r="Q2452" s="638">
        <v>0</v>
      </c>
      <c r="R2452" s="638">
        <v>0</v>
      </c>
      <c r="S2452" s="638">
        <v>6183</v>
      </c>
      <c r="T2452" s="638">
        <v>6183</v>
      </c>
      <c r="U2452" s="638">
        <v>1812</v>
      </c>
      <c r="V2452" s="636">
        <v>2022</v>
      </c>
      <c r="W2452" s="640"/>
      <c r="X2452" s="641">
        <f t="shared" si="114"/>
        <v>3.4122516556291389</v>
      </c>
      <c r="Y2452" s="642" t="str">
        <f t="shared" si="115"/>
        <v/>
      </c>
      <c r="Z2452" s="642" t="str">
        <f t="shared" si="116"/>
        <v/>
      </c>
    </row>
    <row r="2453" spans="1:26" s="127" customFormat="1" ht="25">
      <c r="A2453" s="636">
        <v>65586</v>
      </c>
      <c r="B2453" s="637" t="s">
        <v>33</v>
      </c>
      <c r="C2453" s="636" t="s">
        <v>2725</v>
      </c>
      <c r="D2453" s="637" t="s">
        <v>3735</v>
      </c>
      <c r="E2453" s="637" t="s">
        <v>3736</v>
      </c>
      <c r="F2453" s="636">
        <v>64884</v>
      </c>
      <c r="G2453" s="637" t="s">
        <v>81</v>
      </c>
      <c r="H2453" s="637" t="s">
        <v>1163</v>
      </c>
      <c r="I2453" s="637" t="s">
        <v>1135</v>
      </c>
      <c r="J2453" s="636">
        <v>22</v>
      </c>
      <c r="K2453" s="636">
        <v>2</v>
      </c>
      <c r="L2453" s="637" t="s">
        <v>52</v>
      </c>
      <c r="M2453" s="637" t="s">
        <v>441</v>
      </c>
      <c r="N2453" s="637" t="s">
        <v>442</v>
      </c>
      <c r="O2453" s="637" t="s">
        <v>442</v>
      </c>
      <c r="P2453" s="637" t="s">
        <v>1156</v>
      </c>
      <c r="Q2453" s="638">
        <v>0</v>
      </c>
      <c r="R2453" s="638">
        <v>0</v>
      </c>
      <c r="S2453" s="638">
        <v>12533</v>
      </c>
      <c r="T2453" s="638">
        <v>12533</v>
      </c>
      <c r="U2453" s="638">
        <v>3673</v>
      </c>
      <c r="V2453" s="636">
        <v>2022</v>
      </c>
      <c r="W2453" s="640"/>
      <c r="X2453" s="641">
        <f t="shared" si="114"/>
        <v>3.4121971140756875</v>
      </c>
      <c r="Y2453" s="642" t="str">
        <f t="shared" si="115"/>
        <v/>
      </c>
      <c r="Z2453" s="642" t="str">
        <f t="shared" si="116"/>
        <v/>
      </c>
    </row>
    <row r="2454" spans="1:26" s="127" customFormat="1" ht="25">
      <c r="A2454" s="636">
        <v>65587</v>
      </c>
      <c r="B2454" s="637" t="s">
        <v>33</v>
      </c>
      <c r="C2454" s="636" t="s">
        <v>2725</v>
      </c>
      <c r="D2454" s="637" t="s">
        <v>3737</v>
      </c>
      <c r="E2454" s="637" t="s">
        <v>3738</v>
      </c>
      <c r="F2454" s="636">
        <v>64888</v>
      </c>
      <c r="G2454" s="637" t="s">
        <v>57</v>
      </c>
      <c r="H2454" s="637" t="s">
        <v>1162</v>
      </c>
      <c r="I2454" s="637" t="s">
        <v>58</v>
      </c>
      <c r="J2454" s="636">
        <v>22</v>
      </c>
      <c r="K2454" s="636">
        <v>2</v>
      </c>
      <c r="L2454" s="637" t="s">
        <v>52</v>
      </c>
      <c r="M2454" s="637" t="s">
        <v>441</v>
      </c>
      <c r="N2454" s="637" t="s">
        <v>442</v>
      </c>
      <c r="O2454" s="637" t="s">
        <v>442</v>
      </c>
      <c r="P2454" s="637" t="s">
        <v>1156</v>
      </c>
      <c r="Q2454" s="638">
        <v>0</v>
      </c>
      <c r="R2454" s="638">
        <v>0</v>
      </c>
      <c r="S2454" s="638">
        <v>28943</v>
      </c>
      <c r="T2454" s="638">
        <v>28943</v>
      </c>
      <c r="U2454" s="638">
        <v>8483</v>
      </c>
      <c r="V2454" s="636">
        <v>2022</v>
      </c>
      <c r="W2454" s="640"/>
      <c r="X2454" s="641">
        <f t="shared" si="114"/>
        <v>3.4118825887068254</v>
      </c>
      <c r="Y2454" s="642" t="str">
        <f t="shared" si="115"/>
        <v/>
      </c>
      <c r="Z2454" s="642" t="str">
        <f t="shared" si="116"/>
        <v/>
      </c>
    </row>
    <row r="2455" spans="1:26" s="127" customFormat="1" ht="25">
      <c r="A2455" s="636">
        <v>65613</v>
      </c>
      <c r="B2455" s="637" t="s">
        <v>33</v>
      </c>
      <c r="C2455" s="636" t="s">
        <v>2725</v>
      </c>
      <c r="D2455" s="637" t="s">
        <v>3509</v>
      </c>
      <c r="E2455" s="637" t="s">
        <v>3510</v>
      </c>
      <c r="F2455" s="636">
        <v>64904</v>
      </c>
      <c r="G2455" s="637" t="s">
        <v>57</v>
      </c>
      <c r="H2455" s="637" t="s">
        <v>1162</v>
      </c>
      <c r="I2455" s="637" t="s">
        <v>58</v>
      </c>
      <c r="J2455" s="636">
        <v>22</v>
      </c>
      <c r="K2455" s="636">
        <v>2</v>
      </c>
      <c r="L2455" s="637" t="s">
        <v>52</v>
      </c>
      <c r="M2455" s="637" t="s">
        <v>441</v>
      </c>
      <c r="N2455" s="637" t="s">
        <v>442</v>
      </c>
      <c r="O2455" s="637" t="s">
        <v>442</v>
      </c>
      <c r="P2455" s="637" t="s">
        <v>1156</v>
      </c>
      <c r="Q2455" s="638">
        <v>0</v>
      </c>
      <c r="R2455" s="638">
        <v>0</v>
      </c>
      <c r="S2455" s="638">
        <v>5443</v>
      </c>
      <c r="T2455" s="638">
        <v>5443</v>
      </c>
      <c r="U2455" s="638">
        <v>1595</v>
      </c>
      <c r="V2455" s="636">
        <v>2022</v>
      </c>
      <c r="W2455" s="640"/>
      <c r="X2455" s="641">
        <f t="shared" si="114"/>
        <v>3.412539184952978</v>
      </c>
      <c r="Y2455" s="642" t="str">
        <f t="shared" si="115"/>
        <v/>
      </c>
      <c r="Z2455" s="642" t="str">
        <f t="shared" si="116"/>
        <v/>
      </c>
    </row>
    <row r="2456" spans="1:26" s="127" customFormat="1" ht="25">
      <c r="A2456" s="636">
        <v>65619</v>
      </c>
      <c r="B2456" s="637" t="s">
        <v>33</v>
      </c>
      <c r="C2456" s="636" t="s">
        <v>2725</v>
      </c>
      <c r="D2456" s="637" t="s">
        <v>3739</v>
      </c>
      <c r="E2456" s="637" t="s">
        <v>2277</v>
      </c>
      <c r="F2456" s="636">
        <v>60025</v>
      </c>
      <c r="G2456" s="637" t="s">
        <v>89</v>
      </c>
      <c r="H2456" s="637" t="s">
        <v>1163</v>
      </c>
      <c r="I2456" s="637" t="s">
        <v>58</v>
      </c>
      <c r="J2456" s="636">
        <v>22</v>
      </c>
      <c r="K2456" s="636">
        <v>2</v>
      </c>
      <c r="L2456" s="637" t="s">
        <v>52</v>
      </c>
      <c r="M2456" s="637" t="s">
        <v>441</v>
      </c>
      <c r="N2456" s="637" t="s">
        <v>442</v>
      </c>
      <c r="O2456" s="637" t="s">
        <v>442</v>
      </c>
      <c r="P2456" s="637" t="s">
        <v>1156</v>
      </c>
      <c r="Q2456" s="638">
        <v>0</v>
      </c>
      <c r="R2456" s="638">
        <v>0</v>
      </c>
      <c r="S2456" s="638">
        <v>1034</v>
      </c>
      <c r="T2456" s="638">
        <v>1034</v>
      </c>
      <c r="U2456" s="638">
        <v>303</v>
      </c>
      <c r="V2456" s="636">
        <v>2022</v>
      </c>
      <c r="W2456" s="640"/>
      <c r="X2456" s="641">
        <f t="shared" si="114"/>
        <v>3.4125412541254128</v>
      </c>
      <c r="Y2456" s="642" t="str">
        <f t="shared" si="115"/>
        <v/>
      </c>
      <c r="Z2456" s="642" t="str">
        <f t="shared" si="116"/>
        <v/>
      </c>
    </row>
    <row r="2457" spans="1:26" s="127" customFormat="1" ht="25">
      <c r="A2457" s="636">
        <v>65620</v>
      </c>
      <c r="B2457" s="637" t="s">
        <v>33</v>
      </c>
      <c r="C2457" s="636" t="s">
        <v>2725</v>
      </c>
      <c r="D2457" s="637" t="s">
        <v>3740</v>
      </c>
      <c r="E2457" s="637" t="s">
        <v>3512</v>
      </c>
      <c r="F2457" s="636">
        <v>63466</v>
      </c>
      <c r="G2457" s="637" t="s">
        <v>57</v>
      </c>
      <c r="H2457" s="637" t="s">
        <v>1162</v>
      </c>
      <c r="I2457" s="637" t="s">
        <v>58</v>
      </c>
      <c r="J2457" s="636">
        <v>22</v>
      </c>
      <c r="K2457" s="636">
        <v>2</v>
      </c>
      <c r="L2457" s="637" t="s">
        <v>52</v>
      </c>
      <c r="M2457" s="637" t="s">
        <v>441</v>
      </c>
      <c r="N2457" s="637" t="s">
        <v>442</v>
      </c>
      <c r="O2457" s="637" t="s">
        <v>442</v>
      </c>
      <c r="P2457" s="637" t="s">
        <v>1156</v>
      </c>
      <c r="Q2457" s="638">
        <v>0</v>
      </c>
      <c r="R2457" s="638">
        <v>0</v>
      </c>
      <c r="S2457" s="638">
        <v>11528</v>
      </c>
      <c r="T2457" s="638">
        <v>11528</v>
      </c>
      <c r="U2457" s="638">
        <v>3379</v>
      </c>
      <c r="V2457" s="636">
        <v>2022</v>
      </c>
      <c r="W2457" s="640"/>
      <c r="X2457" s="641">
        <f t="shared" si="114"/>
        <v>3.4116602545131696</v>
      </c>
      <c r="Y2457" s="642" t="str">
        <f t="shared" si="115"/>
        <v/>
      </c>
      <c r="Z2457" s="642" t="str">
        <f t="shared" si="116"/>
        <v/>
      </c>
    </row>
    <row r="2458" spans="1:26" s="127" customFormat="1" ht="25">
      <c r="A2458" s="636">
        <v>65621</v>
      </c>
      <c r="B2458" s="637" t="s">
        <v>33</v>
      </c>
      <c r="C2458" s="636" t="s">
        <v>2725</v>
      </c>
      <c r="D2458" s="637" t="s">
        <v>3741</v>
      </c>
      <c r="E2458" s="637" t="s">
        <v>3512</v>
      </c>
      <c r="F2458" s="636">
        <v>63466</v>
      </c>
      <c r="G2458" s="637" t="s">
        <v>57</v>
      </c>
      <c r="H2458" s="637" t="s">
        <v>1162</v>
      </c>
      <c r="I2458" s="637" t="s">
        <v>58</v>
      </c>
      <c r="J2458" s="636">
        <v>22</v>
      </c>
      <c r="K2458" s="636">
        <v>2</v>
      </c>
      <c r="L2458" s="637" t="s">
        <v>52</v>
      </c>
      <c r="M2458" s="637" t="s">
        <v>441</v>
      </c>
      <c r="N2458" s="637" t="s">
        <v>442</v>
      </c>
      <c r="O2458" s="637" t="s">
        <v>442</v>
      </c>
      <c r="P2458" s="637" t="s">
        <v>1156</v>
      </c>
      <c r="Q2458" s="638">
        <v>0</v>
      </c>
      <c r="R2458" s="638">
        <v>0</v>
      </c>
      <c r="S2458" s="638">
        <v>7847</v>
      </c>
      <c r="T2458" s="638">
        <v>7847</v>
      </c>
      <c r="U2458" s="638">
        <v>2300</v>
      </c>
      <c r="V2458" s="636">
        <v>2022</v>
      </c>
      <c r="W2458" s="640"/>
      <c r="X2458" s="641">
        <f t="shared" si="114"/>
        <v>3.4117391304347828</v>
      </c>
      <c r="Y2458" s="642" t="str">
        <f t="shared" si="115"/>
        <v/>
      </c>
      <c r="Z2458" s="642" t="str">
        <f t="shared" si="116"/>
        <v/>
      </c>
    </row>
    <row r="2459" spans="1:26" s="127" customFormat="1" ht="25">
      <c r="A2459" s="636">
        <v>65624</v>
      </c>
      <c r="B2459" s="637" t="s">
        <v>33</v>
      </c>
      <c r="C2459" s="636" t="s">
        <v>2725</v>
      </c>
      <c r="D2459" s="637" t="s">
        <v>3742</v>
      </c>
      <c r="E2459" s="637" t="s">
        <v>3743</v>
      </c>
      <c r="F2459" s="636">
        <v>64918</v>
      </c>
      <c r="G2459" s="637" t="s">
        <v>57</v>
      </c>
      <c r="H2459" s="637" t="s">
        <v>1162</v>
      </c>
      <c r="I2459" s="637" t="s">
        <v>58</v>
      </c>
      <c r="J2459" s="636">
        <v>22</v>
      </c>
      <c r="K2459" s="636">
        <v>2</v>
      </c>
      <c r="L2459" s="637" t="s">
        <v>52</v>
      </c>
      <c r="M2459" s="637" t="s">
        <v>441</v>
      </c>
      <c r="N2459" s="637" t="s">
        <v>442</v>
      </c>
      <c r="O2459" s="637" t="s">
        <v>442</v>
      </c>
      <c r="P2459" s="637" t="s">
        <v>1156</v>
      </c>
      <c r="Q2459" s="638">
        <v>0</v>
      </c>
      <c r="R2459" s="638">
        <v>0</v>
      </c>
      <c r="S2459" s="638">
        <v>29068</v>
      </c>
      <c r="T2459" s="638">
        <v>29068</v>
      </c>
      <c r="U2459" s="638">
        <v>8519</v>
      </c>
      <c r="V2459" s="636">
        <v>2022</v>
      </c>
      <c r="W2459" s="640"/>
      <c r="X2459" s="641">
        <f t="shared" si="114"/>
        <v>3.4121375748327267</v>
      </c>
      <c r="Y2459" s="642" t="str">
        <f t="shared" si="115"/>
        <v/>
      </c>
      <c r="Z2459" s="642" t="str">
        <f t="shared" si="116"/>
        <v/>
      </c>
    </row>
    <row r="2460" spans="1:26" s="127" customFormat="1" ht="25">
      <c r="A2460" s="636">
        <v>65625</v>
      </c>
      <c r="B2460" s="637" t="s">
        <v>33</v>
      </c>
      <c r="C2460" s="636" t="s">
        <v>2725</v>
      </c>
      <c r="D2460" s="637" t="s">
        <v>3744</v>
      </c>
      <c r="E2460" s="637" t="s">
        <v>3745</v>
      </c>
      <c r="F2460" s="636">
        <v>64919</v>
      </c>
      <c r="G2460" s="637" t="s">
        <v>57</v>
      </c>
      <c r="H2460" s="637" t="s">
        <v>1162</v>
      </c>
      <c r="I2460" s="637" t="s">
        <v>58</v>
      </c>
      <c r="J2460" s="636">
        <v>22</v>
      </c>
      <c r="K2460" s="636">
        <v>2</v>
      </c>
      <c r="L2460" s="637" t="s">
        <v>52</v>
      </c>
      <c r="M2460" s="637" t="s">
        <v>441</v>
      </c>
      <c r="N2460" s="637" t="s">
        <v>442</v>
      </c>
      <c r="O2460" s="637" t="s">
        <v>442</v>
      </c>
      <c r="P2460" s="637" t="s">
        <v>1156</v>
      </c>
      <c r="Q2460" s="638">
        <v>0</v>
      </c>
      <c r="R2460" s="638">
        <v>0</v>
      </c>
      <c r="S2460" s="638">
        <v>20790</v>
      </c>
      <c r="T2460" s="638">
        <v>20790</v>
      </c>
      <c r="U2460" s="638">
        <v>6093</v>
      </c>
      <c r="V2460" s="636">
        <v>2022</v>
      </c>
      <c r="W2460" s="640"/>
      <c r="X2460" s="641">
        <f t="shared" si="114"/>
        <v>3.4121122599704581</v>
      </c>
      <c r="Y2460" s="642" t="str">
        <f t="shared" si="115"/>
        <v/>
      </c>
      <c r="Z2460" s="642" t="str">
        <f t="shared" si="116"/>
        <v/>
      </c>
    </row>
    <row r="2461" spans="1:26" s="127" customFormat="1" ht="25">
      <c r="A2461" s="636">
        <v>65626</v>
      </c>
      <c r="B2461" s="637" t="s">
        <v>33</v>
      </c>
      <c r="C2461" s="636" t="s">
        <v>2725</v>
      </c>
      <c r="D2461" s="637" t="s">
        <v>3746</v>
      </c>
      <c r="E2461" s="637" t="s">
        <v>3747</v>
      </c>
      <c r="F2461" s="636">
        <v>64920</v>
      </c>
      <c r="G2461" s="637" t="s">
        <v>57</v>
      </c>
      <c r="H2461" s="637" t="s">
        <v>1162</v>
      </c>
      <c r="I2461" s="637" t="s">
        <v>58</v>
      </c>
      <c r="J2461" s="636">
        <v>22</v>
      </c>
      <c r="K2461" s="636">
        <v>2</v>
      </c>
      <c r="L2461" s="637" t="s">
        <v>52</v>
      </c>
      <c r="M2461" s="637" t="s">
        <v>441</v>
      </c>
      <c r="N2461" s="637" t="s">
        <v>442</v>
      </c>
      <c r="O2461" s="637" t="s">
        <v>442</v>
      </c>
      <c r="P2461" s="637" t="s">
        <v>1156</v>
      </c>
      <c r="Q2461" s="638">
        <v>0</v>
      </c>
      <c r="R2461" s="638">
        <v>0</v>
      </c>
      <c r="S2461" s="638">
        <v>24525</v>
      </c>
      <c r="T2461" s="638">
        <v>24525</v>
      </c>
      <c r="U2461" s="638">
        <v>7188</v>
      </c>
      <c r="V2461" s="636">
        <v>2022</v>
      </c>
      <c r="W2461" s="640"/>
      <c r="X2461" s="641">
        <f t="shared" si="114"/>
        <v>3.4119365609348913</v>
      </c>
      <c r="Y2461" s="642" t="str">
        <f t="shared" si="115"/>
        <v/>
      </c>
      <c r="Z2461" s="642" t="str">
        <f t="shared" si="116"/>
        <v/>
      </c>
    </row>
    <row r="2462" spans="1:26" s="127" customFormat="1" ht="25">
      <c r="A2462" s="636">
        <v>65627</v>
      </c>
      <c r="B2462" s="637" t="s">
        <v>33</v>
      </c>
      <c r="C2462" s="636" t="s">
        <v>2725</v>
      </c>
      <c r="D2462" s="637" t="s">
        <v>3748</v>
      </c>
      <c r="E2462" s="637" t="s">
        <v>3749</v>
      </c>
      <c r="F2462" s="636">
        <v>64921</v>
      </c>
      <c r="G2462" s="637" t="s">
        <v>57</v>
      </c>
      <c r="H2462" s="637" t="s">
        <v>1162</v>
      </c>
      <c r="I2462" s="637" t="s">
        <v>58</v>
      </c>
      <c r="J2462" s="636">
        <v>22</v>
      </c>
      <c r="K2462" s="636">
        <v>2</v>
      </c>
      <c r="L2462" s="637" t="s">
        <v>52</v>
      </c>
      <c r="M2462" s="637" t="s">
        <v>441</v>
      </c>
      <c r="N2462" s="637" t="s">
        <v>442</v>
      </c>
      <c r="O2462" s="637" t="s">
        <v>442</v>
      </c>
      <c r="P2462" s="637" t="s">
        <v>1156</v>
      </c>
      <c r="Q2462" s="638">
        <v>0</v>
      </c>
      <c r="R2462" s="638">
        <v>0</v>
      </c>
      <c r="S2462" s="638">
        <v>24300</v>
      </c>
      <c r="T2462" s="638">
        <v>24300</v>
      </c>
      <c r="U2462" s="638">
        <v>7122</v>
      </c>
      <c r="V2462" s="636">
        <v>2022</v>
      </c>
      <c r="W2462" s="640"/>
      <c r="X2462" s="641">
        <f t="shared" si="114"/>
        <v>3.4119629317607414</v>
      </c>
      <c r="Y2462" s="642" t="str">
        <f t="shared" si="115"/>
        <v/>
      </c>
      <c r="Z2462" s="642" t="str">
        <f t="shared" si="116"/>
        <v/>
      </c>
    </row>
    <row r="2463" spans="1:26" s="127" customFormat="1" ht="25">
      <c r="A2463" s="636">
        <v>65628</v>
      </c>
      <c r="B2463" s="637" t="s">
        <v>33</v>
      </c>
      <c r="C2463" s="636" t="s">
        <v>2725</v>
      </c>
      <c r="D2463" s="637" t="s">
        <v>3750</v>
      </c>
      <c r="E2463" s="637" t="s">
        <v>3751</v>
      </c>
      <c r="F2463" s="636">
        <v>64922</v>
      </c>
      <c r="G2463" s="637" t="s">
        <v>57</v>
      </c>
      <c r="H2463" s="637" t="s">
        <v>1162</v>
      </c>
      <c r="I2463" s="637" t="s">
        <v>58</v>
      </c>
      <c r="J2463" s="636">
        <v>22</v>
      </c>
      <c r="K2463" s="636">
        <v>2</v>
      </c>
      <c r="L2463" s="637" t="s">
        <v>52</v>
      </c>
      <c r="M2463" s="637" t="s">
        <v>441</v>
      </c>
      <c r="N2463" s="637" t="s">
        <v>442</v>
      </c>
      <c r="O2463" s="637" t="s">
        <v>442</v>
      </c>
      <c r="P2463" s="637" t="s">
        <v>1156</v>
      </c>
      <c r="Q2463" s="638">
        <v>0</v>
      </c>
      <c r="R2463" s="638">
        <v>0</v>
      </c>
      <c r="S2463" s="638">
        <v>26228</v>
      </c>
      <c r="T2463" s="638">
        <v>26228</v>
      </c>
      <c r="U2463" s="638">
        <v>7687</v>
      </c>
      <c r="V2463" s="636">
        <v>2022</v>
      </c>
      <c r="W2463" s="640"/>
      <c r="X2463" s="641">
        <f t="shared" si="114"/>
        <v>3.4119942760504749</v>
      </c>
      <c r="Y2463" s="642" t="str">
        <f t="shared" si="115"/>
        <v/>
      </c>
      <c r="Z2463" s="642" t="str">
        <f t="shared" si="116"/>
        <v/>
      </c>
    </row>
    <row r="2464" spans="1:26" s="127" customFormat="1" ht="25">
      <c r="A2464" s="636">
        <v>65636</v>
      </c>
      <c r="B2464" s="637" t="s">
        <v>33</v>
      </c>
      <c r="C2464" s="636" t="s">
        <v>2725</v>
      </c>
      <c r="D2464" s="637" t="s">
        <v>3752</v>
      </c>
      <c r="E2464" s="637" t="s">
        <v>3753</v>
      </c>
      <c r="F2464" s="636">
        <v>64880</v>
      </c>
      <c r="G2464" s="637" t="s">
        <v>81</v>
      </c>
      <c r="H2464" s="637" t="s">
        <v>1163</v>
      </c>
      <c r="I2464" s="637" t="s">
        <v>1135</v>
      </c>
      <c r="J2464" s="636">
        <v>22</v>
      </c>
      <c r="K2464" s="636">
        <v>2</v>
      </c>
      <c r="L2464" s="637" t="s">
        <v>52</v>
      </c>
      <c r="M2464" s="637" t="s">
        <v>441</v>
      </c>
      <c r="N2464" s="637" t="s">
        <v>442</v>
      </c>
      <c r="O2464" s="637" t="s">
        <v>442</v>
      </c>
      <c r="P2464" s="637" t="s">
        <v>1156</v>
      </c>
      <c r="Q2464" s="638">
        <v>0</v>
      </c>
      <c r="R2464" s="638">
        <v>0</v>
      </c>
      <c r="S2464" s="638">
        <v>12709</v>
      </c>
      <c r="T2464" s="638">
        <v>12709</v>
      </c>
      <c r="U2464" s="638">
        <v>3725</v>
      </c>
      <c r="V2464" s="636">
        <v>2022</v>
      </c>
      <c r="W2464" s="640"/>
      <c r="X2464" s="641">
        <f t="shared" si="114"/>
        <v>3.4118120805369125</v>
      </c>
      <c r="Y2464" s="642" t="str">
        <f t="shared" si="115"/>
        <v/>
      </c>
      <c r="Z2464" s="642" t="str">
        <f t="shared" si="116"/>
        <v/>
      </c>
    </row>
    <row r="2465" spans="1:26" s="127" customFormat="1" ht="25">
      <c r="A2465" s="636">
        <v>65637</v>
      </c>
      <c r="B2465" s="637" t="s">
        <v>33</v>
      </c>
      <c r="C2465" s="636" t="s">
        <v>2725</v>
      </c>
      <c r="D2465" s="637" t="s">
        <v>3754</v>
      </c>
      <c r="E2465" s="637" t="s">
        <v>3755</v>
      </c>
      <c r="F2465" s="636">
        <v>64881</v>
      </c>
      <c r="G2465" s="637" t="s">
        <v>130</v>
      </c>
      <c r="H2465" s="637" t="s">
        <v>1163</v>
      </c>
      <c r="I2465" s="637" t="s">
        <v>1135</v>
      </c>
      <c r="J2465" s="636">
        <v>22</v>
      </c>
      <c r="K2465" s="636">
        <v>2</v>
      </c>
      <c r="L2465" s="637" t="s">
        <v>52</v>
      </c>
      <c r="M2465" s="637" t="s">
        <v>441</v>
      </c>
      <c r="N2465" s="637" t="s">
        <v>442</v>
      </c>
      <c r="O2465" s="637" t="s">
        <v>442</v>
      </c>
      <c r="P2465" s="637" t="s">
        <v>1156</v>
      </c>
      <c r="Q2465" s="638">
        <v>0</v>
      </c>
      <c r="R2465" s="638">
        <v>0</v>
      </c>
      <c r="S2465" s="638">
        <v>5645</v>
      </c>
      <c r="T2465" s="638">
        <v>5645</v>
      </c>
      <c r="U2465" s="638">
        <v>1655</v>
      </c>
      <c r="V2465" s="636">
        <v>2022</v>
      </c>
      <c r="W2465" s="640"/>
      <c r="X2465" s="641">
        <f t="shared" si="114"/>
        <v>3.4108761329305137</v>
      </c>
      <c r="Y2465" s="642" t="str">
        <f t="shared" si="115"/>
        <v/>
      </c>
      <c r="Z2465" s="642" t="str">
        <f t="shared" si="116"/>
        <v/>
      </c>
    </row>
    <row r="2466" spans="1:26" s="127" customFormat="1" ht="25">
      <c r="A2466" s="636">
        <v>65643</v>
      </c>
      <c r="B2466" s="637" t="s">
        <v>33</v>
      </c>
      <c r="C2466" s="636" t="s">
        <v>2725</v>
      </c>
      <c r="D2466" s="637" t="s">
        <v>3511</v>
      </c>
      <c r="E2466" s="637" t="s">
        <v>3512</v>
      </c>
      <c r="F2466" s="636">
        <v>63466</v>
      </c>
      <c r="G2466" s="637" t="s">
        <v>57</v>
      </c>
      <c r="H2466" s="637" t="s">
        <v>1162</v>
      </c>
      <c r="I2466" s="637" t="s">
        <v>58</v>
      </c>
      <c r="J2466" s="636">
        <v>22</v>
      </c>
      <c r="K2466" s="636">
        <v>2</v>
      </c>
      <c r="L2466" s="637" t="s">
        <v>52</v>
      </c>
      <c r="M2466" s="637" t="s">
        <v>441</v>
      </c>
      <c r="N2466" s="637" t="s">
        <v>442</v>
      </c>
      <c r="O2466" s="637" t="s">
        <v>442</v>
      </c>
      <c r="P2466" s="637" t="s">
        <v>1156</v>
      </c>
      <c r="Q2466" s="638">
        <v>0</v>
      </c>
      <c r="R2466" s="638">
        <v>0</v>
      </c>
      <c r="S2466" s="638">
        <v>29037</v>
      </c>
      <c r="T2466" s="638">
        <v>29037</v>
      </c>
      <c r="U2466" s="638">
        <v>8510</v>
      </c>
      <c r="V2466" s="636">
        <v>2022</v>
      </c>
      <c r="W2466" s="640"/>
      <c r="X2466" s="641">
        <f t="shared" si="114"/>
        <v>3.4121034077555819</v>
      </c>
      <c r="Y2466" s="642" t="str">
        <f t="shared" si="115"/>
        <v/>
      </c>
      <c r="Z2466" s="642" t="str">
        <f t="shared" si="116"/>
        <v/>
      </c>
    </row>
    <row r="2467" spans="1:26" s="127" customFormat="1" ht="25">
      <c r="A2467" s="636">
        <v>65647</v>
      </c>
      <c r="B2467" s="637" t="s">
        <v>33</v>
      </c>
      <c r="C2467" s="636" t="s">
        <v>2725</v>
      </c>
      <c r="D2467" s="637" t="s">
        <v>3756</v>
      </c>
      <c r="E2467" s="637" t="s">
        <v>3757</v>
      </c>
      <c r="F2467" s="636">
        <v>64926</v>
      </c>
      <c r="G2467" s="637" t="s">
        <v>57</v>
      </c>
      <c r="H2467" s="637" t="s">
        <v>1162</v>
      </c>
      <c r="I2467" s="637" t="s">
        <v>3715</v>
      </c>
      <c r="J2467" s="636">
        <v>22</v>
      </c>
      <c r="K2467" s="636">
        <v>2</v>
      </c>
      <c r="L2467" s="637" t="s">
        <v>52</v>
      </c>
      <c r="M2467" s="637" t="s">
        <v>441</v>
      </c>
      <c r="N2467" s="637" t="s">
        <v>442</v>
      </c>
      <c r="O2467" s="637" t="s">
        <v>442</v>
      </c>
      <c r="P2467" s="637" t="s">
        <v>1156</v>
      </c>
      <c r="Q2467" s="638">
        <v>0</v>
      </c>
      <c r="R2467" s="638">
        <v>0</v>
      </c>
      <c r="S2467" s="638">
        <v>18494</v>
      </c>
      <c r="T2467" s="638">
        <v>18494</v>
      </c>
      <c r="U2467" s="638">
        <v>5421</v>
      </c>
      <c r="V2467" s="636">
        <v>2022</v>
      </c>
      <c r="W2467" s="640"/>
      <c r="X2467" s="641">
        <f t="shared" si="114"/>
        <v>3.4115476849289799</v>
      </c>
      <c r="Y2467" s="642" t="str">
        <f t="shared" si="115"/>
        <v/>
      </c>
      <c r="Z2467" s="642" t="str">
        <f t="shared" si="116"/>
        <v/>
      </c>
    </row>
    <row r="2468" spans="1:26" s="127" customFormat="1" ht="25">
      <c r="A2468" s="636">
        <v>65650</v>
      </c>
      <c r="B2468" s="637" t="s">
        <v>33</v>
      </c>
      <c r="C2468" s="636" t="s">
        <v>2725</v>
      </c>
      <c r="D2468" s="637" t="s">
        <v>3513</v>
      </c>
      <c r="E2468" s="637" t="s">
        <v>3514</v>
      </c>
      <c r="F2468" s="636">
        <v>64889</v>
      </c>
      <c r="G2468" s="637" t="s">
        <v>81</v>
      </c>
      <c r="H2468" s="637" t="s">
        <v>1163</v>
      </c>
      <c r="I2468" s="637" t="s">
        <v>1135</v>
      </c>
      <c r="J2468" s="636">
        <v>22</v>
      </c>
      <c r="K2468" s="636">
        <v>2</v>
      </c>
      <c r="L2468" s="637" t="s">
        <v>52</v>
      </c>
      <c r="M2468" s="637" t="s">
        <v>1852</v>
      </c>
      <c r="N2468" s="637" t="s">
        <v>1035</v>
      </c>
      <c r="O2468" s="637" t="s">
        <v>82</v>
      </c>
      <c r="P2468" s="637" t="s">
        <v>2726</v>
      </c>
      <c r="Q2468" s="638">
        <v>0</v>
      </c>
      <c r="R2468" s="638">
        <v>0</v>
      </c>
      <c r="S2468" s="638">
        <v>0</v>
      </c>
      <c r="T2468" s="638">
        <v>0</v>
      </c>
      <c r="U2468" s="638">
        <v>0</v>
      </c>
      <c r="V2468" s="636">
        <v>2022</v>
      </c>
      <c r="W2468" s="640"/>
      <c r="X2468" s="641" t="str">
        <f t="shared" si="114"/>
        <v/>
      </c>
      <c r="Y2468" s="642" t="str">
        <f t="shared" si="115"/>
        <v/>
      </c>
      <c r="Z2468" s="642" t="str">
        <f t="shared" si="116"/>
        <v/>
      </c>
    </row>
    <row r="2469" spans="1:26" s="127" customFormat="1" ht="25">
      <c r="A2469" s="636">
        <v>65650</v>
      </c>
      <c r="B2469" s="637" t="s">
        <v>33</v>
      </c>
      <c r="C2469" s="636" t="s">
        <v>2725</v>
      </c>
      <c r="D2469" s="637" t="s">
        <v>3513</v>
      </c>
      <c r="E2469" s="637" t="s">
        <v>3514</v>
      </c>
      <c r="F2469" s="636">
        <v>64889</v>
      </c>
      <c r="G2469" s="637" t="s">
        <v>81</v>
      </c>
      <c r="H2469" s="637" t="s">
        <v>1163</v>
      </c>
      <c r="I2469" s="637" t="s">
        <v>1135</v>
      </c>
      <c r="J2469" s="636">
        <v>22</v>
      </c>
      <c r="K2469" s="636">
        <v>2</v>
      </c>
      <c r="L2469" s="637" t="s">
        <v>52</v>
      </c>
      <c r="M2469" s="637" t="s">
        <v>441</v>
      </c>
      <c r="N2469" s="637" t="s">
        <v>442</v>
      </c>
      <c r="O2469" s="637" t="s">
        <v>442</v>
      </c>
      <c r="P2469" s="637" t="s">
        <v>1156</v>
      </c>
      <c r="Q2469" s="638">
        <v>0</v>
      </c>
      <c r="R2469" s="638">
        <v>0</v>
      </c>
      <c r="S2469" s="638">
        <v>6964</v>
      </c>
      <c r="T2469" s="638">
        <v>6964</v>
      </c>
      <c r="U2469" s="638">
        <v>2041</v>
      </c>
      <c r="V2469" s="636">
        <v>2022</v>
      </c>
      <c r="W2469" s="640"/>
      <c r="X2469" s="641">
        <f t="shared" si="114"/>
        <v>3.4120529152376284</v>
      </c>
      <c r="Y2469" s="642" t="str">
        <f t="shared" si="115"/>
        <v/>
      </c>
      <c r="Z2469" s="642" t="str">
        <f t="shared" si="116"/>
        <v/>
      </c>
    </row>
    <row r="2470" spans="1:26" s="127" customFormat="1" ht="25">
      <c r="A2470" s="636">
        <v>65653</v>
      </c>
      <c r="B2470" s="637" t="s">
        <v>33</v>
      </c>
      <c r="C2470" s="636" t="s">
        <v>2725</v>
      </c>
      <c r="D2470" s="637" t="s">
        <v>3515</v>
      </c>
      <c r="E2470" s="637" t="s">
        <v>3516</v>
      </c>
      <c r="F2470" s="636">
        <v>63432</v>
      </c>
      <c r="G2470" s="637" t="s">
        <v>81</v>
      </c>
      <c r="H2470" s="637" t="s">
        <v>1163</v>
      </c>
      <c r="I2470" s="637" t="s">
        <v>58</v>
      </c>
      <c r="J2470" s="636">
        <v>22</v>
      </c>
      <c r="K2470" s="636">
        <v>2</v>
      </c>
      <c r="L2470" s="637" t="s">
        <v>52</v>
      </c>
      <c r="M2470" s="637" t="s">
        <v>441</v>
      </c>
      <c r="N2470" s="637" t="s">
        <v>442</v>
      </c>
      <c r="O2470" s="637" t="s">
        <v>442</v>
      </c>
      <c r="P2470" s="637" t="s">
        <v>1156</v>
      </c>
      <c r="Q2470" s="638">
        <v>0</v>
      </c>
      <c r="R2470" s="638">
        <v>0</v>
      </c>
      <c r="S2470" s="638">
        <v>17832</v>
      </c>
      <c r="T2470" s="638">
        <v>17832</v>
      </c>
      <c r="U2470" s="638">
        <v>5227</v>
      </c>
      <c r="V2470" s="636">
        <v>2022</v>
      </c>
      <c r="W2470" s="640"/>
      <c r="X2470" s="641">
        <f t="shared" si="114"/>
        <v>3.411517122632485</v>
      </c>
      <c r="Y2470" s="642" t="str">
        <f t="shared" si="115"/>
        <v/>
      </c>
      <c r="Z2470" s="642" t="str">
        <f t="shared" si="116"/>
        <v/>
      </c>
    </row>
    <row r="2471" spans="1:26" s="127" customFormat="1" ht="25">
      <c r="A2471" s="636">
        <v>65667</v>
      </c>
      <c r="B2471" s="637" t="s">
        <v>33</v>
      </c>
      <c r="C2471" s="636" t="s">
        <v>2725</v>
      </c>
      <c r="D2471" s="637" t="s">
        <v>3517</v>
      </c>
      <c r="E2471" s="637" t="s">
        <v>3450</v>
      </c>
      <c r="F2471" s="636">
        <v>64426</v>
      </c>
      <c r="G2471" s="637" t="s">
        <v>41</v>
      </c>
      <c r="H2471" s="637" t="s">
        <v>1163</v>
      </c>
      <c r="I2471" s="637" t="s">
        <v>58</v>
      </c>
      <c r="J2471" s="636">
        <v>22</v>
      </c>
      <c r="K2471" s="636">
        <v>2</v>
      </c>
      <c r="L2471" s="637" t="s">
        <v>52</v>
      </c>
      <c r="M2471" s="637" t="s">
        <v>441</v>
      </c>
      <c r="N2471" s="637" t="s">
        <v>442</v>
      </c>
      <c r="O2471" s="637" t="s">
        <v>442</v>
      </c>
      <c r="P2471" s="637" t="s">
        <v>1156</v>
      </c>
      <c r="Q2471" s="638">
        <v>0</v>
      </c>
      <c r="R2471" s="638">
        <v>0</v>
      </c>
      <c r="S2471" s="638">
        <v>22838</v>
      </c>
      <c r="T2471" s="638">
        <v>22838</v>
      </c>
      <c r="U2471" s="638">
        <v>6693</v>
      </c>
      <c r="V2471" s="636">
        <v>2022</v>
      </c>
      <c r="W2471" s="640"/>
      <c r="X2471" s="641">
        <f t="shared" si="114"/>
        <v>3.4122217241894517</v>
      </c>
      <c r="Y2471" s="642" t="str">
        <f t="shared" si="115"/>
        <v/>
      </c>
      <c r="Z2471" s="642" t="str">
        <f t="shared" si="116"/>
        <v/>
      </c>
    </row>
    <row r="2472" spans="1:26" s="127" customFormat="1" ht="25">
      <c r="A2472" s="636">
        <v>65668</v>
      </c>
      <c r="B2472" s="637" t="s">
        <v>33</v>
      </c>
      <c r="C2472" s="636" t="s">
        <v>2725</v>
      </c>
      <c r="D2472" s="637" t="s">
        <v>3518</v>
      </c>
      <c r="E2472" s="637" t="s">
        <v>3450</v>
      </c>
      <c r="F2472" s="636">
        <v>64426</v>
      </c>
      <c r="G2472" s="637" t="s">
        <v>41</v>
      </c>
      <c r="H2472" s="637" t="s">
        <v>1163</v>
      </c>
      <c r="I2472" s="637" t="s">
        <v>58</v>
      </c>
      <c r="J2472" s="636">
        <v>22</v>
      </c>
      <c r="K2472" s="636">
        <v>2</v>
      </c>
      <c r="L2472" s="637" t="s">
        <v>52</v>
      </c>
      <c r="M2472" s="637" t="s">
        <v>441</v>
      </c>
      <c r="N2472" s="637" t="s">
        <v>442</v>
      </c>
      <c r="O2472" s="637" t="s">
        <v>442</v>
      </c>
      <c r="P2472" s="637" t="s">
        <v>1156</v>
      </c>
      <c r="Q2472" s="638">
        <v>0</v>
      </c>
      <c r="R2472" s="638">
        <v>0</v>
      </c>
      <c r="S2472" s="638">
        <v>27112</v>
      </c>
      <c r="T2472" s="638">
        <v>27112</v>
      </c>
      <c r="U2472" s="638">
        <v>7946</v>
      </c>
      <c r="V2472" s="636">
        <v>2022</v>
      </c>
      <c r="W2472" s="640"/>
      <c r="X2472" s="641">
        <f t="shared" si="114"/>
        <v>3.4120312106720361</v>
      </c>
      <c r="Y2472" s="642" t="str">
        <f t="shared" si="115"/>
        <v/>
      </c>
      <c r="Z2472" s="642" t="str">
        <f t="shared" si="116"/>
        <v/>
      </c>
    </row>
    <row r="2473" spans="1:26" s="127" customFormat="1" ht="25">
      <c r="A2473" s="636">
        <v>65669</v>
      </c>
      <c r="B2473" s="637" t="s">
        <v>33</v>
      </c>
      <c r="C2473" s="636" t="s">
        <v>2725</v>
      </c>
      <c r="D2473" s="637" t="s">
        <v>3758</v>
      </c>
      <c r="E2473" s="637" t="s">
        <v>3759</v>
      </c>
      <c r="F2473" s="636">
        <v>64938</v>
      </c>
      <c r="G2473" s="637" t="s">
        <v>81</v>
      </c>
      <c r="H2473" s="637" t="s">
        <v>1163</v>
      </c>
      <c r="I2473" s="637" t="s">
        <v>58</v>
      </c>
      <c r="J2473" s="636">
        <v>22</v>
      </c>
      <c r="K2473" s="636">
        <v>2</v>
      </c>
      <c r="L2473" s="637" t="s">
        <v>52</v>
      </c>
      <c r="M2473" s="637" t="s">
        <v>1852</v>
      </c>
      <c r="N2473" s="637" t="s">
        <v>1035</v>
      </c>
      <c r="O2473" s="637" t="s">
        <v>82</v>
      </c>
      <c r="P2473" s="637" t="s">
        <v>2726</v>
      </c>
      <c r="Q2473" s="638">
        <v>0</v>
      </c>
      <c r="R2473" s="638">
        <v>0</v>
      </c>
      <c r="S2473" s="638">
        <v>0</v>
      </c>
      <c r="T2473" s="638">
        <v>0</v>
      </c>
      <c r="U2473" s="638">
        <v>0</v>
      </c>
      <c r="V2473" s="636">
        <v>2022</v>
      </c>
      <c r="W2473" s="640"/>
      <c r="X2473" s="641" t="str">
        <f t="shared" si="114"/>
        <v/>
      </c>
      <c r="Y2473" s="642" t="str">
        <f t="shared" si="115"/>
        <v/>
      </c>
      <c r="Z2473" s="642" t="str">
        <f t="shared" si="116"/>
        <v/>
      </c>
    </row>
    <row r="2474" spans="1:26" s="127" customFormat="1" ht="25">
      <c r="A2474" s="636">
        <v>65669</v>
      </c>
      <c r="B2474" s="637" t="s">
        <v>33</v>
      </c>
      <c r="C2474" s="636" t="s">
        <v>2725</v>
      </c>
      <c r="D2474" s="637" t="s">
        <v>3758</v>
      </c>
      <c r="E2474" s="637" t="s">
        <v>3759</v>
      </c>
      <c r="F2474" s="636">
        <v>64938</v>
      </c>
      <c r="G2474" s="637" t="s">
        <v>81</v>
      </c>
      <c r="H2474" s="637" t="s">
        <v>1163</v>
      </c>
      <c r="I2474" s="637" t="s">
        <v>58</v>
      </c>
      <c r="J2474" s="636">
        <v>22</v>
      </c>
      <c r="K2474" s="636">
        <v>2</v>
      </c>
      <c r="L2474" s="637" t="s">
        <v>52</v>
      </c>
      <c r="M2474" s="637" t="s">
        <v>441</v>
      </c>
      <c r="N2474" s="637" t="s">
        <v>442</v>
      </c>
      <c r="O2474" s="637" t="s">
        <v>442</v>
      </c>
      <c r="P2474" s="637" t="s">
        <v>1156</v>
      </c>
      <c r="Q2474" s="638">
        <v>0</v>
      </c>
      <c r="R2474" s="638">
        <v>0</v>
      </c>
      <c r="S2474" s="638">
        <v>0</v>
      </c>
      <c r="T2474" s="638">
        <v>0</v>
      </c>
      <c r="U2474" s="638">
        <v>0</v>
      </c>
      <c r="V2474" s="636">
        <v>2022</v>
      </c>
      <c r="W2474" s="640"/>
      <c r="X2474" s="641" t="str">
        <f t="shared" si="114"/>
        <v/>
      </c>
      <c r="Y2474" s="642" t="str">
        <f t="shared" si="115"/>
        <v/>
      </c>
      <c r="Z2474" s="642" t="str">
        <f t="shared" si="116"/>
        <v/>
      </c>
    </row>
    <row r="2475" spans="1:26" s="127" customFormat="1" ht="25">
      <c r="A2475" s="636">
        <v>65670</v>
      </c>
      <c r="B2475" s="637" t="s">
        <v>33</v>
      </c>
      <c r="C2475" s="636" t="s">
        <v>2725</v>
      </c>
      <c r="D2475" s="637" t="s">
        <v>3760</v>
      </c>
      <c r="E2475" s="637" t="s">
        <v>3761</v>
      </c>
      <c r="F2475" s="636">
        <v>64939</v>
      </c>
      <c r="G2475" s="637" t="s">
        <v>81</v>
      </c>
      <c r="H2475" s="637" t="s">
        <v>1163</v>
      </c>
      <c r="I2475" s="637" t="s">
        <v>58</v>
      </c>
      <c r="J2475" s="636">
        <v>22</v>
      </c>
      <c r="K2475" s="636">
        <v>2</v>
      </c>
      <c r="L2475" s="637" t="s">
        <v>52</v>
      </c>
      <c r="M2475" s="637" t="s">
        <v>1852</v>
      </c>
      <c r="N2475" s="637" t="s">
        <v>1035</v>
      </c>
      <c r="O2475" s="637" t="s">
        <v>82</v>
      </c>
      <c r="P2475" s="637" t="s">
        <v>2726</v>
      </c>
      <c r="Q2475" s="638">
        <v>0</v>
      </c>
      <c r="R2475" s="638">
        <v>0</v>
      </c>
      <c r="S2475" s="638">
        <v>0</v>
      </c>
      <c r="T2475" s="638">
        <v>0</v>
      </c>
      <c r="U2475" s="638">
        <v>0</v>
      </c>
      <c r="V2475" s="636">
        <v>2022</v>
      </c>
      <c r="W2475" s="640"/>
      <c r="X2475" s="641" t="str">
        <f t="shared" si="114"/>
        <v/>
      </c>
      <c r="Y2475" s="642" t="str">
        <f t="shared" si="115"/>
        <v/>
      </c>
      <c r="Z2475" s="642" t="str">
        <f t="shared" si="116"/>
        <v/>
      </c>
    </row>
    <row r="2476" spans="1:26" s="127" customFormat="1" ht="25">
      <c r="A2476" s="636">
        <v>65670</v>
      </c>
      <c r="B2476" s="637" t="s">
        <v>33</v>
      </c>
      <c r="C2476" s="636" t="s">
        <v>2725</v>
      </c>
      <c r="D2476" s="637" t="s">
        <v>3760</v>
      </c>
      <c r="E2476" s="637" t="s">
        <v>3761</v>
      </c>
      <c r="F2476" s="636">
        <v>64939</v>
      </c>
      <c r="G2476" s="637" t="s">
        <v>81</v>
      </c>
      <c r="H2476" s="637" t="s">
        <v>1163</v>
      </c>
      <c r="I2476" s="637" t="s">
        <v>58</v>
      </c>
      <c r="J2476" s="636">
        <v>22</v>
      </c>
      <c r="K2476" s="636">
        <v>2</v>
      </c>
      <c r="L2476" s="637" t="s">
        <v>52</v>
      </c>
      <c r="M2476" s="637" t="s">
        <v>441</v>
      </c>
      <c r="N2476" s="637" t="s">
        <v>442</v>
      </c>
      <c r="O2476" s="637" t="s">
        <v>442</v>
      </c>
      <c r="P2476" s="637" t="s">
        <v>1156</v>
      </c>
      <c r="Q2476" s="638">
        <v>0</v>
      </c>
      <c r="R2476" s="638">
        <v>0</v>
      </c>
      <c r="S2476" s="638">
        <v>0</v>
      </c>
      <c r="T2476" s="638">
        <v>0</v>
      </c>
      <c r="U2476" s="638">
        <v>0</v>
      </c>
      <c r="V2476" s="636">
        <v>2022</v>
      </c>
      <c r="W2476" s="640"/>
      <c r="X2476" s="641" t="str">
        <f t="shared" si="114"/>
        <v/>
      </c>
      <c r="Y2476" s="642" t="str">
        <f t="shared" si="115"/>
        <v/>
      </c>
      <c r="Z2476" s="642" t="str">
        <f t="shared" si="116"/>
        <v/>
      </c>
    </row>
    <row r="2477" spans="1:26" s="127" customFormat="1" ht="25">
      <c r="A2477" s="636">
        <v>65679</v>
      </c>
      <c r="B2477" s="637" t="s">
        <v>33</v>
      </c>
      <c r="C2477" s="636" t="s">
        <v>2725</v>
      </c>
      <c r="D2477" s="637" t="s">
        <v>3762</v>
      </c>
      <c r="E2477" s="637" t="s">
        <v>3763</v>
      </c>
      <c r="F2477" s="636">
        <v>64950</v>
      </c>
      <c r="G2477" s="637" t="s">
        <v>57</v>
      </c>
      <c r="H2477" s="637" t="s">
        <v>1162</v>
      </c>
      <c r="I2477" s="637" t="s">
        <v>58</v>
      </c>
      <c r="J2477" s="636">
        <v>22</v>
      </c>
      <c r="K2477" s="636">
        <v>2</v>
      </c>
      <c r="L2477" s="637" t="s">
        <v>52</v>
      </c>
      <c r="M2477" s="637" t="s">
        <v>441</v>
      </c>
      <c r="N2477" s="637" t="s">
        <v>442</v>
      </c>
      <c r="O2477" s="637" t="s">
        <v>442</v>
      </c>
      <c r="P2477" s="637" t="s">
        <v>1156</v>
      </c>
      <c r="Q2477" s="638">
        <v>0</v>
      </c>
      <c r="R2477" s="638">
        <v>0</v>
      </c>
      <c r="S2477" s="638">
        <v>78172</v>
      </c>
      <c r="T2477" s="638">
        <v>78172</v>
      </c>
      <c r="U2477" s="638">
        <v>22911</v>
      </c>
      <c r="V2477" s="636">
        <v>2022</v>
      </c>
      <c r="W2477" s="640"/>
      <c r="X2477" s="641">
        <f t="shared" si="114"/>
        <v>3.4119855091440794</v>
      </c>
      <c r="Y2477" s="642" t="str">
        <f t="shared" si="115"/>
        <v/>
      </c>
      <c r="Z2477" s="642" t="str">
        <f t="shared" si="116"/>
        <v/>
      </c>
    </row>
    <row r="2478" spans="1:26" s="127" customFormat="1" ht="25">
      <c r="A2478" s="636">
        <v>65688</v>
      </c>
      <c r="B2478" s="637" t="s">
        <v>33</v>
      </c>
      <c r="C2478" s="636" t="s">
        <v>2725</v>
      </c>
      <c r="D2478" s="637" t="s">
        <v>3764</v>
      </c>
      <c r="E2478" s="637" t="s">
        <v>3764</v>
      </c>
      <c r="F2478" s="636">
        <v>64819</v>
      </c>
      <c r="G2478" s="637" t="s">
        <v>81</v>
      </c>
      <c r="H2478" s="637" t="s">
        <v>1163</v>
      </c>
      <c r="I2478" s="637" t="s">
        <v>58</v>
      </c>
      <c r="J2478" s="636">
        <v>22</v>
      </c>
      <c r="K2478" s="636">
        <v>2</v>
      </c>
      <c r="L2478" s="637" t="s">
        <v>52</v>
      </c>
      <c r="M2478" s="637" t="s">
        <v>441</v>
      </c>
      <c r="N2478" s="637" t="s">
        <v>442</v>
      </c>
      <c r="O2478" s="637" t="s">
        <v>442</v>
      </c>
      <c r="P2478" s="637" t="s">
        <v>1156</v>
      </c>
      <c r="Q2478" s="638">
        <v>0</v>
      </c>
      <c r="R2478" s="638">
        <v>0</v>
      </c>
      <c r="S2478" s="638">
        <v>21052</v>
      </c>
      <c r="T2478" s="638">
        <v>21052</v>
      </c>
      <c r="U2478" s="638">
        <v>6170</v>
      </c>
      <c r="V2478" s="636">
        <v>2022</v>
      </c>
      <c r="W2478" s="640"/>
      <c r="X2478" s="641">
        <f t="shared" si="114"/>
        <v>3.4119935170178284</v>
      </c>
      <c r="Y2478" s="642" t="str">
        <f t="shared" si="115"/>
        <v/>
      </c>
      <c r="Z2478" s="642" t="str">
        <f t="shared" si="116"/>
        <v/>
      </c>
    </row>
    <row r="2479" spans="1:26" s="127" customFormat="1" ht="25">
      <c r="A2479" s="636">
        <v>65690</v>
      </c>
      <c r="B2479" s="637" t="s">
        <v>33</v>
      </c>
      <c r="C2479" s="636" t="s">
        <v>2725</v>
      </c>
      <c r="D2479" s="637" t="s">
        <v>3765</v>
      </c>
      <c r="E2479" s="637" t="s">
        <v>3766</v>
      </c>
      <c r="F2479" s="636">
        <v>64818</v>
      </c>
      <c r="G2479" s="637" t="s">
        <v>81</v>
      </c>
      <c r="H2479" s="637" t="s">
        <v>1163</v>
      </c>
      <c r="I2479" s="637" t="s">
        <v>58</v>
      </c>
      <c r="J2479" s="636">
        <v>22</v>
      </c>
      <c r="K2479" s="636">
        <v>2</v>
      </c>
      <c r="L2479" s="637" t="s">
        <v>52</v>
      </c>
      <c r="M2479" s="637" t="s">
        <v>441</v>
      </c>
      <c r="N2479" s="637" t="s">
        <v>442</v>
      </c>
      <c r="O2479" s="637" t="s">
        <v>442</v>
      </c>
      <c r="P2479" s="637" t="s">
        <v>1156</v>
      </c>
      <c r="Q2479" s="638">
        <v>0</v>
      </c>
      <c r="R2479" s="638">
        <v>0</v>
      </c>
      <c r="S2479" s="638">
        <v>12068</v>
      </c>
      <c r="T2479" s="638">
        <v>12068</v>
      </c>
      <c r="U2479" s="638">
        <v>3537</v>
      </c>
      <c r="V2479" s="636">
        <v>2022</v>
      </c>
      <c r="W2479" s="640"/>
      <c r="X2479" s="641">
        <f t="shared" si="114"/>
        <v>3.4119310149844502</v>
      </c>
      <c r="Y2479" s="642" t="str">
        <f t="shared" si="115"/>
        <v/>
      </c>
      <c r="Z2479" s="642" t="str">
        <f t="shared" si="116"/>
        <v/>
      </c>
    </row>
    <row r="2480" spans="1:26" s="127" customFormat="1" ht="25">
      <c r="A2480" s="636">
        <v>65716</v>
      </c>
      <c r="B2480" s="637" t="s">
        <v>33</v>
      </c>
      <c r="C2480" s="636" t="s">
        <v>2725</v>
      </c>
      <c r="D2480" s="637" t="s">
        <v>3519</v>
      </c>
      <c r="E2480" s="637" t="s">
        <v>3520</v>
      </c>
      <c r="F2480" s="636">
        <v>64980</v>
      </c>
      <c r="G2480" s="637" t="s">
        <v>81</v>
      </c>
      <c r="H2480" s="637" t="s">
        <v>1163</v>
      </c>
      <c r="I2480" s="637" t="s">
        <v>58</v>
      </c>
      <c r="J2480" s="636">
        <v>22</v>
      </c>
      <c r="K2480" s="636">
        <v>2</v>
      </c>
      <c r="L2480" s="637" t="s">
        <v>52</v>
      </c>
      <c r="M2480" s="637" t="s">
        <v>441</v>
      </c>
      <c r="N2480" s="637" t="s">
        <v>442</v>
      </c>
      <c r="O2480" s="637" t="s">
        <v>442</v>
      </c>
      <c r="P2480" s="637" t="s">
        <v>1156</v>
      </c>
      <c r="Q2480" s="638">
        <v>0</v>
      </c>
      <c r="R2480" s="638">
        <v>0</v>
      </c>
      <c r="S2480" s="638">
        <v>12699</v>
      </c>
      <c r="T2480" s="638">
        <v>12699</v>
      </c>
      <c r="U2480" s="638">
        <v>3722</v>
      </c>
      <c r="V2480" s="636">
        <v>2022</v>
      </c>
      <c r="W2480" s="640"/>
      <c r="X2480" s="641">
        <f t="shared" si="114"/>
        <v>3.4118753358409459</v>
      </c>
      <c r="Y2480" s="642" t="str">
        <f t="shared" si="115"/>
        <v/>
      </c>
      <c r="Z2480" s="642" t="str">
        <f t="shared" si="116"/>
        <v/>
      </c>
    </row>
    <row r="2481" spans="1:26" s="127" customFormat="1" ht="25">
      <c r="A2481" s="636">
        <v>65717</v>
      </c>
      <c r="B2481" s="637" t="s">
        <v>33</v>
      </c>
      <c r="C2481" s="636" t="s">
        <v>2725</v>
      </c>
      <c r="D2481" s="637" t="s">
        <v>3521</v>
      </c>
      <c r="E2481" s="637" t="s">
        <v>3522</v>
      </c>
      <c r="F2481" s="636">
        <v>64981</v>
      </c>
      <c r="G2481" s="637" t="s">
        <v>81</v>
      </c>
      <c r="H2481" s="637" t="s">
        <v>1163</v>
      </c>
      <c r="I2481" s="637" t="s">
        <v>58</v>
      </c>
      <c r="J2481" s="636">
        <v>22</v>
      </c>
      <c r="K2481" s="636">
        <v>2</v>
      </c>
      <c r="L2481" s="637" t="s">
        <v>52</v>
      </c>
      <c r="M2481" s="637" t="s">
        <v>441</v>
      </c>
      <c r="N2481" s="637" t="s">
        <v>442</v>
      </c>
      <c r="O2481" s="637" t="s">
        <v>442</v>
      </c>
      <c r="P2481" s="637" t="s">
        <v>1156</v>
      </c>
      <c r="Q2481" s="638">
        <v>0</v>
      </c>
      <c r="R2481" s="638">
        <v>0</v>
      </c>
      <c r="S2481" s="638">
        <v>26133</v>
      </c>
      <c r="T2481" s="638">
        <v>26133</v>
      </c>
      <c r="U2481" s="638">
        <v>7659</v>
      </c>
      <c r="V2481" s="636">
        <v>2022</v>
      </c>
      <c r="W2481" s="640"/>
      <c r="X2481" s="641">
        <f t="shared" si="114"/>
        <v>3.4120642381511948</v>
      </c>
      <c r="Y2481" s="642" t="str">
        <f t="shared" si="115"/>
        <v/>
      </c>
      <c r="Z2481" s="642" t="str">
        <f t="shared" si="116"/>
        <v/>
      </c>
    </row>
    <row r="2482" spans="1:26" s="127" customFormat="1" ht="25">
      <c r="A2482" s="636">
        <v>65719</v>
      </c>
      <c r="B2482" s="637" t="s">
        <v>33</v>
      </c>
      <c r="C2482" s="636" t="s">
        <v>2725</v>
      </c>
      <c r="D2482" s="637" t="s">
        <v>3523</v>
      </c>
      <c r="E2482" s="637" t="s">
        <v>3524</v>
      </c>
      <c r="F2482" s="636">
        <v>64982</v>
      </c>
      <c r="G2482" s="637" t="s">
        <v>81</v>
      </c>
      <c r="H2482" s="637" t="s">
        <v>1163</v>
      </c>
      <c r="I2482" s="637" t="s">
        <v>58</v>
      </c>
      <c r="J2482" s="636">
        <v>22</v>
      </c>
      <c r="K2482" s="636">
        <v>2</v>
      </c>
      <c r="L2482" s="637" t="s">
        <v>52</v>
      </c>
      <c r="M2482" s="637" t="s">
        <v>441</v>
      </c>
      <c r="N2482" s="637" t="s">
        <v>442</v>
      </c>
      <c r="O2482" s="637" t="s">
        <v>442</v>
      </c>
      <c r="P2482" s="637" t="s">
        <v>1156</v>
      </c>
      <c r="Q2482" s="638">
        <v>0</v>
      </c>
      <c r="R2482" s="638">
        <v>0</v>
      </c>
      <c r="S2482" s="638">
        <v>8139</v>
      </c>
      <c r="T2482" s="638">
        <v>8139</v>
      </c>
      <c r="U2482" s="638">
        <v>2385</v>
      </c>
      <c r="V2482" s="636">
        <v>2022</v>
      </c>
      <c r="W2482" s="640"/>
      <c r="X2482" s="641">
        <f t="shared" si="114"/>
        <v>3.4125786163522012</v>
      </c>
      <c r="Y2482" s="642" t="str">
        <f t="shared" si="115"/>
        <v/>
      </c>
      <c r="Z2482" s="642" t="str">
        <f t="shared" si="116"/>
        <v/>
      </c>
    </row>
    <row r="2483" spans="1:26" s="127" customFormat="1" ht="25">
      <c r="A2483" s="636">
        <v>65720</v>
      </c>
      <c r="B2483" s="637" t="s">
        <v>33</v>
      </c>
      <c r="C2483" s="636" t="s">
        <v>2725</v>
      </c>
      <c r="D2483" s="637" t="s">
        <v>3525</v>
      </c>
      <c r="E2483" s="637" t="s">
        <v>3526</v>
      </c>
      <c r="F2483" s="636">
        <v>64984</v>
      </c>
      <c r="G2483" s="637" t="s">
        <v>81</v>
      </c>
      <c r="H2483" s="637" t="s">
        <v>1163</v>
      </c>
      <c r="I2483" s="637" t="s">
        <v>1135</v>
      </c>
      <c r="J2483" s="636">
        <v>22</v>
      </c>
      <c r="K2483" s="636">
        <v>2</v>
      </c>
      <c r="L2483" s="637" t="s">
        <v>52</v>
      </c>
      <c r="M2483" s="637" t="s">
        <v>441</v>
      </c>
      <c r="N2483" s="637" t="s">
        <v>442</v>
      </c>
      <c r="O2483" s="637" t="s">
        <v>442</v>
      </c>
      <c r="P2483" s="637" t="s">
        <v>1156</v>
      </c>
      <c r="Q2483" s="638">
        <v>0</v>
      </c>
      <c r="R2483" s="638">
        <v>0</v>
      </c>
      <c r="S2483" s="638">
        <v>30705</v>
      </c>
      <c r="T2483" s="638">
        <v>30705</v>
      </c>
      <c r="U2483" s="638">
        <v>8999</v>
      </c>
      <c r="V2483" s="636">
        <v>2022</v>
      </c>
      <c r="W2483" s="640"/>
      <c r="X2483" s="641">
        <f t="shared" si="114"/>
        <v>3.4120457828647628</v>
      </c>
      <c r="Y2483" s="642" t="str">
        <f t="shared" si="115"/>
        <v/>
      </c>
      <c r="Z2483" s="642" t="str">
        <f t="shared" si="116"/>
        <v/>
      </c>
    </row>
    <row r="2484" spans="1:26" s="127" customFormat="1" ht="25">
      <c r="A2484" s="636">
        <v>65721</v>
      </c>
      <c r="B2484" s="637" t="s">
        <v>33</v>
      </c>
      <c r="C2484" s="636" t="s">
        <v>2725</v>
      </c>
      <c r="D2484" s="637" t="s">
        <v>3527</v>
      </c>
      <c r="E2484" s="637" t="s">
        <v>3528</v>
      </c>
      <c r="F2484" s="636">
        <v>64985</v>
      </c>
      <c r="G2484" s="637" t="s">
        <v>57</v>
      </c>
      <c r="H2484" s="637" t="s">
        <v>1162</v>
      </c>
      <c r="I2484" s="637" t="s">
        <v>58</v>
      </c>
      <c r="J2484" s="636">
        <v>22</v>
      </c>
      <c r="K2484" s="636">
        <v>2</v>
      </c>
      <c r="L2484" s="637" t="s">
        <v>52</v>
      </c>
      <c r="M2484" s="637" t="s">
        <v>441</v>
      </c>
      <c r="N2484" s="637" t="s">
        <v>442</v>
      </c>
      <c r="O2484" s="637" t="s">
        <v>442</v>
      </c>
      <c r="P2484" s="637" t="s">
        <v>1156</v>
      </c>
      <c r="Q2484" s="638">
        <v>0</v>
      </c>
      <c r="R2484" s="638">
        <v>0</v>
      </c>
      <c r="S2484" s="638">
        <v>30076</v>
      </c>
      <c r="T2484" s="638">
        <v>30076</v>
      </c>
      <c r="U2484" s="638">
        <v>8815</v>
      </c>
      <c r="V2484" s="636">
        <v>2022</v>
      </c>
      <c r="W2484" s="640"/>
      <c r="X2484" s="641">
        <f t="shared" si="114"/>
        <v>3.411911514463982</v>
      </c>
      <c r="Y2484" s="642" t="str">
        <f t="shared" si="115"/>
        <v/>
      </c>
      <c r="Z2484" s="642" t="str">
        <f t="shared" si="116"/>
        <v/>
      </c>
    </row>
    <row r="2485" spans="1:26" s="127" customFormat="1" ht="25">
      <c r="A2485" s="636">
        <v>65722</v>
      </c>
      <c r="B2485" s="637" t="s">
        <v>33</v>
      </c>
      <c r="C2485" s="636" t="s">
        <v>2725</v>
      </c>
      <c r="D2485" s="637" t="s">
        <v>3529</v>
      </c>
      <c r="E2485" s="637" t="s">
        <v>3530</v>
      </c>
      <c r="F2485" s="636">
        <v>64882</v>
      </c>
      <c r="G2485" s="637" t="s">
        <v>81</v>
      </c>
      <c r="H2485" s="637" t="s">
        <v>1163</v>
      </c>
      <c r="I2485" s="637" t="s">
        <v>1135</v>
      </c>
      <c r="J2485" s="636">
        <v>22</v>
      </c>
      <c r="K2485" s="636">
        <v>2</v>
      </c>
      <c r="L2485" s="637" t="s">
        <v>52</v>
      </c>
      <c r="M2485" s="637" t="s">
        <v>441</v>
      </c>
      <c r="N2485" s="637" t="s">
        <v>442</v>
      </c>
      <c r="O2485" s="637" t="s">
        <v>442</v>
      </c>
      <c r="P2485" s="637" t="s">
        <v>1156</v>
      </c>
      <c r="Q2485" s="638">
        <v>0</v>
      </c>
      <c r="R2485" s="638">
        <v>0</v>
      </c>
      <c r="S2485" s="638">
        <v>4609</v>
      </c>
      <c r="T2485" s="638">
        <v>4609</v>
      </c>
      <c r="U2485" s="638">
        <v>1351</v>
      </c>
      <c r="V2485" s="636">
        <v>2022</v>
      </c>
      <c r="W2485" s="640"/>
      <c r="X2485" s="641">
        <f t="shared" si="114"/>
        <v>3.4115470022205772</v>
      </c>
      <c r="Y2485" s="642" t="str">
        <f t="shared" si="115"/>
        <v/>
      </c>
      <c r="Z2485" s="642" t="str">
        <f t="shared" si="116"/>
        <v/>
      </c>
    </row>
    <row r="2486" spans="1:26" s="127" customFormat="1" ht="25">
      <c r="A2486" s="636">
        <v>65723</v>
      </c>
      <c r="B2486" s="637" t="s">
        <v>33</v>
      </c>
      <c r="C2486" s="636" t="s">
        <v>2725</v>
      </c>
      <c r="D2486" s="637" t="s">
        <v>3531</v>
      </c>
      <c r="E2486" s="637" t="s">
        <v>3532</v>
      </c>
      <c r="F2486" s="636">
        <v>64986</v>
      </c>
      <c r="G2486" s="637" t="s">
        <v>57</v>
      </c>
      <c r="H2486" s="637" t="s">
        <v>1162</v>
      </c>
      <c r="I2486" s="637" t="s">
        <v>58</v>
      </c>
      <c r="J2486" s="636">
        <v>22</v>
      </c>
      <c r="K2486" s="636">
        <v>2</v>
      </c>
      <c r="L2486" s="637" t="s">
        <v>52</v>
      </c>
      <c r="M2486" s="637" t="s">
        <v>441</v>
      </c>
      <c r="N2486" s="637" t="s">
        <v>442</v>
      </c>
      <c r="O2486" s="637" t="s">
        <v>442</v>
      </c>
      <c r="P2486" s="637" t="s">
        <v>1156</v>
      </c>
      <c r="Q2486" s="638">
        <v>0</v>
      </c>
      <c r="R2486" s="638">
        <v>0</v>
      </c>
      <c r="S2486" s="638">
        <v>30174</v>
      </c>
      <c r="T2486" s="638">
        <v>30174</v>
      </c>
      <c r="U2486" s="638">
        <v>8843</v>
      </c>
      <c r="V2486" s="636">
        <v>2022</v>
      </c>
      <c r="W2486" s="640"/>
      <c r="X2486" s="641">
        <f t="shared" si="114"/>
        <v>3.4121904331109354</v>
      </c>
      <c r="Y2486" s="642" t="str">
        <f t="shared" si="115"/>
        <v/>
      </c>
      <c r="Z2486" s="642" t="str">
        <f t="shared" si="116"/>
        <v/>
      </c>
    </row>
    <row r="2487" spans="1:26" s="127" customFormat="1" ht="25">
      <c r="A2487" s="636">
        <v>65724</v>
      </c>
      <c r="B2487" s="637" t="s">
        <v>33</v>
      </c>
      <c r="C2487" s="636" t="s">
        <v>2725</v>
      </c>
      <c r="D2487" s="637" t="s">
        <v>3533</v>
      </c>
      <c r="E2487" s="637" t="s">
        <v>3534</v>
      </c>
      <c r="F2487" s="636">
        <v>64987</v>
      </c>
      <c r="G2487" s="637" t="s">
        <v>57</v>
      </c>
      <c r="H2487" s="637" t="s">
        <v>1162</v>
      </c>
      <c r="I2487" s="637" t="s">
        <v>58</v>
      </c>
      <c r="J2487" s="636">
        <v>22</v>
      </c>
      <c r="K2487" s="636">
        <v>2</v>
      </c>
      <c r="L2487" s="637" t="s">
        <v>52</v>
      </c>
      <c r="M2487" s="637" t="s">
        <v>441</v>
      </c>
      <c r="N2487" s="637" t="s">
        <v>442</v>
      </c>
      <c r="O2487" s="637" t="s">
        <v>442</v>
      </c>
      <c r="P2487" s="637" t="s">
        <v>1156</v>
      </c>
      <c r="Q2487" s="638">
        <v>0</v>
      </c>
      <c r="R2487" s="638">
        <v>0</v>
      </c>
      <c r="S2487" s="638">
        <v>25915</v>
      </c>
      <c r="T2487" s="638">
        <v>25915</v>
      </c>
      <c r="U2487" s="638">
        <v>7595</v>
      </c>
      <c r="V2487" s="636">
        <v>2022</v>
      </c>
      <c r="W2487" s="640"/>
      <c r="X2487" s="641">
        <f t="shared" si="114"/>
        <v>3.4121132323897303</v>
      </c>
      <c r="Y2487" s="642" t="str">
        <f t="shared" si="115"/>
        <v/>
      </c>
      <c r="Z2487" s="642" t="str">
        <f t="shared" si="116"/>
        <v/>
      </c>
    </row>
    <row r="2488" spans="1:26" s="127" customFormat="1" ht="25">
      <c r="A2488" s="636">
        <v>65752</v>
      </c>
      <c r="B2488" s="637" t="s">
        <v>33</v>
      </c>
      <c r="C2488" s="636" t="s">
        <v>2725</v>
      </c>
      <c r="D2488" s="637" t="s">
        <v>3767</v>
      </c>
      <c r="E2488" s="637" t="s">
        <v>3512</v>
      </c>
      <c r="F2488" s="636">
        <v>63466</v>
      </c>
      <c r="G2488" s="637" t="s">
        <v>57</v>
      </c>
      <c r="H2488" s="637" t="s">
        <v>1162</v>
      </c>
      <c r="I2488" s="637" t="s">
        <v>58</v>
      </c>
      <c r="J2488" s="636">
        <v>22</v>
      </c>
      <c r="K2488" s="636">
        <v>2</v>
      </c>
      <c r="L2488" s="637" t="s">
        <v>52</v>
      </c>
      <c r="M2488" s="637" t="s">
        <v>441</v>
      </c>
      <c r="N2488" s="637" t="s">
        <v>442</v>
      </c>
      <c r="O2488" s="637" t="s">
        <v>442</v>
      </c>
      <c r="P2488" s="637" t="s">
        <v>1156</v>
      </c>
      <c r="Q2488" s="638">
        <v>0</v>
      </c>
      <c r="R2488" s="638">
        <v>0</v>
      </c>
      <c r="S2488" s="638">
        <v>11670</v>
      </c>
      <c r="T2488" s="638">
        <v>11670</v>
      </c>
      <c r="U2488" s="638">
        <v>3420</v>
      </c>
      <c r="V2488" s="636">
        <v>2022</v>
      </c>
      <c r="W2488" s="640"/>
      <c r="X2488" s="641">
        <f t="shared" si="114"/>
        <v>3.4122807017543861</v>
      </c>
      <c r="Y2488" s="642" t="str">
        <f t="shared" si="115"/>
        <v/>
      </c>
      <c r="Z2488" s="642" t="str">
        <f t="shared" si="116"/>
        <v/>
      </c>
    </row>
    <row r="2489" spans="1:26" s="127" customFormat="1" ht="25">
      <c r="A2489" s="636">
        <v>65753</v>
      </c>
      <c r="B2489" s="637" t="s">
        <v>33</v>
      </c>
      <c r="C2489" s="636" t="s">
        <v>2725</v>
      </c>
      <c r="D2489" s="637" t="s">
        <v>3768</v>
      </c>
      <c r="E2489" s="637" t="s">
        <v>3512</v>
      </c>
      <c r="F2489" s="636">
        <v>63466</v>
      </c>
      <c r="G2489" s="637" t="s">
        <v>57</v>
      </c>
      <c r="H2489" s="637" t="s">
        <v>1162</v>
      </c>
      <c r="I2489" s="637" t="s">
        <v>58</v>
      </c>
      <c r="J2489" s="636">
        <v>22</v>
      </c>
      <c r="K2489" s="636">
        <v>2</v>
      </c>
      <c r="L2489" s="637" t="s">
        <v>52</v>
      </c>
      <c r="M2489" s="637" t="s">
        <v>441</v>
      </c>
      <c r="N2489" s="637" t="s">
        <v>442</v>
      </c>
      <c r="O2489" s="637" t="s">
        <v>442</v>
      </c>
      <c r="P2489" s="637" t="s">
        <v>1156</v>
      </c>
      <c r="Q2489" s="638">
        <v>0</v>
      </c>
      <c r="R2489" s="638">
        <v>0</v>
      </c>
      <c r="S2489" s="638">
        <v>26931</v>
      </c>
      <c r="T2489" s="638">
        <v>26931</v>
      </c>
      <c r="U2489" s="638">
        <v>7893</v>
      </c>
      <c r="V2489" s="636">
        <v>2022</v>
      </c>
      <c r="W2489" s="640"/>
      <c r="X2489" s="641">
        <f t="shared" si="114"/>
        <v>3.4120106423413152</v>
      </c>
      <c r="Y2489" s="642" t="str">
        <f t="shared" si="115"/>
        <v/>
      </c>
      <c r="Z2489" s="642" t="str">
        <f t="shared" si="116"/>
        <v/>
      </c>
    </row>
    <row r="2490" spans="1:26" s="127" customFormat="1" ht="25">
      <c r="A2490" s="636">
        <v>65754</v>
      </c>
      <c r="B2490" s="637" t="s">
        <v>33</v>
      </c>
      <c r="C2490" s="636" t="s">
        <v>2725</v>
      </c>
      <c r="D2490" s="637" t="s">
        <v>3769</v>
      </c>
      <c r="E2490" s="637" t="s">
        <v>3512</v>
      </c>
      <c r="F2490" s="636">
        <v>63466</v>
      </c>
      <c r="G2490" s="637" t="s">
        <v>57</v>
      </c>
      <c r="H2490" s="637" t="s">
        <v>1162</v>
      </c>
      <c r="I2490" s="637" t="s">
        <v>58</v>
      </c>
      <c r="J2490" s="636">
        <v>22</v>
      </c>
      <c r="K2490" s="636">
        <v>2</v>
      </c>
      <c r="L2490" s="637" t="s">
        <v>52</v>
      </c>
      <c r="M2490" s="637" t="s">
        <v>441</v>
      </c>
      <c r="N2490" s="637" t="s">
        <v>442</v>
      </c>
      <c r="O2490" s="637" t="s">
        <v>442</v>
      </c>
      <c r="P2490" s="637" t="s">
        <v>1156</v>
      </c>
      <c r="Q2490" s="638">
        <v>0</v>
      </c>
      <c r="R2490" s="638">
        <v>0</v>
      </c>
      <c r="S2490" s="638">
        <v>28866</v>
      </c>
      <c r="T2490" s="638">
        <v>28866</v>
      </c>
      <c r="U2490" s="638">
        <v>8460</v>
      </c>
      <c r="V2490" s="636">
        <v>2022</v>
      </c>
      <c r="W2490" s="640"/>
      <c r="X2490" s="641">
        <f t="shared" si="114"/>
        <v>3.4120567375886526</v>
      </c>
      <c r="Y2490" s="642" t="str">
        <f t="shared" si="115"/>
        <v/>
      </c>
      <c r="Z2490" s="642" t="str">
        <f t="shared" si="116"/>
        <v/>
      </c>
    </row>
    <row r="2491" spans="1:26" s="127" customFormat="1" ht="25">
      <c r="A2491" s="636">
        <v>65755</v>
      </c>
      <c r="B2491" s="637" t="s">
        <v>33</v>
      </c>
      <c r="C2491" s="636" t="s">
        <v>2725</v>
      </c>
      <c r="D2491" s="637" t="s">
        <v>3770</v>
      </c>
      <c r="E2491" s="637" t="s">
        <v>3512</v>
      </c>
      <c r="F2491" s="636">
        <v>63466</v>
      </c>
      <c r="G2491" s="637" t="s">
        <v>57</v>
      </c>
      <c r="H2491" s="637" t="s">
        <v>1162</v>
      </c>
      <c r="I2491" s="637" t="s">
        <v>58</v>
      </c>
      <c r="J2491" s="636">
        <v>22</v>
      </c>
      <c r="K2491" s="636">
        <v>2</v>
      </c>
      <c r="L2491" s="637" t="s">
        <v>52</v>
      </c>
      <c r="M2491" s="637" t="s">
        <v>441</v>
      </c>
      <c r="N2491" s="637" t="s">
        <v>442</v>
      </c>
      <c r="O2491" s="637" t="s">
        <v>442</v>
      </c>
      <c r="P2491" s="637" t="s">
        <v>1156</v>
      </c>
      <c r="Q2491" s="638">
        <v>0</v>
      </c>
      <c r="R2491" s="638">
        <v>0</v>
      </c>
      <c r="S2491" s="638">
        <v>12420</v>
      </c>
      <c r="T2491" s="638">
        <v>12420</v>
      </c>
      <c r="U2491" s="638">
        <v>3640</v>
      </c>
      <c r="V2491" s="636">
        <v>2022</v>
      </c>
      <c r="W2491" s="640"/>
      <c r="X2491" s="641">
        <f t="shared" si="114"/>
        <v>3.412087912087912</v>
      </c>
      <c r="Y2491" s="642" t="str">
        <f t="shared" si="115"/>
        <v/>
      </c>
      <c r="Z2491" s="642" t="str">
        <f t="shared" si="116"/>
        <v/>
      </c>
    </row>
    <row r="2492" spans="1:26" s="127" customFormat="1" ht="25">
      <c r="A2492" s="636">
        <v>65757</v>
      </c>
      <c r="B2492" s="637" t="s">
        <v>33</v>
      </c>
      <c r="C2492" s="636" t="s">
        <v>2725</v>
      </c>
      <c r="D2492" s="637" t="s">
        <v>3771</v>
      </c>
      <c r="E2492" s="637" t="s">
        <v>3512</v>
      </c>
      <c r="F2492" s="636">
        <v>63466</v>
      </c>
      <c r="G2492" s="637" t="s">
        <v>57</v>
      </c>
      <c r="H2492" s="637" t="s">
        <v>1162</v>
      </c>
      <c r="I2492" s="637" t="s">
        <v>58</v>
      </c>
      <c r="J2492" s="636">
        <v>22</v>
      </c>
      <c r="K2492" s="636">
        <v>2</v>
      </c>
      <c r="L2492" s="637" t="s">
        <v>52</v>
      </c>
      <c r="M2492" s="637" t="s">
        <v>441</v>
      </c>
      <c r="N2492" s="637" t="s">
        <v>442</v>
      </c>
      <c r="O2492" s="637" t="s">
        <v>442</v>
      </c>
      <c r="P2492" s="637" t="s">
        <v>1156</v>
      </c>
      <c r="Q2492" s="638">
        <v>0</v>
      </c>
      <c r="R2492" s="638">
        <v>0</v>
      </c>
      <c r="S2492" s="638">
        <v>12226</v>
      </c>
      <c r="T2492" s="638">
        <v>12226</v>
      </c>
      <c r="U2492" s="638">
        <v>3583</v>
      </c>
      <c r="V2492" s="636">
        <v>2022</v>
      </c>
      <c r="W2492" s="640"/>
      <c r="X2492" s="641">
        <f t="shared" si="114"/>
        <v>3.4122243929667877</v>
      </c>
      <c r="Y2492" s="642" t="str">
        <f t="shared" si="115"/>
        <v/>
      </c>
      <c r="Z2492" s="642" t="str">
        <f t="shared" si="116"/>
        <v/>
      </c>
    </row>
    <row r="2493" spans="1:26" s="127" customFormat="1" ht="25">
      <c r="A2493" s="636">
        <v>65768</v>
      </c>
      <c r="B2493" s="637" t="s">
        <v>33</v>
      </c>
      <c r="C2493" s="636" t="s">
        <v>2725</v>
      </c>
      <c r="D2493" s="637" t="s">
        <v>3535</v>
      </c>
      <c r="E2493" s="637" t="s">
        <v>1142</v>
      </c>
      <c r="F2493" s="636">
        <v>17127</v>
      </c>
      <c r="G2493" s="637" t="s">
        <v>81</v>
      </c>
      <c r="H2493" s="637" t="s">
        <v>1163</v>
      </c>
      <c r="I2493" s="637" t="s">
        <v>58</v>
      </c>
      <c r="J2493" s="636">
        <v>22</v>
      </c>
      <c r="K2493" s="636">
        <v>1</v>
      </c>
      <c r="L2493" s="637" t="s">
        <v>34</v>
      </c>
      <c r="M2493" s="637" t="s">
        <v>51</v>
      </c>
      <c r="N2493" s="637" t="s">
        <v>39</v>
      </c>
      <c r="O2493" s="637" t="s">
        <v>39</v>
      </c>
      <c r="P2493" s="637" t="s">
        <v>1020</v>
      </c>
      <c r="Q2493" s="638">
        <v>2880</v>
      </c>
      <c r="R2493" s="638">
        <v>2880</v>
      </c>
      <c r="S2493" s="638">
        <v>2972</v>
      </c>
      <c r="T2493" s="638">
        <v>2972</v>
      </c>
      <c r="U2493" s="638">
        <v>255</v>
      </c>
      <c r="V2493" s="636">
        <v>2022</v>
      </c>
      <c r="W2493" s="640"/>
      <c r="X2493" s="641">
        <f t="shared" si="114"/>
        <v>11.654901960784313</v>
      </c>
      <c r="Y2493" s="642" t="str">
        <f t="shared" si="115"/>
        <v/>
      </c>
      <c r="Z2493" s="642" t="str">
        <f t="shared" si="116"/>
        <v/>
      </c>
    </row>
    <row r="2494" spans="1:26" s="127" customFormat="1" ht="25">
      <c r="A2494" s="636">
        <v>65775</v>
      </c>
      <c r="B2494" s="637" t="s">
        <v>33</v>
      </c>
      <c r="C2494" s="636" t="s">
        <v>2725</v>
      </c>
      <c r="D2494" s="637" t="s">
        <v>3772</v>
      </c>
      <c r="E2494" s="637" t="s">
        <v>3773</v>
      </c>
      <c r="F2494" s="636">
        <v>65030</v>
      </c>
      <c r="G2494" s="637" t="s">
        <v>57</v>
      </c>
      <c r="H2494" s="637" t="s">
        <v>1162</v>
      </c>
      <c r="I2494" s="637" t="s">
        <v>58</v>
      </c>
      <c r="J2494" s="636">
        <v>22</v>
      </c>
      <c r="K2494" s="636">
        <v>2</v>
      </c>
      <c r="L2494" s="637" t="s">
        <v>52</v>
      </c>
      <c r="M2494" s="637" t="s">
        <v>441</v>
      </c>
      <c r="N2494" s="637" t="s">
        <v>442</v>
      </c>
      <c r="O2494" s="637" t="s">
        <v>442</v>
      </c>
      <c r="P2494" s="637" t="s">
        <v>1156</v>
      </c>
      <c r="Q2494" s="638">
        <v>0</v>
      </c>
      <c r="R2494" s="638">
        <v>0</v>
      </c>
      <c r="S2494" s="638">
        <v>12986</v>
      </c>
      <c r="T2494" s="638">
        <v>12986</v>
      </c>
      <c r="U2494" s="638">
        <v>3806</v>
      </c>
      <c r="V2494" s="636">
        <v>2022</v>
      </c>
      <c r="W2494" s="640"/>
      <c r="X2494" s="641">
        <f t="shared" si="114"/>
        <v>3.4119810825013137</v>
      </c>
      <c r="Y2494" s="642" t="str">
        <f t="shared" si="115"/>
        <v/>
      </c>
      <c r="Z2494" s="642" t="str">
        <f t="shared" si="116"/>
        <v/>
      </c>
    </row>
    <row r="2495" spans="1:26" s="127" customFormat="1" ht="25">
      <c r="A2495" s="636">
        <v>65776</v>
      </c>
      <c r="B2495" s="637" t="s">
        <v>33</v>
      </c>
      <c r="C2495" s="636" t="s">
        <v>2725</v>
      </c>
      <c r="D2495" s="637" t="s">
        <v>3774</v>
      </c>
      <c r="E2495" s="637" t="s">
        <v>3774</v>
      </c>
      <c r="F2495" s="636">
        <v>65028</v>
      </c>
      <c r="G2495" s="637" t="s">
        <v>57</v>
      </c>
      <c r="H2495" s="637" t="s">
        <v>1162</v>
      </c>
      <c r="I2495" s="637" t="s">
        <v>58</v>
      </c>
      <c r="J2495" s="636">
        <v>22</v>
      </c>
      <c r="K2495" s="636">
        <v>2</v>
      </c>
      <c r="L2495" s="637" t="s">
        <v>52</v>
      </c>
      <c r="M2495" s="637" t="s">
        <v>441</v>
      </c>
      <c r="N2495" s="637" t="s">
        <v>442</v>
      </c>
      <c r="O2495" s="637" t="s">
        <v>442</v>
      </c>
      <c r="P2495" s="637" t="s">
        <v>1156</v>
      </c>
      <c r="Q2495" s="638">
        <v>0</v>
      </c>
      <c r="R2495" s="638">
        <v>0</v>
      </c>
      <c r="S2495" s="638">
        <v>10283</v>
      </c>
      <c r="T2495" s="638">
        <v>10283</v>
      </c>
      <c r="U2495" s="638">
        <v>3014</v>
      </c>
      <c r="V2495" s="636">
        <v>2022</v>
      </c>
      <c r="W2495" s="640"/>
      <c r="X2495" s="641">
        <f t="shared" si="114"/>
        <v>3.4117451891174517</v>
      </c>
      <c r="Y2495" s="642" t="str">
        <f t="shared" si="115"/>
        <v/>
      </c>
      <c r="Z2495" s="642" t="str">
        <f t="shared" si="116"/>
        <v/>
      </c>
    </row>
    <row r="2496" spans="1:26" s="127" customFormat="1" ht="25">
      <c r="A2496" s="636">
        <v>65777</v>
      </c>
      <c r="B2496" s="637" t="s">
        <v>33</v>
      </c>
      <c r="C2496" s="636" t="s">
        <v>2725</v>
      </c>
      <c r="D2496" s="637" t="s">
        <v>3775</v>
      </c>
      <c r="E2496" s="637" t="s">
        <v>3776</v>
      </c>
      <c r="F2496" s="636">
        <v>65029</v>
      </c>
      <c r="G2496" s="637" t="s">
        <v>57</v>
      </c>
      <c r="H2496" s="637" t="s">
        <v>1162</v>
      </c>
      <c r="I2496" s="637" t="s">
        <v>58</v>
      </c>
      <c r="J2496" s="636">
        <v>22</v>
      </c>
      <c r="K2496" s="636">
        <v>2</v>
      </c>
      <c r="L2496" s="637" t="s">
        <v>52</v>
      </c>
      <c r="M2496" s="637" t="s">
        <v>441</v>
      </c>
      <c r="N2496" s="637" t="s">
        <v>442</v>
      </c>
      <c r="O2496" s="637" t="s">
        <v>442</v>
      </c>
      <c r="P2496" s="637" t="s">
        <v>1156</v>
      </c>
      <c r="Q2496" s="638">
        <v>0</v>
      </c>
      <c r="R2496" s="638">
        <v>0</v>
      </c>
      <c r="S2496" s="638">
        <v>12344</v>
      </c>
      <c r="T2496" s="638">
        <v>12344</v>
      </c>
      <c r="U2496" s="638">
        <v>3618</v>
      </c>
      <c r="V2496" s="636">
        <v>2022</v>
      </c>
      <c r="W2496" s="640"/>
      <c r="X2496" s="641">
        <f t="shared" si="114"/>
        <v>3.4118297401879492</v>
      </c>
      <c r="Y2496" s="642" t="str">
        <f t="shared" si="115"/>
        <v/>
      </c>
      <c r="Z2496" s="642" t="str">
        <f t="shared" si="116"/>
        <v/>
      </c>
    </row>
    <row r="2497" spans="1:26" s="127" customFormat="1" ht="25">
      <c r="A2497" s="636">
        <v>65784</v>
      </c>
      <c r="B2497" s="637" t="s">
        <v>33</v>
      </c>
      <c r="C2497" s="636" t="s">
        <v>2725</v>
      </c>
      <c r="D2497" s="637" t="s">
        <v>3777</v>
      </c>
      <c r="E2497" s="637" t="s">
        <v>3450</v>
      </c>
      <c r="F2497" s="636">
        <v>64426</v>
      </c>
      <c r="G2497" s="637" t="s">
        <v>41</v>
      </c>
      <c r="H2497" s="637" t="s">
        <v>1163</v>
      </c>
      <c r="I2497" s="637" t="s">
        <v>58</v>
      </c>
      <c r="J2497" s="636">
        <v>22</v>
      </c>
      <c r="K2497" s="636">
        <v>2</v>
      </c>
      <c r="L2497" s="637" t="s">
        <v>52</v>
      </c>
      <c r="M2497" s="637" t="s">
        <v>441</v>
      </c>
      <c r="N2497" s="637" t="s">
        <v>442</v>
      </c>
      <c r="O2497" s="637" t="s">
        <v>442</v>
      </c>
      <c r="P2497" s="637" t="s">
        <v>1156</v>
      </c>
      <c r="Q2497" s="638">
        <v>0</v>
      </c>
      <c r="R2497" s="638">
        <v>0</v>
      </c>
      <c r="S2497" s="638">
        <v>11049</v>
      </c>
      <c r="T2497" s="638">
        <v>11049</v>
      </c>
      <c r="U2497" s="638">
        <v>3238</v>
      </c>
      <c r="V2497" s="636">
        <v>2022</v>
      </c>
      <c r="W2497" s="640"/>
      <c r="X2497" s="641">
        <f t="shared" si="114"/>
        <v>3.4122915379864112</v>
      </c>
      <c r="Y2497" s="642" t="str">
        <f t="shared" si="115"/>
        <v/>
      </c>
      <c r="Z2497" s="642" t="str">
        <f t="shared" si="116"/>
        <v/>
      </c>
    </row>
    <row r="2498" spans="1:26" s="127" customFormat="1" ht="25">
      <c r="A2498" s="636">
        <v>65785</v>
      </c>
      <c r="B2498" s="637" t="s">
        <v>33</v>
      </c>
      <c r="C2498" s="636" t="s">
        <v>2725</v>
      </c>
      <c r="D2498" s="637" t="s">
        <v>3778</v>
      </c>
      <c r="E2498" s="637" t="s">
        <v>3779</v>
      </c>
      <c r="F2498" s="636">
        <v>65032</v>
      </c>
      <c r="G2498" s="637" t="s">
        <v>57</v>
      </c>
      <c r="H2498" s="637" t="s">
        <v>1162</v>
      </c>
      <c r="I2498" s="637" t="s">
        <v>58</v>
      </c>
      <c r="J2498" s="636">
        <v>22</v>
      </c>
      <c r="K2498" s="636">
        <v>2</v>
      </c>
      <c r="L2498" s="637" t="s">
        <v>52</v>
      </c>
      <c r="M2498" s="637" t="s">
        <v>441</v>
      </c>
      <c r="N2498" s="637" t="s">
        <v>442</v>
      </c>
      <c r="O2498" s="637" t="s">
        <v>442</v>
      </c>
      <c r="P2498" s="637" t="s">
        <v>1156</v>
      </c>
      <c r="Q2498" s="638">
        <v>0</v>
      </c>
      <c r="R2498" s="638">
        <v>0</v>
      </c>
      <c r="S2498" s="638">
        <v>25863</v>
      </c>
      <c r="T2498" s="638">
        <v>25863</v>
      </c>
      <c r="U2498" s="638">
        <v>7580</v>
      </c>
      <c r="V2498" s="636">
        <v>2022</v>
      </c>
      <c r="W2498" s="640"/>
      <c r="X2498" s="641">
        <f t="shared" si="114"/>
        <v>3.4120052770448548</v>
      </c>
      <c r="Y2498" s="642" t="str">
        <f t="shared" si="115"/>
        <v/>
      </c>
      <c r="Z2498" s="642" t="str">
        <f t="shared" si="116"/>
        <v/>
      </c>
    </row>
    <row r="2499" spans="1:26" s="127" customFormat="1" ht="25">
      <c r="A2499" s="636">
        <v>65786</v>
      </c>
      <c r="B2499" s="637" t="s">
        <v>33</v>
      </c>
      <c r="C2499" s="636" t="s">
        <v>2725</v>
      </c>
      <c r="D2499" s="637" t="s">
        <v>3780</v>
      </c>
      <c r="E2499" s="637" t="s">
        <v>3781</v>
      </c>
      <c r="F2499" s="636">
        <v>65033</v>
      </c>
      <c r="G2499" s="637" t="s">
        <v>57</v>
      </c>
      <c r="H2499" s="637" t="s">
        <v>1162</v>
      </c>
      <c r="I2499" s="637" t="s">
        <v>58</v>
      </c>
      <c r="J2499" s="636">
        <v>22</v>
      </c>
      <c r="K2499" s="636">
        <v>2</v>
      </c>
      <c r="L2499" s="637" t="s">
        <v>52</v>
      </c>
      <c r="M2499" s="637" t="s">
        <v>441</v>
      </c>
      <c r="N2499" s="637" t="s">
        <v>442</v>
      </c>
      <c r="O2499" s="637" t="s">
        <v>442</v>
      </c>
      <c r="P2499" s="637" t="s">
        <v>1156</v>
      </c>
      <c r="Q2499" s="638">
        <v>0</v>
      </c>
      <c r="R2499" s="638">
        <v>0</v>
      </c>
      <c r="S2499" s="638">
        <v>14822</v>
      </c>
      <c r="T2499" s="638">
        <v>14822</v>
      </c>
      <c r="U2499" s="638">
        <v>4344</v>
      </c>
      <c r="V2499" s="636">
        <v>2022</v>
      </c>
      <c r="W2499" s="640"/>
      <c r="X2499" s="641">
        <f t="shared" si="114"/>
        <v>3.4120626151012892</v>
      </c>
      <c r="Y2499" s="642" t="str">
        <f t="shared" si="115"/>
        <v/>
      </c>
      <c r="Z2499" s="642" t="str">
        <f t="shared" si="116"/>
        <v/>
      </c>
    </row>
    <row r="2500" spans="1:26" s="127" customFormat="1" ht="25">
      <c r="A2500" s="636">
        <v>65815</v>
      </c>
      <c r="B2500" s="637" t="s">
        <v>33</v>
      </c>
      <c r="C2500" s="636" t="s">
        <v>2725</v>
      </c>
      <c r="D2500" s="637" t="s">
        <v>3782</v>
      </c>
      <c r="E2500" s="637" t="s">
        <v>3782</v>
      </c>
      <c r="F2500" s="636">
        <v>65056</v>
      </c>
      <c r="G2500" s="637" t="s">
        <v>57</v>
      </c>
      <c r="H2500" s="637" t="s">
        <v>1162</v>
      </c>
      <c r="I2500" s="637" t="s">
        <v>58</v>
      </c>
      <c r="J2500" s="636">
        <v>22</v>
      </c>
      <c r="K2500" s="636">
        <v>2</v>
      </c>
      <c r="L2500" s="637" t="s">
        <v>52</v>
      </c>
      <c r="M2500" s="637" t="s">
        <v>1852</v>
      </c>
      <c r="N2500" s="637" t="s">
        <v>1035</v>
      </c>
      <c r="O2500" s="637" t="s">
        <v>82</v>
      </c>
      <c r="P2500" s="637" t="s">
        <v>2726</v>
      </c>
      <c r="Q2500" s="638">
        <v>0</v>
      </c>
      <c r="R2500" s="638">
        <v>0</v>
      </c>
      <c r="S2500" s="638">
        <v>0</v>
      </c>
      <c r="T2500" s="638">
        <v>0</v>
      </c>
      <c r="U2500" s="638">
        <v>0</v>
      </c>
      <c r="V2500" s="636">
        <v>2022</v>
      </c>
      <c r="W2500" s="640"/>
      <c r="X2500" s="641" t="str">
        <f t="shared" si="114"/>
        <v/>
      </c>
      <c r="Y2500" s="642" t="str">
        <f t="shared" si="115"/>
        <v/>
      </c>
      <c r="Z2500" s="642" t="str">
        <f t="shared" si="116"/>
        <v/>
      </c>
    </row>
    <row r="2501" spans="1:26" s="127" customFormat="1" ht="25">
      <c r="A2501" s="636">
        <v>65815</v>
      </c>
      <c r="B2501" s="637" t="s">
        <v>33</v>
      </c>
      <c r="C2501" s="636" t="s">
        <v>2725</v>
      </c>
      <c r="D2501" s="637" t="s">
        <v>3782</v>
      </c>
      <c r="E2501" s="637" t="s">
        <v>3782</v>
      </c>
      <c r="F2501" s="636">
        <v>65056</v>
      </c>
      <c r="G2501" s="637" t="s">
        <v>57</v>
      </c>
      <c r="H2501" s="637" t="s">
        <v>1162</v>
      </c>
      <c r="I2501" s="637" t="s">
        <v>58</v>
      </c>
      <c r="J2501" s="636">
        <v>22</v>
      </c>
      <c r="K2501" s="636">
        <v>2</v>
      </c>
      <c r="L2501" s="637" t="s">
        <v>52</v>
      </c>
      <c r="M2501" s="637" t="s">
        <v>441</v>
      </c>
      <c r="N2501" s="637" t="s">
        <v>442</v>
      </c>
      <c r="O2501" s="637" t="s">
        <v>442</v>
      </c>
      <c r="P2501" s="637" t="s">
        <v>1156</v>
      </c>
      <c r="Q2501" s="638">
        <v>0</v>
      </c>
      <c r="R2501" s="638">
        <v>0</v>
      </c>
      <c r="S2501" s="638">
        <v>4345</v>
      </c>
      <c r="T2501" s="638">
        <v>4345</v>
      </c>
      <c r="U2501" s="638">
        <v>1274</v>
      </c>
      <c r="V2501" s="636">
        <v>2022</v>
      </c>
      <c r="W2501" s="640"/>
      <c r="X2501" s="641">
        <f t="shared" si="114"/>
        <v>3.4105180533751964</v>
      </c>
      <c r="Y2501" s="642" t="str">
        <f t="shared" si="115"/>
        <v/>
      </c>
      <c r="Z2501" s="642" t="str">
        <f t="shared" si="116"/>
        <v/>
      </c>
    </row>
    <row r="2502" spans="1:26" s="127" customFormat="1" ht="25">
      <c r="A2502" s="636">
        <v>65858</v>
      </c>
      <c r="B2502" s="637" t="s">
        <v>33</v>
      </c>
      <c r="C2502" s="636" t="s">
        <v>2725</v>
      </c>
      <c r="D2502" s="637" t="s">
        <v>3783</v>
      </c>
      <c r="E2502" s="637" t="s">
        <v>3623</v>
      </c>
      <c r="F2502" s="636">
        <v>61944</v>
      </c>
      <c r="G2502" s="637" t="s">
        <v>90</v>
      </c>
      <c r="H2502" s="637" t="s">
        <v>1163</v>
      </c>
      <c r="I2502" s="637" t="s">
        <v>58</v>
      </c>
      <c r="J2502" s="636">
        <v>22</v>
      </c>
      <c r="K2502" s="636">
        <v>2</v>
      </c>
      <c r="L2502" s="637" t="s">
        <v>52</v>
      </c>
      <c r="M2502" s="637" t="s">
        <v>441</v>
      </c>
      <c r="N2502" s="637" t="s">
        <v>442</v>
      </c>
      <c r="O2502" s="637" t="s">
        <v>442</v>
      </c>
      <c r="P2502" s="637" t="s">
        <v>1156</v>
      </c>
      <c r="Q2502" s="638">
        <v>0</v>
      </c>
      <c r="R2502" s="638">
        <v>0</v>
      </c>
      <c r="S2502" s="638">
        <v>3180</v>
      </c>
      <c r="T2502" s="638">
        <v>3180</v>
      </c>
      <c r="U2502" s="638">
        <v>932</v>
      </c>
      <c r="V2502" s="636">
        <v>2022</v>
      </c>
      <c r="W2502" s="640"/>
      <c r="X2502" s="641">
        <f t="shared" si="114"/>
        <v>3.4120171673819741</v>
      </c>
      <c r="Y2502" s="642" t="str">
        <f t="shared" si="115"/>
        <v/>
      </c>
      <c r="Z2502" s="642" t="str">
        <f t="shared" si="116"/>
        <v/>
      </c>
    </row>
    <row r="2503" spans="1:26" s="127" customFormat="1" ht="25">
      <c r="A2503" s="636">
        <v>65859</v>
      </c>
      <c r="B2503" s="637" t="s">
        <v>33</v>
      </c>
      <c r="C2503" s="636" t="s">
        <v>2725</v>
      </c>
      <c r="D2503" s="637" t="s">
        <v>3784</v>
      </c>
      <c r="E2503" s="637" t="s">
        <v>3623</v>
      </c>
      <c r="F2503" s="636">
        <v>61944</v>
      </c>
      <c r="G2503" s="637" t="s">
        <v>90</v>
      </c>
      <c r="H2503" s="637" t="s">
        <v>1163</v>
      </c>
      <c r="I2503" s="637" t="s">
        <v>58</v>
      </c>
      <c r="J2503" s="636">
        <v>22</v>
      </c>
      <c r="K2503" s="636">
        <v>2</v>
      </c>
      <c r="L2503" s="637" t="s">
        <v>52</v>
      </c>
      <c r="M2503" s="637" t="s">
        <v>441</v>
      </c>
      <c r="N2503" s="637" t="s">
        <v>442</v>
      </c>
      <c r="O2503" s="637" t="s">
        <v>442</v>
      </c>
      <c r="P2503" s="637" t="s">
        <v>1156</v>
      </c>
      <c r="Q2503" s="638">
        <v>0</v>
      </c>
      <c r="R2503" s="638">
        <v>0</v>
      </c>
      <c r="S2503" s="638">
        <v>11289</v>
      </c>
      <c r="T2503" s="638">
        <v>11289</v>
      </c>
      <c r="U2503" s="638">
        <v>3309</v>
      </c>
      <c r="V2503" s="636">
        <v>2022</v>
      </c>
      <c r="W2503" s="640"/>
      <c r="X2503" s="641">
        <f t="shared" si="114"/>
        <v>3.4116047144152311</v>
      </c>
      <c r="Y2503" s="642" t="str">
        <f t="shared" si="115"/>
        <v/>
      </c>
      <c r="Z2503" s="642" t="str">
        <f t="shared" si="116"/>
        <v/>
      </c>
    </row>
    <row r="2504" spans="1:26" s="127" customFormat="1" ht="25">
      <c r="A2504" s="636">
        <v>65954</v>
      </c>
      <c r="B2504" s="637" t="s">
        <v>33</v>
      </c>
      <c r="C2504" s="636" t="s">
        <v>2725</v>
      </c>
      <c r="D2504" s="637" t="s">
        <v>3785</v>
      </c>
      <c r="E2504" s="637" t="s">
        <v>3785</v>
      </c>
      <c r="F2504" s="636">
        <v>65121</v>
      </c>
      <c r="G2504" s="637" t="s">
        <v>130</v>
      </c>
      <c r="H2504" s="637" t="s">
        <v>1163</v>
      </c>
      <c r="I2504" s="637" t="s">
        <v>58</v>
      </c>
      <c r="J2504" s="636">
        <v>22</v>
      </c>
      <c r="K2504" s="636">
        <v>2</v>
      </c>
      <c r="L2504" s="637" t="s">
        <v>52</v>
      </c>
      <c r="M2504" s="637" t="s">
        <v>441</v>
      </c>
      <c r="N2504" s="637" t="s">
        <v>442</v>
      </c>
      <c r="O2504" s="637" t="s">
        <v>442</v>
      </c>
      <c r="P2504" s="637" t="s">
        <v>1156</v>
      </c>
      <c r="Q2504" s="638">
        <v>0</v>
      </c>
      <c r="R2504" s="638">
        <v>0</v>
      </c>
      <c r="S2504" s="638">
        <v>0</v>
      </c>
      <c r="T2504" s="638">
        <v>0</v>
      </c>
      <c r="U2504" s="638">
        <v>0</v>
      </c>
      <c r="V2504" s="636">
        <v>2022</v>
      </c>
      <c r="W2504" s="640"/>
      <c r="X2504" s="641" t="str">
        <f t="shared" ref="X2504:X2567" si="117">IF(OR(K2504&gt;3,T2504=0,NOT(U2504&gt;0)),"",T2504/U2504)</f>
        <v/>
      </c>
      <c r="Y2504" s="642" t="str">
        <f t="shared" ref="Y2504:Y2567" si="118">IF(AND($M2504=$Y$2,$N2504=$Y$3,NOT($Q2504=$R2504),NOT($U2504=0)),IF($K2504=5,$S2504/($U2504+(8/5)*$U2504),IF($K2504=7,$S2504/($U2504+(29/25)*$U2504),"")),"")</f>
        <v/>
      </c>
      <c r="Z2504" s="642" t="str">
        <f t="shared" si="116"/>
        <v/>
      </c>
    </row>
    <row r="2505" spans="1:26" s="127" customFormat="1" ht="25">
      <c r="A2505" s="636">
        <v>65996</v>
      </c>
      <c r="B2505" s="637" t="s">
        <v>33</v>
      </c>
      <c r="C2505" s="636" t="s">
        <v>2725</v>
      </c>
      <c r="D2505" s="637" t="s">
        <v>3786</v>
      </c>
      <c r="E2505" s="637" t="s">
        <v>3787</v>
      </c>
      <c r="F2505" s="636">
        <v>65185</v>
      </c>
      <c r="G2505" s="637" t="s">
        <v>90</v>
      </c>
      <c r="H2505" s="637" t="s">
        <v>1163</v>
      </c>
      <c r="I2505" s="637" t="s">
        <v>1156</v>
      </c>
      <c r="J2505" s="636">
        <v>22</v>
      </c>
      <c r="K2505" s="636">
        <v>2</v>
      </c>
      <c r="L2505" s="637" t="s">
        <v>52</v>
      </c>
      <c r="M2505" s="637" t="s">
        <v>441</v>
      </c>
      <c r="N2505" s="637" t="s">
        <v>442</v>
      </c>
      <c r="O2505" s="637" t="s">
        <v>442</v>
      </c>
      <c r="P2505" s="637" t="s">
        <v>1156</v>
      </c>
      <c r="Q2505" s="638">
        <v>0</v>
      </c>
      <c r="R2505" s="638">
        <v>0</v>
      </c>
      <c r="S2505" s="638">
        <v>9793</v>
      </c>
      <c r="T2505" s="638">
        <v>9793</v>
      </c>
      <c r="U2505" s="638">
        <v>2870</v>
      </c>
      <c r="V2505" s="636">
        <v>2022</v>
      </c>
      <c r="W2505" s="640"/>
      <c r="X2505" s="641">
        <f t="shared" si="117"/>
        <v>3.4121951219512194</v>
      </c>
      <c r="Y2505" s="642" t="str">
        <f t="shared" si="118"/>
        <v/>
      </c>
      <c r="Z2505" s="642" t="str">
        <f t="shared" si="116"/>
        <v/>
      </c>
    </row>
    <row r="2506" spans="1:26" s="127" customFormat="1" ht="37.5" hidden="1">
      <c r="A2506" s="636">
        <v>66018</v>
      </c>
      <c r="B2506" s="637" t="s">
        <v>54</v>
      </c>
      <c r="C2506" s="636" t="s">
        <v>2725</v>
      </c>
      <c r="D2506" s="637" t="s">
        <v>3788</v>
      </c>
      <c r="E2506" s="637" t="s">
        <v>3788</v>
      </c>
      <c r="F2506" s="636">
        <v>65160</v>
      </c>
      <c r="G2506" s="637" t="s">
        <v>81</v>
      </c>
      <c r="H2506" s="637" t="s">
        <v>1163</v>
      </c>
      <c r="I2506" s="637" t="s">
        <v>1156</v>
      </c>
      <c r="J2506" s="636">
        <v>339</v>
      </c>
      <c r="K2506" s="636">
        <v>7</v>
      </c>
      <c r="L2506" s="637" t="s">
        <v>403</v>
      </c>
      <c r="M2506" s="637" t="s">
        <v>50</v>
      </c>
      <c r="N2506" s="637" t="s">
        <v>39</v>
      </c>
      <c r="O2506" s="637" t="s">
        <v>39</v>
      </c>
      <c r="P2506" s="637" t="s">
        <v>1020</v>
      </c>
      <c r="Q2506" s="638">
        <v>103469</v>
      </c>
      <c r="R2506" s="638">
        <v>83643</v>
      </c>
      <c r="S2506" s="638">
        <v>106573</v>
      </c>
      <c r="T2506" s="638">
        <v>86153</v>
      </c>
      <c r="U2506" s="638">
        <v>7067</v>
      </c>
      <c r="V2506" s="636">
        <v>2022</v>
      </c>
      <c r="W2506" s="640"/>
      <c r="X2506" s="641" t="str">
        <f t="shared" si="117"/>
        <v/>
      </c>
      <c r="Y2506" s="642">
        <f t="shared" si="118"/>
        <v>6.9816544292984091</v>
      </c>
      <c r="Z2506" s="642" t="str">
        <f t="shared" si="116"/>
        <v/>
      </c>
    </row>
    <row r="2507" spans="1:26" s="127" customFormat="1" ht="25">
      <c r="A2507" s="636">
        <v>66034</v>
      </c>
      <c r="B2507" s="637" t="s">
        <v>33</v>
      </c>
      <c r="C2507" s="636" t="s">
        <v>2725</v>
      </c>
      <c r="D2507" s="637" t="s">
        <v>3789</v>
      </c>
      <c r="E2507" s="637" t="s">
        <v>3790</v>
      </c>
      <c r="F2507" s="636">
        <v>65200</v>
      </c>
      <c r="G2507" s="637" t="s">
        <v>57</v>
      </c>
      <c r="H2507" s="637" t="s">
        <v>1162</v>
      </c>
      <c r="I2507" s="637" t="s">
        <v>1156</v>
      </c>
      <c r="J2507" s="636">
        <v>22</v>
      </c>
      <c r="K2507" s="636">
        <v>2</v>
      </c>
      <c r="L2507" s="637" t="s">
        <v>52</v>
      </c>
      <c r="M2507" s="637" t="s">
        <v>441</v>
      </c>
      <c r="N2507" s="637" t="s">
        <v>442</v>
      </c>
      <c r="O2507" s="637" t="s">
        <v>442</v>
      </c>
      <c r="P2507" s="637" t="s">
        <v>1156</v>
      </c>
      <c r="Q2507" s="638">
        <v>0</v>
      </c>
      <c r="R2507" s="638">
        <v>0</v>
      </c>
      <c r="S2507" s="638">
        <v>28842</v>
      </c>
      <c r="T2507" s="638">
        <v>28842</v>
      </c>
      <c r="U2507" s="638">
        <v>8453</v>
      </c>
      <c r="V2507" s="636">
        <v>2022</v>
      </c>
      <c r="W2507" s="640"/>
      <c r="X2507" s="641">
        <f t="shared" si="117"/>
        <v>3.4120430616349227</v>
      </c>
      <c r="Y2507" s="642" t="str">
        <f t="shared" si="118"/>
        <v/>
      </c>
      <c r="Z2507" s="642" t="str">
        <f t="shared" si="116"/>
        <v/>
      </c>
    </row>
    <row r="2508" spans="1:26" s="127" customFormat="1" ht="25">
      <c r="A2508" s="636">
        <v>66036</v>
      </c>
      <c r="B2508" s="637" t="s">
        <v>33</v>
      </c>
      <c r="C2508" s="636" t="s">
        <v>2725</v>
      </c>
      <c r="D2508" s="637" t="s">
        <v>3791</v>
      </c>
      <c r="E2508" s="637" t="s">
        <v>3792</v>
      </c>
      <c r="F2508" s="636">
        <v>65201</v>
      </c>
      <c r="G2508" s="637" t="s">
        <v>57</v>
      </c>
      <c r="H2508" s="637" t="s">
        <v>1162</v>
      </c>
      <c r="I2508" s="637" t="s">
        <v>1156</v>
      </c>
      <c r="J2508" s="636">
        <v>22</v>
      </c>
      <c r="K2508" s="636">
        <v>2</v>
      </c>
      <c r="L2508" s="637" t="s">
        <v>52</v>
      </c>
      <c r="M2508" s="637" t="s">
        <v>441</v>
      </c>
      <c r="N2508" s="637" t="s">
        <v>442</v>
      </c>
      <c r="O2508" s="637" t="s">
        <v>442</v>
      </c>
      <c r="P2508" s="637" t="s">
        <v>1156</v>
      </c>
      <c r="Q2508" s="638">
        <v>0</v>
      </c>
      <c r="R2508" s="638">
        <v>0</v>
      </c>
      <c r="S2508" s="638">
        <v>17835</v>
      </c>
      <c r="T2508" s="638">
        <v>17835</v>
      </c>
      <c r="U2508" s="638">
        <v>5227</v>
      </c>
      <c r="V2508" s="636">
        <v>2022</v>
      </c>
      <c r="W2508" s="640"/>
      <c r="X2508" s="641">
        <f t="shared" si="117"/>
        <v>3.4120910656208152</v>
      </c>
      <c r="Y2508" s="642" t="str">
        <f t="shared" si="118"/>
        <v/>
      </c>
      <c r="Z2508" s="642" t="str">
        <f t="shared" si="116"/>
        <v/>
      </c>
    </row>
    <row r="2509" spans="1:26" s="127" customFormat="1" ht="25">
      <c r="A2509" s="636">
        <v>66037</v>
      </c>
      <c r="B2509" s="637" t="s">
        <v>33</v>
      </c>
      <c r="C2509" s="636" t="s">
        <v>2725</v>
      </c>
      <c r="D2509" s="637" t="s">
        <v>3793</v>
      </c>
      <c r="E2509" s="637" t="s">
        <v>3794</v>
      </c>
      <c r="F2509" s="636">
        <v>65202</v>
      </c>
      <c r="G2509" s="637" t="s">
        <v>57</v>
      </c>
      <c r="H2509" s="637" t="s">
        <v>1162</v>
      </c>
      <c r="I2509" s="637" t="s">
        <v>1156</v>
      </c>
      <c r="J2509" s="636">
        <v>22</v>
      </c>
      <c r="K2509" s="636">
        <v>2</v>
      </c>
      <c r="L2509" s="637" t="s">
        <v>52</v>
      </c>
      <c r="M2509" s="637" t="s">
        <v>441</v>
      </c>
      <c r="N2509" s="637" t="s">
        <v>442</v>
      </c>
      <c r="O2509" s="637" t="s">
        <v>442</v>
      </c>
      <c r="P2509" s="637" t="s">
        <v>1156</v>
      </c>
      <c r="Q2509" s="638">
        <v>0</v>
      </c>
      <c r="R2509" s="638">
        <v>0</v>
      </c>
      <c r="S2509" s="638">
        <v>23781</v>
      </c>
      <c r="T2509" s="638">
        <v>23781</v>
      </c>
      <c r="U2509" s="638">
        <v>6970</v>
      </c>
      <c r="V2509" s="636">
        <v>2022</v>
      </c>
      <c r="W2509" s="640"/>
      <c r="X2509" s="641">
        <f t="shared" si="117"/>
        <v>3.4119081779053086</v>
      </c>
      <c r="Y2509" s="642" t="str">
        <f t="shared" si="118"/>
        <v/>
      </c>
      <c r="Z2509" s="642" t="str">
        <f t="shared" si="116"/>
        <v/>
      </c>
    </row>
    <row r="2510" spans="1:26" s="127" customFormat="1" ht="25">
      <c r="A2510" s="636">
        <v>66053</v>
      </c>
      <c r="B2510" s="637" t="s">
        <v>33</v>
      </c>
      <c r="C2510" s="636" t="s">
        <v>2725</v>
      </c>
      <c r="D2510" s="637" t="s">
        <v>3795</v>
      </c>
      <c r="E2510" s="637" t="s">
        <v>3795</v>
      </c>
      <c r="F2510" s="636">
        <v>65223</v>
      </c>
      <c r="G2510" s="637" t="s">
        <v>41</v>
      </c>
      <c r="H2510" s="637" t="s">
        <v>1163</v>
      </c>
      <c r="I2510" s="637" t="s">
        <v>1156</v>
      </c>
      <c r="J2510" s="636">
        <v>22</v>
      </c>
      <c r="K2510" s="636">
        <v>2</v>
      </c>
      <c r="L2510" s="637" t="s">
        <v>52</v>
      </c>
      <c r="M2510" s="637" t="s">
        <v>1232</v>
      </c>
      <c r="N2510" s="637" t="s">
        <v>39</v>
      </c>
      <c r="O2510" s="637" t="s">
        <v>39</v>
      </c>
      <c r="P2510" s="637" t="s">
        <v>1020</v>
      </c>
      <c r="Q2510" s="638">
        <v>553327</v>
      </c>
      <c r="R2510" s="638">
        <v>553327</v>
      </c>
      <c r="S2510" s="638">
        <v>568819</v>
      </c>
      <c r="T2510" s="638">
        <v>568819</v>
      </c>
      <c r="U2510" s="638">
        <v>83820</v>
      </c>
      <c r="V2510" s="636">
        <v>2022</v>
      </c>
      <c r="W2510" s="640"/>
      <c r="X2510" s="641">
        <f t="shared" si="117"/>
        <v>6.7861966117871626</v>
      </c>
      <c r="Y2510" s="642" t="str">
        <f t="shared" si="118"/>
        <v/>
      </c>
      <c r="Z2510" s="642" t="str">
        <f t="shared" si="116"/>
        <v/>
      </c>
    </row>
    <row r="2511" spans="1:26" s="127" customFormat="1" ht="25">
      <c r="A2511" s="636">
        <v>66061</v>
      </c>
      <c r="B2511" s="637" t="s">
        <v>33</v>
      </c>
      <c r="C2511" s="636" t="s">
        <v>2725</v>
      </c>
      <c r="D2511" s="637" t="s">
        <v>3796</v>
      </c>
      <c r="E2511" s="637" t="s">
        <v>3797</v>
      </c>
      <c r="F2511" s="636">
        <v>65233</v>
      </c>
      <c r="G2511" s="637" t="s">
        <v>57</v>
      </c>
      <c r="H2511" s="637" t="s">
        <v>1162</v>
      </c>
      <c r="I2511" s="637" t="s">
        <v>1156</v>
      </c>
      <c r="J2511" s="636">
        <v>22</v>
      </c>
      <c r="K2511" s="636">
        <v>2</v>
      </c>
      <c r="L2511" s="637" t="s">
        <v>52</v>
      </c>
      <c r="M2511" s="637" t="s">
        <v>441</v>
      </c>
      <c r="N2511" s="637" t="s">
        <v>442</v>
      </c>
      <c r="O2511" s="637" t="s">
        <v>442</v>
      </c>
      <c r="P2511" s="637" t="s">
        <v>1156</v>
      </c>
      <c r="Q2511" s="638">
        <v>0</v>
      </c>
      <c r="R2511" s="638">
        <v>0</v>
      </c>
      <c r="S2511" s="638">
        <v>9772</v>
      </c>
      <c r="T2511" s="638">
        <v>9772</v>
      </c>
      <c r="U2511" s="638">
        <v>2864</v>
      </c>
      <c r="V2511" s="636">
        <v>2022</v>
      </c>
      <c r="W2511" s="640"/>
      <c r="X2511" s="641">
        <f t="shared" si="117"/>
        <v>3.4120111731843576</v>
      </c>
      <c r="Y2511" s="642" t="str">
        <f t="shared" si="118"/>
        <v/>
      </c>
      <c r="Z2511" s="642" t="str">
        <f t="shared" si="116"/>
        <v/>
      </c>
    </row>
    <row r="2512" spans="1:26" s="127" customFormat="1" ht="25">
      <c r="A2512" s="636">
        <v>66062</v>
      </c>
      <c r="B2512" s="637" t="s">
        <v>33</v>
      </c>
      <c r="C2512" s="636" t="s">
        <v>2725</v>
      </c>
      <c r="D2512" s="637" t="s">
        <v>3798</v>
      </c>
      <c r="E2512" s="637" t="s">
        <v>3799</v>
      </c>
      <c r="F2512" s="636">
        <v>65235</v>
      </c>
      <c r="G2512" s="637" t="s">
        <v>57</v>
      </c>
      <c r="H2512" s="637" t="s">
        <v>1162</v>
      </c>
      <c r="I2512" s="637" t="s">
        <v>1156</v>
      </c>
      <c r="J2512" s="636">
        <v>22</v>
      </c>
      <c r="K2512" s="636">
        <v>2</v>
      </c>
      <c r="L2512" s="637" t="s">
        <v>52</v>
      </c>
      <c r="M2512" s="637" t="s">
        <v>441</v>
      </c>
      <c r="N2512" s="637" t="s">
        <v>442</v>
      </c>
      <c r="O2512" s="637" t="s">
        <v>442</v>
      </c>
      <c r="P2512" s="637" t="s">
        <v>1156</v>
      </c>
      <c r="Q2512" s="638">
        <v>0</v>
      </c>
      <c r="R2512" s="638">
        <v>0</v>
      </c>
      <c r="S2512" s="638">
        <v>9772</v>
      </c>
      <c r="T2512" s="638">
        <v>9772</v>
      </c>
      <c r="U2512" s="638">
        <v>2864</v>
      </c>
      <c r="V2512" s="636">
        <v>2022</v>
      </c>
      <c r="W2512" s="640"/>
      <c r="X2512" s="641">
        <f t="shared" si="117"/>
        <v>3.4120111731843576</v>
      </c>
      <c r="Y2512" s="642" t="str">
        <f t="shared" si="118"/>
        <v/>
      </c>
      <c r="Z2512" s="642" t="str">
        <f t="shared" ref="Z2512:Z2575" si="119">IF(AND($M2512=$Y$2,$N2512=$Y$4,NOT($Q2512=$R2512),NOT($U2512=0)),IF($K2512=5,$S2512/($U2512+(8/5)*$U2512),IF($K2512=7,$S2512/($U2512+(29/25)*$U2512),"")),"")</f>
        <v/>
      </c>
    </row>
    <row r="2513" spans="1:26" s="127" customFormat="1" ht="25">
      <c r="A2513" s="636">
        <v>66063</v>
      </c>
      <c r="B2513" s="637" t="s">
        <v>33</v>
      </c>
      <c r="C2513" s="636" t="s">
        <v>2725</v>
      </c>
      <c r="D2513" s="637" t="s">
        <v>3800</v>
      </c>
      <c r="E2513" s="637" t="s">
        <v>3801</v>
      </c>
      <c r="F2513" s="636">
        <v>65236</v>
      </c>
      <c r="G2513" s="637" t="s">
        <v>57</v>
      </c>
      <c r="H2513" s="637" t="s">
        <v>1162</v>
      </c>
      <c r="I2513" s="637" t="s">
        <v>1156</v>
      </c>
      <c r="J2513" s="636">
        <v>22</v>
      </c>
      <c r="K2513" s="636">
        <v>2</v>
      </c>
      <c r="L2513" s="637" t="s">
        <v>52</v>
      </c>
      <c r="M2513" s="637" t="s">
        <v>441</v>
      </c>
      <c r="N2513" s="637" t="s">
        <v>442</v>
      </c>
      <c r="O2513" s="637" t="s">
        <v>442</v>
      </c>
      <c r="P2513" s="637" t="s">
        <v>1156</v>
      </c>
      <c r="Q2513" s="638">
        <v>0</v>
      </c>
      <c r="R2513" s="638">
        <v>0</v>
      </c>
      <c r="S2513" s="638">
        <v>9772</v>
      </c>
      <c r="T2513" s="638">
        <v>9772</v>
      </c>
      <c r="U2513" s="638">
        <v>2864</v>
      </c>
      <c r="V2513" s="636">
        <v>2022</v>
      </c>
      <c r="W2513" s="640"/>
      <c r="X2513" s="641">
        <f t="shared" si="117"/>
        <v>3.4120111731843576</v>
      </c>
      <c r="Y2513" s="642" t="str">
        <f t="shared" si="118"/>
        <v/>
      </c>
      <c r="Z2513" s="642" t="str">
        <f t="shared" si="119"/>
        <v/>
      </c>
    </row>
    <row r="2514" spans="1:26" s="127" customFormat="1" ht="25">
      <c r="A2514" s="636">
        <v>66064</v>
      </c>
      <c r="B2514" s="637" t="s">
        <v>33</v>
      </c>
      <c r="C2514" s="636" t="s">
        <v>2725</v>
      </c>
      <c r="D2514" s="637" t="s">
        <v>3802</v>
      </c>
      <c r="E2514" s="637" t="s">
        <v>3803</v>
      </c>
      <c r="F2514" s="636">
        <v>65237</v>
      </c>
      <c r="G2514" s="637" t="s">
        <v>57</v>
      </c>
      <c r="H2514" s="637" t="s">
        <v>1162</v>
      </c>
      <c r="I2514" s="637" t="s">
        <v>1156</v>
      </c>
      <c r="J2514" s="636">
        <v>22</v>
      </c>
      <c r="K2514" s="636">
        <v>2</v>
      </c>
      <c r="L2514" s="637" t="s">
        <v>52</v>
      </c>
      <c r="M2514" s="637" t="s">
        <v>441</v>
      </c>
      <c r="N2514" s="637" t="s">
        <v>442</v>
      </c>
      <c r="O2514" s="637" t="s">
        <v>442</v>
      </c>
      <c r="P2514" s="637" t="s">
        <v>1156</v>
      </c>
      <c r="Q2514" s="638">
        <v>0</v>
      </c>
      <c r="R2514" s="638">
        <v>0</v>
      </c>
      <c r="S2514" s="638">
        <v>9772</v>
      </c>
      <c r="T2514" s="638">
        <v>9772</v>
      </c>
      <c r="U2514" s="638">
        <v>2864</v>
      </c>
      <c r="V2514" s="636">
        <v>2022</v>
      </c>
      <c r="W2514" s="640"/>
      <c r="X2514" s="641">
        <f t="shared" si="117"/>
        <v>3.4120111731843576</v>
      </c>
      <c r="Y2514" s="642" t="str">
        <f t="shared" si="118"/>
        <v/>
      </c>
      <c r="Z2514" s="642" t="str">
        <f t="shared" si="119"/>
        <v/>
      </c>
    </row>
    <row r="2515" spans="1:26" s="127" customFormat="1" ht="25">
      <c r="A2515" s="636">
        <v>66065</v>
      </c>
      <c r="B2515" s="637" t="s">
        <v>33</v>
      </c>
      <c r="C2515" s="636" t="s">
        <v>2725</v>
      </c>
      <c r="D2515" s="637" t="s">
        <v>3804</v>
      </c>
      <c r="E2515" s="637" t="s">
        <v>3805</v>
      </c>
      <c r="F2515" s="636">
        <v>65238</v>
      </c>
      <c r="G2515" s="637" t="s">
        <v>57</v>
      </c>
      <c r="H2515" s="637" t="s">
        <v>1162</v>
      </c>
      <c r="I2515" s="637" t="s">
        <v>1156</v>
      </c>
      <c r="J2515" s="636">
        <v>22</v>
      </c>
      <c r="K2515" s="636">
        <v>2</v>
      </c>
      <c r="L2515" s="637" t="s">
        <v>52</v>
      </c>
      <c r="M2515" s="637" t="s">
        <v>441</v>
      </c>
      <c r="N2515" s="637" t="s">
        <v>442</v>
      </c>
      <c r="O2515" s="637" t="s">
        <v>442</v>
      </c>
      <c r="P2515" s="637" t="s">
        <v>1156</v>
      </c>
      <c r="Q2515" s="638">
        <v>0</v>
      </c>
      <c r="R2515" s="638">
        <v>0</v>
      </c>
      <c r="S2515" s="638">
        <v>19382</v>
      </c>
      <c r="T2515" s="638">
        <v>19382</v>
      </c>
      <c r="U2515" s="638">
        <v>5680</v>
      </c>
      <c r="V2515" s="636">
        <v>2022</v>
      </c>
      <c r="W2515" s="640"/>
      <c r="X2515" s="641">
        <f t="shared" si="117"/>
        <v>3.4123239436619719</v>
      </c>
      <c r="Y2515" s="642" t="str">
        <f t="shared" si="118"/>
        <v/>
      </c>
      <c r="Z2515" s="642" t="str">
        <f t="shared" si="119"/>
        <v/>
      </c>
    </row>
    <row r="2516" spans="1:26" s="127" customFormat="1" ht="25">
      <c r="A2516" s="636">
        <v>66074</v>
      </c>
      <c r="B2516" s="637" t="s">
        <v>33</v>
      </c>
      <c r="C2516" s="636" t="s">
        <v>2725</v>
      </c>
      <c r="D2516" s="637" t="s">
        <v>3806</v>
      </c>
      <c r="E2516" s="637" t="s">
        <v>3807</v>
      </c>
      <c r="F2516" s="636">
        <v>65246</v>
      </c>
      <c r="G2516" s="637" t="s">
        <v>57</v>
      </c>
      <c r="H2516" s="637" t="s">
        <v>1162</v>
      </c>
      <c r="I2516" s="637" t="s">
        <v>1156</v>
      </c>
      <c r="J2516" s="636">
        <v>22</v>
      </c>
      <c r="K2516" s="636">
        <v>2</v>
      </c>
      <c r="L2516" s="637" t="s">
        <v>52</v>
      </c>
      <c r="M2516" s="637" t="s">
        <v>441</v>
      </c>
      <c r="N2516" s="637" t="s">
        <v>442</v>
      </c>
      <c r="O2516" s="637" t="s">
        <v>442</v>
      </c>
      <c r="P2516" s="637" t="s">
        <v>1156</v>
      </c>
      <c r="Q2516" s="638">
        <v>0</v>
      </c>
      <c r="R2516" s="638">
        <v>0</v>
      </c>
      <c r="S2516" s="638">
        <v>10660</v>
      </c>
      <c r="T2516" s="638">
        <v>10660</v>
      </c>
      <c r="U2516" s="638">
        <v>3124</v>
      </c>
      <c r="V2516" s="636">
        <v>2022</v>
      </c>
      <c r="W2516" s="640"/>
      <c r="X2516" s="641">
        <f t="shared" si="117"/>
        <v>3.4122919334186941</v>
      </c>
      <c r="Y2516" s="642" t="str">
        <f t="shared" si="118"/>
        <v/>
      </c>
      <c r="Z2516" s="642" t="str">
        <f t="shared" si="119"/>
        <v/>
      </c>
    </row>
    <row r="2517" spans="1:26" s="127" customFormat="1" ht="25">
      <c r="A2517" s="636">
        <v>66075</v>
      </c>
      <c r="B2517" s="637" t="s">
        <v>33</v>
      </c>
      <c r="C2517" s="636" t="s">
        <v>2725</v>
      </c>
      <c r="D2517" s="637" t="s">
        <v>3808</v>
      </c>
      <c r="E2517" s="637" t="s">
        <v>3809</v>
      </c>
      <c r="F2517" s="636">
        <v>65252</v>
      </c>
      <c r="G2517" s="637" t="s">
        <v>81</v>
      </c>
      <c r="H2517" s="637" t="s">
        <v>1163</v>
      </c>
      <c r="I2517" s="637" t="s">
        <v>1156</v>
      </c>
      <c r="J2517" s="636">
        <v>22</v>
      </c>
      <c r="K2517" s="636">
        <v>2</v>
      </c>
      <c r="L2517" s="637" t="s">
        <v>52</v>
      </c>
      <c r="M2517" s="637" t="s">
        <v>1852</v>
      </c>
      <c r="N2517" s="637" t="s">
        <v>1035</v>
      </c>
      <c r="O2517" s="637" t="s">
        <v>82</v>
      </c>
      <c r="P2517" s="637" t="s">
        <v>2726</v>
      </c>
      <c r="Q2517" s="638">
        <v>0</v>
      </c>
      <c r="R2517" s="638">
        <v>0</v>
      </c>
      <c r="S2517" s="638">
        <v>0</v>
      </c>
      <c r="T2517" s="638">
        <v>0</v>
      </c>
      <c r="U2517" s="638">
        <v>0</v>
      </c>
      <c r="V2517" s="636">
        <v>2022</v>
      </c>
      <c r="W2517" s="640"/>
      <c r="X2517" s="641" t="str">
        <f t="shared" si="117"/>
        <v/>
      </c>
      <c r="Y2517" s="642" t="str">
        <f t="shared" si="118"/>
        <v/>
      </c>
      <c r="Z2517" s="642" t="str">
        <f t="shared" si="119"/>
        <v/>
      </c>
    </row>
    <row r="2518" spans="1:26" s="127" customFormat="1" ht="25">
      <c r="A2518" s="636">
        <v>66075</v>
      </c>
      <c r="B2518" s="637" t="s">
        <v>33</v>
      </c>
      <c r="C2518" s="636" t="s">
        <v>2725</v>
      </c>
      <c r="D2518" s="637" t="s">
        <v>3808</v>
      </c>
      <c r="E2518" s="637" t="s">
        <v>3809</v>
      </c>
      <c r="F2518" s="636">
        <v>65252</v>
      </c>
      <c r="G2518" s="637" t="s">
        <v>81</v>
      </c>
      <c r="H2518" s="637" t="s">
        <v>1163</v>
      </c>
      <c r="I2518" s="637" t="s">
        <v>1156</v>
      </c>
      <c r="J2518" s="636">
        <v>22</v>
      </c>
      <c r="K2518" s="636">
        <v>2</v>
      </c>
      <c r="L2518" s="637" t="s">
        <v>52</v>
      </c>
      <c r="M2518" s="637" t="s">
        <v>441</v>
      </c>
      <c r="N2518" s="637" t="s">
        <v>442</v>
      </c>
      <c r="O2518" s="637" t="s">
        <v>442</v>
      </c>
      <c r="P2518" s="637" t="s">
        <v>1156</v>
      </c>
      <c r="Q2518" s="638">
        <v>0</v>
      </c>
      <c r="R2518" s="638">
        <v>0</v>
      </c>
      <c r="S2518" s="638">
        <v>16233</v>
      </c>
      <c r="T2518" s="638">
        <v>16233</v>
      </c>
      <c r="U2518" s="638">
        <v>4758</v>
      </c>
      <c r="V2518" s="636">
        <v>2022</v>
      </c>
      <c r="W2518" s="640"/>
      <c r="X2518" s="641">
        <f t="shared" si="117"/>
        <v>3.4117276166456496</v>
      </c>
      <c r="Y2518" s="642" t="str">
        <f t="shared" si="118"/>
        <v/>
      </c>
      <c r="Z2518" s="642" t="str">
        <f t="shared" si="119"/>
        <v/>
      </c>
    </row>
    <row r="2519" spans="1:26" s="127" customFormat="1" ht="25">
      <c r="A2519" s="636">
        <v>66076</v>
      </c>
      <c r="B2519" s="637" t="s">
        <v>33</v>
      </c>
      <c r="C2519" s="636" t="s">
        <v>2725</v>
      </c>
      <c r="D2519" s="637" t="s">
        <v>3810</v>
      </c>
      <c r="E2519" s="637" t="s">
        <v>3811</v>
      </c>
      <c r="F2519" s="636">
        <v>65253</v>
      </c>
      <c r="G2519" s="637" t="s">
        <v>81</v>
      </c>
      <c r="H2519" s="637" t="s">
        <v>1163</v>
      </c>
      <c r="I2519" s="637" t="s">
        <v>1156</v>
      </c>
      <c r="J2519" s="636">
        <v>22</v>
      </c>
      <c r="K2519" s="636">
        <v>2</v>
      </c>
      <c r="L2519" s="637" t="s">
        <v>52</v>
      </c>
      <c r="M2519" s="637" t="s">
        <v>1852</v>
      </c>
      <c r="N2519" s="637" t="s">
        <v>1035</v>
      </c>
      <c r="O2519" s="637" t="s">
        <v>82</v>
      </c>
      <c r="P2519" s="637" t="s">
        <v>2726</v>
      </c>
      <c r="Q2519" s="638">
        <v>0</v>
      </c>
      <c r="R2519" s="638">
        <v>0</v>
      </c>
      <c r="S2519" s="638">
        <v>0</v>
      </c>
      <c r="T2519" s="638">
        <v>0</v>
      </c>
      <c r="U2519" s="638">
        <v>0</v>
      </c>
      <c r="V2519" s="636">
        <v>2022</v>
      </c>
      <c r="W2519" s="640"/>
      <c r="X2519" s="641" t="str">
        <f t="shared" si="117"/>
        <v/>
      </c>
      <c r="Y2519" s="642" t="str">
        <f t="shared" si="118"/>
        <v/>
      </c>
      <c r="Z2519" s="642" t="str">
        <f t="shared" si="119"/>
        <v/>
      </c>
    </row>
    <row r="2520" spans="1:26" s="127" customFormat="1" ht="25">
      <c r="A2520" s="636">
        <v>66076</v>
      </c>
      <c r="B2520" s="637" t="s">
        <v>33</v>
      </c>
      <c r="C2520" s="636" t="s">
        <v>2725</v>
      </c>
      <c r="D2520" s="637" t="s">
        <v>3810</v>
      </c>
      <c r="E2520" s="637" t="s">
        <v>3811</v>
      </c>
      <c r="F2520" s="636">
        <v>65253</v>
      </c>
      <c r="G2520" s="637" t="s">
        <v>81</v>
      </c>
      <c r="H2520" s="637" t="s">
        <v>1163</v>
      </c>
      <c r="I2520" s="637" t="s">
        <v>1156</v>
      </c>
      <c r="J2520" s="636">
        <v>22</v>
      </c>
      <c r="K2520" s="636">
        <v>2</v>
      </c>
      <c r="L2520" s="637" t="s">
        <v>52</v>
      </c>
      <c r="M2520" s="637" t="s">
        <v>441</v>
      </c>
      <c r="N2520" s="637" t="s">
        <v>442</v>
      </c>
      <c r="O2520" s="637" t="s">
        <v>442</v>
      </c>
      <c r="P2520" s="637" t="s">
        <v>1156</v>
      </c>
      <c r="Q2520" s="638">
        <v>0</v>
      </c>
      <c r="R2520" s="638">
        <v>0</v>
      </c>
      <c r="S2520" s="638">
        <v>6596</v>
      </c>
      <c r="T2520" s="638">
        <v>6596</v>
      </c>
      <c r="U2520" s="638">
        <v>1933</v>
      </c>
      <c r="V2520" s="636">
        <v>2022</v>
      </c>
      <c r="W2520" s="640"/>
      <c r="X2520" s="641">
        <f t="shared" si="117"/>
        <v>3.412312467666839</v>
      </c>
      <c r="Y2520" s="642" t="str">
        <f t="shared" si="118"/>
        <v/>
      </c>
      <c r="Z2520" s="642" t="str">
        <f t="shared" si="119"/>
        <v/>
      </c>
    </row>
    <row r="2521" spans="1:26" s="127" customFormat="1" ht="25">
      <c r="A2521" s="636">
        <v>66077</v>
      </c>
      <c r="B2521" s="637" t="s">
        <v>33</v>
      </c>
      <c r="C2521" s="636" t="s">
        <v>2725</v>
      </c>
      <c r="D2521" s="637" t="s">
        <v>3812</v>
      </c>
      <c r="E2521" s="637" t="s">
        <v>3813</v>
      </c>
      <c r="F2521" s="636">
        <v>65254</v>
      </c>
      <c r="G2521" s="637" t="s">
        <v>81</v>
      </c>
      <c r="H2521" s="637" t="s">
        <v>1163</v>
      </c>
      <c r="I2521" s="637" t="s">
        <v>1156</v>
      </c>
      <c r="J2521" s="636">
        <v>22</v>
      </c>
      <c r="K2521" s="636">
        <v>2</v>
      </c>
      <c r="L2521" s="637" t="s">
        <v>52</v>
      </c>
      <c r="M2521" s="637" t="s">
        <v>441</v>
      </c>
      <c r="N2521" s="637" t="s">
        <v>442</v>
      </c>
      <c r="O2521" s="637" t="s">
        <v>442</v>
      </c>
      <c r="P2521" s="637" t="s">
        <v>1156</v>
      </c>
      <c r="Q2521" s="638">
        <v>0</v>
      </c>
      <c r="R2521" s="638">
        <v>0</v>
      </c>
      <c r="S2521" s="638">
        <v>9890</v>
      </c>
      <c r="T2521" s="638">
        <v>9890</v>
      </c>
      <c r="U2521" s="638">
        <v>2898</v>
      </c>
      <c r="V2521" s="636">
        <v>2022</v>
      </c>
      <c r="W2521" s="640"/>
      <c r="X2521" s="641">
        <f t="shared" si="117"/>
        <v>3.4126984126984126</v>
      </c>
      <c r="Y2521" s="642" t="str">
        <f t="shared" si="118"/>
        <v/>
      </c>
      <c r="Z2521" s="642" t="str">
        <f t="shared" si="119"/>
        <v/>
      </c>
    </row>
    <row r="2522" spans="1:26" s="127" customFormat="1" ht="25">
      <c r="A2522" s="636">
        <v>66081</v>
      </c>
      <c r="B2522" s="637" t="s">
        <v>33</v>
      </c>
      <c r="C2522" s="636" t="s">
        <v>2725</v>
      </c>
      <c r="D2522" s="637" t="s">
        <v>3814</v>
      </c>
      <c r="E2522" s="637" t="s">
        <v>3815</v>
      </c>
      <c r="F2522" s="636">
        <v>65247</v>
      </c>
      <c r="G2522" s="637" t="s">
        <v>57</v>
      </c>
      <c r="H2522" s="637" t="s">
        <v>1162</v>
      </c>
      <c r="I2522" s="637" t="s">
        <v>1156</v>
      </c>
      <c r="J2522" s="636">
        <v>22</v>
      </c>
      <c r="K2522" s="636">
        <v>2</v>
      </c>
      <c r="L2522" s="637" t="s">
        <v>52</v>
      </c>
      <c r="M2522" s="637" t="s">
        <v>441</v>
      </c>
      <c r="N2522" s="637" t="s">
        <v>442</v>
      </c>
      <c r="O2522" s="637" t="s">
        <v>442</v>
      </c>
      <c r="P2522" s="637" t="s">
        <v>1156</v>
      </c>
      <c r="Q2522" s="638">
        <v>0</v>
      </c>
      <c r="R2522" s="638">
        <v>0</v>
      </c>
      <c r="S2522" s="638">
        <v>20163</v>
      </c>
      <c r="T2522" s="638">
        <v>20163</v>
      </c>
      <c r="U2522" s="638">
        <v>5909</v>
      </c>
      <c r="V2522" s="636">
        <v>2022</v>
      </c>
      <c r="W2522" s="640"/>
      <c r="X2522" s="641">
        <f t="shared" si="117"/>
        <v>3.4122524961922491</v>
      </c>
      <c r="Y2522" s="642" t="str">
        <f t="shared" si="118"/>
        <v/>
      </c>
      <c r="Z2522" s="642" t="str">
        <f t="shared" si="119"/>
        <v/>
      </c>
    </row>
    <row r="2523" spans="1:26" s="127" customFormat="1" ht="25">
      <c r="A2523" s="636">
        <v>66086</v>
      </c>
      <c r="B2523" s="637" t="s">
        <v>33</v>
      </c>
      <c r="C2523" s="636" t="s">
        <v>2725</v>
      </c>
      <c r="D2523" s="637" t="s">
        <v>3816</v>
      </c>
      <c r="E2523" s="637" t="s">
        <v>3817</v>
      </c>
      <c r="F2523" s="636">
        <v>65255</v>
      </c>
      <c r="G2523" s="637" t="s">
        <v>90</v>
      </c>
      <c r="H2523" s="637" t="s">
        <v>1163</v>
      </c>
      <c r="I2523" s="637" t="s">
        <v>1156</v>
      </c>
      <c r="J2523" s="636">
        <v>22</v>
      </c>
      <c r="K2523" s="636">
        <v>2</v>
      </c>
      <c r="L2523" s="637" t="s">
        <v>52</v>
      </c>
      <c r="M2523" s="637" t="s">
        <v>441</v>
      </c>
      <c r="N2523" s="637" t="s">
        <v>442</v>
      </c>
      <c r="O2523" s="637" t="s">
        <v>442</v>
      </c>
      <c r="P2523" s="637" t="s">
        <v>1156</v>
      </c>
      <c r="Q2523" s="638">
        <v>0</v>
      </c>
      <c r="R2523" s="638">
        <v>0</v>
      </c>
      <c r="S2523" s="638">
        <v>22666</v>
      </c>
      <c r="T2523" s="638">
        <v>22666</v>
      </c>
      <c r="U2523" s="638">
        <v>6643</v>
      </c>
      <c r="V2523" s="636">
        <v>2022</v>
      </c>
      <c r="W2523" s="640"/>
      <c r="X2523" s="641">
        <f t="shared" si="117"/>
        <v>3.4120126448893573</v>
      </c>
      <c r="Y2523" s="642" t="str">
        <f t="shared" si="118"/>
        <v/>
      </c>
      <c r="Z2523" s="642" t="str">
        <f t="shared" si="119"/>
        <v/>
      </c>
    </row>
    <row r="2524" spans="1:26" s="127" customFormat="1" ht="25">
      <c r="A2524" s="636">
        <v>66087</v>
      </c>
      <c r="B2524" s="637" t="s">
        <v>33</v>
      </c>
      <c r="C2524" s="636" t="s">
        <v>2725</v>
      </c>
      <c r="D2524" s="637" t="s">
        <v>3818</v>
      </c>
      <c r="E2524" s="637" t="s">
        <v>3819</v>
      </c>
      <c r="F2524" s="636">
        <v>65258</v>
      </c>
      <c r="G2524" s="637" t="s">
        <v>90</v>
      </c>
      <c r="H2524" s="637" t="s">
        <v>1163</v>
      </c>
      <c r="I2524" s="637" t="s">
        <v>1156</v>
      </c>
      <c r="J2524" s="636">
        <v>22</v>
      </c>
      <c r="K2524" s="636">
        <v>2</v>
      </c>
      <c r="L2524" s="637" t="s">
        <v>52</v>
      </c>
      <c r="M2524" s="637" t="s">
        <v>441</v>
      </c>
      <c r="N2524" s="637" t="s">
        <v>442</v>
      </c>
      <c r="O2524" s="637" t="s">
        <v>442</v>
      </c>
      <c r="P2524" s="637" t="s">
        <v>1156</v>
      </c>
      <c r="Q2524" s="638">
        <v>0</v>
      </c>
      <c r="R2524" s="638">
        <v>0</v>
      </c>
      <c r="S2524" s="638">
        <v>13024</v>
      </c>
      <c r="T2524" s="638">
        <v>13024</v>
      </c>
      <c r="U2524" s="638">
        <v>3817</v>
      </c>
      <c r="V2524" s="636">
        <v>2022</v>
      </c>
      <c r="W2524" s="640"/>
      <c r="X2524" s="641">
        <f t="shared" si="117"/>
        <v>3.4121037463976944</v>
      </c>
      <c r="Y2524" s="642" t="str">
        <f t="shared" si="118"/>
        <v/>
      </c>
      <c r="Z2524" s="642" t="str">
        <f t="shared" si="119"/>
        <v/>
      </c>
    </row>
    <row r="2525" spans="1:26" s="127" customFormat="1" ht="25">
      <c r="A2525" s="636">
        <v>66100</v>
      </c>
      <c r="B2525" s="637" t="s">
        <v>33</v>
      </c>
      <c r="C2525" s="636" t="s">
        <v>2725</v>
      </c>
      <c r="D2525" s="637" t="s">
        <v>3820</v>
      </c>
      <c r="E2525" s="637" t="s">
        <v>2166</v>
      </c>
      <c r="F2525" s="636">
        <v>61012</v>
      </c>
      <c r="G2525" s="637" t="s">
        <v>90</v>
      </c>
      <c r="H2525" s="637" t="s">
        <v>1163</v>
      </c>
      <c r="I2525" s="637" t="s">
        <v>1156</v>
      </c>
      <c r="J2525" s="636">
        <v>22</v>
      </c>
      <c r="K2525" s="636">
        <v>2</v>
      </c>
      <c r="L2525" s="637" t="s">
        <v>52</v>
      </c>
      <c r="M2525" s="637" t="s">
        <v>441</v>
      </c>
      <c r="N2525" s="637" t="s">
        <v>442</v>
      </c>
      <c r="O2525" s="637" t="s">
        <v>442</v>
      </c>
      <c r="P2525" s="637" t="s">
        <v>1156</v>
      </c>
      <c r="Q2525" s="638">
        <v>0</v>
      </c>
      <c r="R2525" s="638">
        <v>0</v>
      </c>
      <c r="S2525" s="638">
        <v>0</v>
      </c>
      <c r="T2525" s="638">
        <v>0</v>
      </c>
      <c r="U2525" s="638">
        <v>0</v>
      </c>
      <c r="V2525" s="636">
        <v>2022</v>
      </c>
      <c r="W2525" s="640"/>
      <c r="X2525" s="641" t="str">
        <f t="shared" si="117"/>
        <v/>
      </c>
      <c r="Y2525" s="642" t="str">
        <f t="shared" si="118"/>
        <v/>
      </c>
      <c r="Z2525" s="642" t="str">
        <f t="shared" si="119"/>
        <v/>
      </c>
    </row>
    <row r="2526" spans="1:26" s="127" customFormat="1" ht="25">
      <c r="A2526" s="636">
        <v>66150</v>
      </c>
      <c r="B2526" s="637" t="s">
        <v>33</v>
      </c>
      <c r="C2526" s="636" t="s">
        <v>2725</v>
      </c>
      <c r="D2526" s="637" t="s">
        <v>3821</v>
      </c>
      <c r="E2526" s="637" t="s">
        <v>1761</v>
      </c>
      <c r="F2526" s="636">
        <v>57128</v>
      </c>
      <c r="G2526" s="637" t="s">
        <v>57</v>
      </c>
      <c r="H2526" s="637" t="s">
        <v>1162</v>
      </c>
      <c r="I2526" s="637" t="s">
        <v>1156</v>
      </c>
      <c r="J2526" s="636">
        <v>22</v>
      </c>
      <c r="K2526" s="636">
        <v>2</v>
      </c>
      <c r="L2526" s="637" t="s">
        <v>52</v>
      </c>
      <c r="M2526" s="637" t="s">
        <v>1232</v>
      </c>
      <c r="N2526" s="637" t="s">
        <v>39</v>
      </c>
      <c r="O2526" s="637" t="s">
        <v>39</v>
      </c>
      <c r="P2526" s="637" t="s">
        <v>1020</v>
      </c>
      <c r="Q2526" s="638">
        <v>87979</v>
      </c>
      <c r="R2526" s="638">
        <v>87979</v>
      </c>
      <c r="S2526" s="638">
        <v>89738</v>
      </c>
      <c r="T2526" s="638">
        <v>89738</v>
      </c>
      <c r="U2526" s="638">
        <v>13081</v>
      </c>
      <c r="V2526" s="636">
        <v>2022</v>
      </c>
      <c r="W2526" s="640"/>
      <c r="X2526" s="641">
        <f t="shared" si="117"/>
        <v>6.8601788854063148</v>
      </c>
      <c r="Y2526" s="642" t="str">
        <f t="shared" si="118"/>
        <v/>
      </c>
      <c r="Z2526" s="642" t="str">
        <f t="shared" si="119"/>
        <v/>
      </c>
    </row>
    <row r="2527" spans="1:26" s="127" customFormat="1" ht="25">
      <c r="A2527" s="636">
        <v>66151</v>
      </c>
      <c r="B2527" s="637" t="s">
        <v>33</v>
      </c>
      <c r="C2527" s="636" t="s">
        <v>2725</v>
      </c>
      <c r="D2527" s="637" t="s">
        <v>3822</v>
      </c>
      <c r="E2527" s="637" t="s">
        <v>1761</v>
      </c>
      <c r="F2527" s="636">
        <v>57128</v>
      </c>
      <c r="G2527" s="637" t="s">
        <v>81</v>
      </c>
      <c r="H2527" s="637" t="s">
        <v>1163</v>
      </c>
      <c r="I2527" s="637" t="s">
        <v>1156</v>
      </c>
      <c r="J2527" s="636">
        <v>22</v>
      </c>
      <c r="K2527" s="636">
        <v>2</v>
      </c>
      <c r="L2527" s="637" t="s">
        <v>52</v>
      </c>
      <c r="M2527" s="637" t="s">
        <v>1232</v>
      </c>
      <c r="N2527" s="637" t="s">
        <v>39</v>
      </c>
      <c r="O2527" s="637" t="s">
        <v>39</v>
      </c>
      <c r="P2527" s="637" t="s">
        <v>1020</v>
      </c>
      <c r="Q2527" s="638">
        <v>202522</v>
      </c>
      <c r="R2527" s="638">
        <v>202522</v>
      </c>
      <c r="S2527" s="638">
        <v>206572</v>
      </c>
      <c r="T2527" s="638">
        <v>206572</v>
      </c>
      <c r="U2527" s="638">
        <v>33169</v>
      </c>
      <c r="V2527" s="636">
        <v>2022</v>
      </c>
      <c r="W2527" s="640"/>
      <c r="X2527" s="641">
        <f t="shared" si="117"/>
        <v>6.2278633663963339</v>
      </c>
      <c r="Y2527" s="642" t="str">
        <f t="shared" si="118"/>
        <v/>
      </c>
      <c r="Z2527" s="642" t="str">
        <f t="shared" si="119"/>
        <v/>
      </c>
    </row>
    <row r="2528" spans="1:26" s="127" customFormat="1" ht="25">
      <c r="A2528" s="636">
        <v>66152</v>
      </c>
      <c r="B2528" s="637" t="s">
        <v>33</v>
      </c>
      <c r="C2528" s="636" t="s">
        <v>2725</v>
      </c>
      <c r="D2528" s="637" t="s">
        <v>3823</v>
      </c>
      <c r="E2528" s="637" t="s">
        <v>1761</v>
      </c>
      <c r="F2528" s="636">
        <v>57128</v>
      </c>
      <c r="G2528" s="637" t="s">
        <v>41</v>
      </c>
      <c r="H2528" s="637" t="s">
        <v>1163</v>
      </c>
      <c r="I2528" s="637" t="s">
        <v>1156</v>
      </c>
      <c r="J2528" s="636">
        <v>22</v>
      </c>
      <c r="K2528" s="636">
        <v>2</v>
      </c>
      <c r="L2528" s="637" t="s">
        <v>52</v>
      </c>
      <c r="M2528" s="637" t="s">
        <v>1232</v>
      </c>
      <c r="N2528" s="637" t="s">
        <v>39</v>
      </c>
      <c r="O2528" s="637" t="s">
        <v>39</v>
      </c>
      <c r="P2528" s="637" t="s">
        <v>1020</v>
      </c>
      <c r="Q2528" s="638">
        <v>65565</v>
      </c>
      <c r="R2528" s="638">
        <v>65565</v>
      </c>
      <c r="S2528" s="638">
        <v>66878</v>
      </c>
      <c r="T2528" s="638">
        <v>66878</v>
      </c>
      <c r="U2528" s="638">
        <v>9375</v>
      </c>
      <c r="V2528" s="636">
        <v>2022</v>
      </c>
      <c r="W2528" s="640"/>
      <c r="X2528" s="641">
        <f t="shared" si="117"/>
        <v>7.1336533333333332</v>
      </c>
      <c r="Y2528" s="642" t="str">
        <f t="shared" si="118"/>
        <v/>
      </c>
      <c r="Z2528" s="642" t="str">
        <f t="shared" si="119"/>
        <v/>
      </c>
    </row>
    <row r="2529" spans="1:26" s="127" customFormat="1" ht="25">
      <c r="A2529" s="636">
        <v>66176</v>
      </c>
      <c r="B2529" s="637" t="s">
        <v>33</v>
      </c>
      <c r="C2529" s="636" t="s">
        <v>2725</v>
      </c>
      <c r="D2529" s="637" t="s">
        <v>3824</v>
      </c>
      <c r="E2529" s="637" t="s">
        <v>2782</v>
      </c>
      <c r="F2529" s="636">
        <v>61194</v>
      </c>
      <c r="G2529" s="637" t="s">
        <v>57</v>
      </c>
      <c r="H2529" s="637" t="s">
        <v>1162</v>
      </c>
      <c r="I2529" s="637" t="s">
        <v>1156</v>
      </c>
      <c r="J2529" s="636">
        <v>22</v>
      </c>
      <c r="K2529" s="636">
        <v>2</v>
      </c>
      <c r="L2529" s="637" t="s">
        <v>52</v>
      </c>
      <c r="M2529" s="637" t="s">
        <v>441</v>
      </c>
      <c r="N2529" s="637" t="s">
        <v>442</v>
      </c>
      <c r="O2529" s="637" t="s">
        <v>442</v>
      </c>
      <c r="P2529" s="637" t="s">
        <v>1156</v>
      </c>
      <c r="Q2529" s="638">
        <v>0</v>
      </c>
      <c r="R2529" s="638">
        <v>0</v>
      </c>
      <c r="S2529" s="638">
        <v>12103</v>
      </c>
      <c r="T2529" s="638">
        <v>12103</v>
      </c>
      <c r="U2529" s="638">
        <v>3547</v>
      </c>
      <c r="V2529" s="636">
        <v>2022</v>
      </c>
      <c r="W2529" s="640"/>
      <c r="X2529" s="641">
        <f t="shared" si="117"/>
        <v>3.4121793064561601</v>
      </c>
      <c r="Y2529" s="642" t="str">
        <f t="shared" si="118"/>
        <v/>
      </c>
      <c r="Z2529" s="642" t="str">
        <f t="shared" si="119"/>
        <v/>
      </c>
    </row>
    <row r="2530" spans="1:26" s="127" customFormat="1" ht="25">
      <c r="A2530" s="636">
        <v>66177</v>
      </c>
      <c r="B2530" s="637" t="s">
        <v>33</v>
      </c>
      <c r="C2530" s="636" t="s">
        <v>2725</v>
      </c>
      <c r="D2530" s="637" t="s">
        <v>3825</v>
      </c>
      <c r="E2530" s="637" t="s">
        <v>2782</v>
      </c>
      <c r="F2530" s="636">
        <v>61194</v>
      </c>
      <c r="G2530" s="637" t="s">
        <v>57</v>
      </c>
      <c r="H2530" s="637" t="s">
        <v>1162</v>
      </c>
      <c r="I2530" s="637" t="s">
        <v>1156</v>
      </c>
      <c r="J2530" s="636">
        <v>22</v>
      </c>
      <c r="K2530" s="636">
        <v>2</v>
      </c>
      <c r="L2530" s="637" t="s">
        <v>52</v>
      </c>
      <c r="M2530" s="637" t="s">
        <v>441</v>
      </c>
      <c r="N2530" s="637" t="s">
        <v>442</v>
      </c>
      <c r="O2530" s="637" t="s">
        <v>442</v>
      </c>
      <c r="P2530" s="637" t="s">
        <v>1156</v>
      </c>
      <c r="Q2530" s="638">
        <v>0</v>
      </c>
      <c r="R2530" s="638">
        <v>0</v>
      </c>
      <c r="S2530" s="638">
        <v>10427</v>
      </c>
      <c r="T2530" s="638">
        <v>10427</v>
      </c>
      <c r="U2530" s="638">
        <v>3056</v>
      </c>
      <c r="V2530" s="636">
        <v>2022</v>
      </c>
      <c r="W2530" s="640"/>
      <c r="X2530" s="641">
        <f t="shared" si="117"/>
        <v>3.4119764397905761</v>
      </c>
      <c r="Y2530" s="642" t="str">
        <f t="shared" si="118"/>
        <v/>
      </c>
      <c r="Z2530" s="642" t="str">
        <f t="shared" si="119"/>
        <v/>
      </c>
    </row>
    <row r="2531" spans="1:26" s="127" customFormat="1" ht="25">
      <c r="A2531" s="636">
        <v>66180</v>
      </c>
      <c r="B2531" s="637" t="s">
        <v>33</v>
      </c>
      <c r="C2531" s="636" t="s">
        <v>2725</v>
      </c>
      <c r="D2531" s="637" t="s">
        <v>3826</v>
      </c>
      <c r="E2531" s="637" t="s">
        <v>3827</v>
      </c>
      <c r="F2531" s="636">
        <v>65321</v>
      </c>
      <c r="G2531" s="637" t="s">
        <v>81</v>
      </c>
      <c r="H2531" s="637" t="s">
        <v>1163</v>
      </c>
      <c r="I2531" s="637" t="s">
        <v>1156</v>
      </c>
      <c r="J2531" s="636">
        <v>22</v>
      </c>
      <c r="K2531" s="636">
        <v>2</v>
      </c>
      <c r="L2531" s="637" t="s">
        <v>52</v>
      </c>
      <c r="M2531" s="637" t="s">
        <v>1852</v>
      </c>
      <c r="N2531" s="637" t="s">
        <v>1035</v>
      </c>
      <c r="O2531" s="637" t="s">
        <v>82</v>
      </c>
      <c r="P2531" s="637" t="s">
        <v>2726</v>
      </c>
      <c r="Q2531" s="638">
        <v>0</v>
      </c>
      <c r="R2531" s="638">
        <v>0</v>
      </c>
      <c r="S2531" s="638">
        <v>0</v>
      </c>
      <c r="T2531" s="638">
        <v>0</v>
      </c>
      <c r="U2531" s="638">
        <v>0</v>
      </c>
      <c r="V2531" s="636">
        <v>2022</v>
      </c>
      <c r="W2531" s="640"/>
      <c r="X2531" s="641" t="str">
        <f t="shared" si="117"/>
        <v/>
      </c>
      <c r="Y2531" s="642" t="str">
        <f t="shared" si="118"/>
        <v/>
      </c>
      <c r="Z2531" s="642" t="str">
        <f t="shared" si="119"/>
        <v/>
      </c>
    </row>
    <row r="2532" spans="1:26" s="127" customFormat="1" ht="25">
      <c r="A2532" s="636">
        <v>66180</v>
      </c>
      <c r="B2532" s="637" t="s">
        <v>33</v>
      </c>
      <c r="C2532" s="636" t="s">
        <v>2725</v>
      </c>
      <c r="D2532" s="637" t="s">
        <v>3826</v>
      </c>
      <c r="E2532" s="637" t="s">
        <v>3827</v>
      </c>
      <c r="F2532" s="636">
        <v>65321</v>
      </c>
      <c r="G2532" s="637" t="s">
        <v>81</v>
      </c>
      <c r="H2532" s="637" t="s">
        <v>1163</v>
      </c>
      <c r="I2532" s="637" t="s">
        <v>1156</v>
      </c>
      <c r="J2532" s="636">
        <v>22</v>
      </c>
      <c r="K2532" s="636">
        <v>2</v>
      </c>
      <c r="L2532" s="637" t="s">
        <v>52</v>
      </c>
      <c r="M2532" s="637" t="s">
        <v>441</v>
      </c>
      <c r="N2532" s="637" t="s">
        <v>442</v>
      </c>
      <c r="O2532" s="637" t="s">
        <v>442</v>
      </c>
      <c r="P2532" s="637" t="s">
        <v>1156</v>
      </c>
      <c r="Q2532" s="638">
        <v>0</v>
      </c>
      <c r="R2532" s="638">
        <v>0</v>
      </c>
      <c r="S2532" s="638">
        <v>242</v>
      </c>
      <c r="T2532" s="638">
        <v>242</v>
      </c>
      <c r="U2532" s="638">
        <v>71</v>
      </c>
      <c r="V2532" s="636">
        <v>2022</v>
      </c>
      <c r="W2532" s="640"/>
      <c r="X2532" s="641">
        <f t="shared" si="117"/>
        <v>3.408450704225352</v>
      </c>
      <c r="Y2532" s="642" t="str">
        <f t="shared" si="118"/>
        <v/>
      </c>
      <c r="Z2532" s="642" t="str">
        <f t="shared" si="119"/>
        <v/>
      </c>
    </row>
    <row r="2533" spans="1:26" s="127" customFormat="1" ht="25">
      <c r="A2533" s="636">
        <v>66182</v>
      </c>
      <c r="B2533" s="637" t="s">
        <v>33</v>
      </c>
      <c r="C2533" s="636" t="s">
        <v>2725</v>
      </c>
      <c r="D2533" s="637" t="s">
        <v>3828</v>
      </c>
      <c r="E2533" s="637" t="s">
        <v>3829</v>
      </c>
      <c r="F2533" s="636">
        <v>65323</v>
      </c>
      <c r="G2533" s="637" t="s">
        <v>81</v>
      </c>
      <c r="H2533" s="637" t="s">
        <v>1163</v>
      </c>
      <c r="I2533" s="637" t="s">
        <v>1156</v>
      </c>
      <c r="J2533" s="636">
        <v>22</v>
      </c>
      <c r="K2533" s="636">
        <v>2</v>
      </c>
      <c r="L2533" s="637" t="s">
        <v>52</v>
      </c>
      <c r="M2533" s="637" t="s">
        <v>1852</v>
      </c>
      <c r="N2533" s="637" t="s">
        <v>1035</v>
      </c>
      <c r="O2533" s="637" t="s">
        <v>82</v>
      </c>
      <c r="P2533" s="637" t="s">
        <v>2726</v>
      </c>
      <c r="Q2533" s="638">
        <v>0</v>
      </c>
      <c r="R2533" s="638">
        <v>0</v>
      </c>
      <c r="S2533" s="638">
        <v>0</v>
      </c>
      <c r="T2533" s="638">
        <v>0</v>
      </c>
      <c r="U2533" s="638">
        <v>0</v>
      </c>
      <c r="V2533" s="636">
        <v>2022</v>
      </c>
      <c r="W2533" s="640"/>
      <c r="X2533" s="641" t="str">
        <f t="shared" si="117"/>
        <v/>
      </c>
      <c r="Y2533" s="642" t="str">
        <f t="shared" si="118"/>
        <v/>
      </c>
      <c r="Z2533" s="642" t="str">
        <f t="shared" si="119"/>
        <v/>
      </c>
    </row>
    <row r="2534" spans="1:26" s="127" customFormat="1" ht="25">
      <c r="A2534" s="636">
        <v>66182</v>
      </c>
      <c r="B2534" s="637" t="s">
        <v>33</v>
      </c>
      <c r="C2534" s="636" t="s">
        <v>2725</v>
      </c>
      <c r="D2534" s="637" t="s">
        <v>3828</v>
      </c>
      <c r="E2534" s="637" t="s">
        <v>3829</v>
      </c>
      <c r="F2534" s="636">
        <v>65323</v>
      </c>
      <c r="G2534" s="637" t="s">
        <v>81</v>
      </c>
      <c r="H2534" s="637" t="s">
        <v>1163</v>
      </c>
      <c r="I2534" s="637" t="s">
        <v>1156</v>
      </c>
      <c r="J2534" s="636">
        <v>22</v>
      </c>
      <c r="K2534" s="636">
        <v>2</v>
      </c>
      <c r="L2534" s="637" t="s">
        <v>52</v>
      </c>
      <c r="M2534" s="637" t="s">
        <v>441</v>
      </c>
      <c r="N2534" s="637" t="s">
        <v>442</v>
      </c>
      <c r="O2534" s="637" t="s">
        <v>442</v>
      </c>
      <c r="P2534" s="637" t="s">
        <v>1156</v>
      </c>
      <c r="Q2534" s="638">
        <v>0</v>
      </c>
      <c r="R2534" s="638">
        <v>0</v>
      </c>
      <c r="S2534" s="638">
        <v>3718</v>
      </c>
      <c r="T2534" s="638">
        <v>3718</v>
      </c>
      <c r="U2534" s="638">
        <v>1090</v>
      </c>
      <c r="V2534" s="636">
        <v>2022</v>
      </c>
      <c r="W2534" s="640"/>
      <c r="X2534" s="641">
        <f t="shared" si="117"/>
        <v>3.4110091743119266</v>
      </c>
      <c r="Y2534" s="642" t="str">
        <f t="shared" si="118"/>
        <v/>
      </c>
      <c r="Z2534" s="642" t="str">
        <f t="shared" si="119"/>
        <v/>
      </c>
    </row>
    <row r="2535" spans="1:26" s="127" customFormat="1" ht="25">
      <c r="A2535" s="636">
        <v>66187</v>
      </c>
      <c r="B2535" s="637" t="s">
        <v>33</v>
      </c>
      <c r="C2535" s="636" t="s">
        <v>2725</v>
      </c>
      <c r="D2535" s="637" t="s">
        <v>3830</v>
      </c>
      <c r="E2535" s="637" t="s">
        <v>2782</v>
      </c>
      <c r="F2535" s="636">
        <v>61194</v>
      </c>
      <c r="G2535" s="637" t="s">
        <v>57</v>
      </c>
      <c r="H2535" s="637" t="s">
        <v>1162</v>
      </c>
      <c r="I2535" s="637" t="s">
        <v>1156</v>
      </c>
      <c r="J2535" s="636">
        <v>22</v>
      </c>
      <c r="K2535" s="636">
        <v>2</v>
      </c>
      <c r="L2535" s="637" t="s">
        <v>52</v>
      </c>
      <c r="M2535" s="637" t="s">
        <v>441</v>
      </c>
      <c r="N2535" s="637" t="s">
        <v>442</v>
      </c>
      <c r="O2535" s="637" t="s">
        <v>442</v>
      </c>
      <c r="P2535" s="637" t="s">
        <v>1156</v>
      </c>
      <c r="Q2535" s="638">
        <v>0</v>
      </c>
      <c r="R2535" s="638">
        <v>0</v>
      </c>
      <c r="S2535" s="638">
        <v>12662</v>
      </c>
      <c r="T2535" s="638">
        <v>12662</v>
      </c>
      <c r="U2535" s="638">
        <v>3711</v>
      </c>
      <c r="V2535" s="636">
        <v>2022</v>
      </c>
      <c r="W2535" s="640"/>
      <c r="X2535" s="641">
        <f t="shared" si="117"/>
        <v>3.4120183239019131</v>
      </c>
      <c r="Y2535" s="642" t="str">
        <f t="shared" si="118"/>
        <v/>
      </c>
      <c r="Z2535" s="642" t="str">
        <f t="shared" si="119"/>
        <v/>
      </c>
    </row>
    <row r="2536" spans="1:26" s="127" customFormat="1" ht="37.5" hidden="1">
      <c r="A2536" s="636">
        <v>66201</v>
      </c>
      <c r="B2536" s="637" t="s">
        <v>33</v>
      </c>
      <c r="C2536" s="636" t="s">
        <v>2725</v>
      </c>
      <c r="D2536" s="637" t="s">
        <v>3831</v>
      </c>
      <c r="E2536" s="637" t="s">
        <v>3832</v>
      </c>
      <c r="F2536" s="636">
        <v>65330</v>
      </c>
      <c r="G2536" s="637" t="s">
        <v>41</v>
      </c>
      <c r="H2536" s="637" t="s">
        <v>1163</v>
      </c>
      <c r="I2536" s="637" t="s">
        <v>1156</v>
      </c>
      <c r="J2536" s="636">
        <v>312</v>
      </c>
      <c r="K2536" s="636">
        <v>6</v>
      </c>
      <c r="L2536" s="637" t="s">
        <v>404</v>
      </c>
      <c r="M2536" s="637" t="s">
        <v>441</v>
      </c>
      <c r="N2536" s="637" t="s">
        <v>442</v>
      </c>
      <c r="O2536" s="637" t="s">
        <v>442</v>
      </c>
      <c r="P2536" s="637" t="s">
        <v>1156</v>
      </c>
      <c r="Q2536" s="638">
        <v>0</v>
      </c>
      <c r="R2536" s="638">
        <v>0</v>
      </c>
      <c r="S2536" s="638">
        <v>170</v>
      </c>
      <c r="T2536" s="638">
        <v>170</v>
      </c>
      <c r="U2536" s="638">
        <v>50</v>
      </c>
      <c r="V2536" s="636">
        <v>2022</v>
      </c>
      <c r="W2536" s="640"/>
      <c r="X2536" s="641" t="str">
        <f t="shared" si="117"/>
        <v/>
      </c>
      <c r="Y2536" s="642" t="str">
        <f t="shared" si="118"/>
        <v/>
      </c>
      <c r="Z2536" s="642" t="str">
        <f t="shared" si="119"/>
        <v/>
      </c>
    </row>
    <row r="2537" spans="1:26" s="127" customFormat="1" ht="25">
      <c r="A2537" s="636">
        <v>66206</v>
      </c>
      <c r="B2537" s="637" t="s">
        <v>33</v>
      </c>
      <c r="C2537" s="636" t="s">
        <v>2725</v>
      </c>
      <c r="D2537" s="637" t="s">
        <v>3833</v>
      </c>
      <c r="E2537" s="637" t="s">
        <v>3834</v>
      </c>
      <c r="F2537" s="636">
        <v>65325</v>
      </c>
      <c r="G2537" s="637" t="s">
        <v>57</v>
      </c>
      <c r="H2537" s="637" t="s">
        <v>1162</v>
      </c>
      <c r="I2537" s="637" t="s">
        <v>1156</v>
      </c>
      <c r="J2537" s="636">
        <v>22</v>
      </c>
      <c r="K2537" s="636">
        <v>2</v>
      </c>
      <c r="L2537" s="637" t="s">
        <v>52</v>
      </c>
      <c r="M2537" s="637" t="s">
        <v>441</v>
      </c>
      <c r="N2537" s="637" t="s">
        <v>442</v>
      </c>
      <c r="O2537" s="637" t="s">
        <v>442</v>
      </c>
      <c r="P2537" s="637" t="s">
        <v>1156</v>
      </c>
      <c r="Q2537" s="638">
        <v>0</v>
      </c>
      <c r="R2537" s="638">
        <v>0</v>
      </c>
      <c r="S2537" s="638">
        <v>4180</v>
      </c>
      <c r="T2537" s="638">
        <v>4180</v>
      </c>
      <c r="U2537" s="638">
        <v>1225</v>
      </c>
      <c r="V2537" s="636">
        <v>2022</v>
      </c>
      <c r="W2537" s="640"/>
      <c r="X2537" s="641">
        <f t="shared" si="117"/>
        <v>3.4122448979591837</v>
      </c>
      <c r="Y2537" s="642" t="str">
        <f t="shared" si="118"/>
        <v/>
      </c>
      <c r="Z2537" s="642" t="str">
        <f t="shared" si="119"/>
        <v/>
      </c>
    </row>
    <row r="2538" spans="1:26" s="127" customFormat="1" ht="25">
      <c r="A2538" s="636">
        <v>66207</v>
      </c>
      <c r="B2538" s="637" t="s">
        <v>33</v>
      </c>
      <c r="C2538" s="636" t="s">
        <v>2725</v>
      </c>
      <c r="D2538" s="637" t="s">
        <v>3835</v>
      </c>
      <c r="E2538" s="637" t="s">
        <v>3836</v>
      </c>
      <c r="F2538" s="636">
        <v>65324</v>
      </c>
      <c r="G2538" s="637" t="s">
        <v>57</v>
      </c>
      <c r="H2538" s="637" t="s">
        <v>1162</v>
      </c>
      <c r="I2538" s="637" t="s">
        <v>1156</v>
      </c>
      <c r="J2538" s="636">
        <v>22</v>
      </c>
      <c r="K2538" s="636">
        <v>2</v>
      </c>
      <c r="L2538" s="637" t="s">
        <v>52</v>
      </c>
      <c r="M2538" s="637" t="s">
        <v>441</v>
      </c>
      <c r="N2538" s="637" t="s">
        <v>442</v>
      </c>
      <c r="O2538" s="637" t="s">
        <v>442</v>
      </c>
      <c r="P2538" s="637" t="s">
        <v>1156</v>
      </c>
      <c r="Q2538" s="638">
        <v>0</v>
      </c>
      <c r="R2538" s="638">
        <v>0</v>
      </c>
      <c r="S2538" s="638">
        <v>2113</v>
      </c>
      <c r="T2538" s="638">
        <v>2113</v>
      </c>
      <c r="U2538" s="638">
        <v>619</v>
      </c>
      <c r="V2538" s="636">
        <v>2022</v>
      </c>
      <c r="W2538" s="640"/>
      <c r="X2538" s="641">
        <f t="shared" si="117"/>
        <v>3.4135702746365104</v>
      </c>
      <c r="Y2538" s="642" t="str">
        <f t="shared" si="118"/>
        <v/>
      </c>
      <c r="Z2538" s="642" t="str">
        <f t="shared" si="119"/>
        <v/>
      </c>
    </row>
    <row r="2539" spans="1:26" s="127" customFormat="1" ht="25">
      <c r="A2539" s="636">
        <v>66209</v>
      </c>
      <c r="B2539" s="637" t="s">
        <v>33</v>
      </c>
      <c r="C2539" s="636" t="s">
        <v>2725</v>
      </c>
      <c r="D2539" s="637" t="s">
        <v>3837</v>
      </c>
      <c r="E2539" s="637" t="s">
        <v>2782</v>
      </c>
      <c r="F2539" s="636">
        <v>61194</v>
      </c>
      <c r="G2539" s="637" t="s">
        <v>57</v>
      </c>
      <c r="H2539" s="637" t="s">
        <v>1162</v>
      </c>
      <c r="I2539" s="637" t="s">
        <v>1156</v>
      </c>
      <c r="J2539" s="636">
        <v>22</v>
      </c>
      <c r="K2539" s="636">
        <v>2</v>
      </c>
      <c r="L2539" s="637" t="s">
        <v>52</v>
      </c>
      <c r="M2539" s="637" t="s">
        <v>441</v>
      </c>
      <c r="N2539" s="637" t="s">
        <v>442</v>
      </c>
      <c r="O2539" s="637" t="s">
        <v>442</v>
      </c>
      <c r="P2539" s="637" t="s">
        <v>1156</v>
      </c>
      <c r="Q2539" s="638">
        <v>0</v>
      </c>
      <c r="R2539" s="638">
        <v>0</v>
      </c>
      <c r="S2539" s="638">
        <v>22500</v>
      </c>
      <c r="T2539" s="638">
        <v>22500</v>
      </c>
      <c r="U2539" s="638">
        <v>6594</v>
      </c>
      <c r="V2539" s="636">
        <v>2022</v>
      </c>
      <c r="W2539" s="640"/>
      <c r="X2539" s="641">
        <f t="shared" si="117"/>
        <v>3.4121929026387625</v>
      </c>
      <c r="Y2539" s="642" t="str">
        <f t="shared" si="118"/>
        <v/>
      </c>
      <c r="Z2539" s="642" t="str">
        <f t="shared" si="119"/>
        <v/>
      </c>
    </row>
    <row r="2540" spans="1:26" s="127" customFormat="1" ht="25">
      <c r="A2540" s="636">
        <v>66210</v>
      </c>
      <c r="B2540" s="637" t="s">
        <v>33</v>
      </c>
      <c r="C2540" s="636" t="s">
        <v>2725</v>
      </c>
      <c r="D2540" s="637" t="s">
        <v>3838</v>
      </c>
      <c r="E2540" s="637" t="s">
        <v>2782</v>
      </c>
      <c r="F2540" s="636">
        <v>61194</v>
      </c>
      <c r="G2540" s="637" t="s">
        <v>57</v>
      </c>
      <c r="H2540" s="637" t="s">
        <v>1162</v>
      </c>
      <c r="I2540" s="637" t="s">
        <v>1156</v>
      </c>
      <c r="J2540" s="636">
        <v>22</v>
      </c>
      <c r="K2540" s="636">
        <v>2</v>
      </c>
      <c r="L2540" s="637" t="s">
        <v>52</v>
      </c>
      <c r="M2540" s="637" t="s">
        <v>441</v>
      </c>
      <c r="N2540" s="637" t="s">
        <v>442</v>
      </c>
      <c r="O2540" s="637" t="s">
        <v>442</v>
      </c>
      <c r="P2540" s="637" t="s">
        <v>1156</v>
      </c>
      <c r="Q2540" s="638">
        <v>0</v>
      </c>
      <c r="R2540" s="638">
        <v>0</v>
      </c>
      <c r="S2540" s="638">
        <v>12220</v>
      </c>
      <c r="T2540" s="638">
        <v>12220</v>
      </c>
      <c r="U2540" s="638">
        <v>3582</v>
      </c>
      <c r="V2540" s="636">
        <v>2022</v>
      </c>
      <c r="W2540" s="640"/>
      <c r="X2540" s="641">
        <f t="shared" si="117"/>
        <v>3.411501954215522</v>
      </c>
      <c r="Y2540" s="642" t="str">
        <f t="shared" si="118"/>
        <v/>
      </c>
      <c r="Z2540" s="642" t="str">
        <f t="shared" si="119"/>
        <v/>
      </c>
    </row>
    <row r="2541" spans="1:26" s="127" customFormat="1" ht="25">
      <c r="A2541" s="636">
        <v>66211</v>
      </c>
      <c r="B2541" s="637" t="s">
        <v>33</v>
      </c>
      <c r="C2541" s="636" t="s">
        <v>2725</v>
      </c>
      <c r="D2541" s="637" t="s">
        <v>3839</v>
      </c>
      <c r="E2541" s="637" t="s">
        <v>2782</v>
      </c>
      <c r="F2541" s="636">
        <v>61194</v>
      </c>
      <c r="G2541" s="637" t="s">
        <v>57</v>
      </c>
      <c r="H2541" s="637" t="s">
        <v>1162</v>
      </c>
      <c r="I2541" s="637" t="s">
        <v>1156</v>
      </c>
      <c r="J2541" s="636">
        <v>22</v>
      </c>
      <c r="K2541" s="636">
        <v>2</v>
      </c>
      <c r="L2541" s="637" t="s">
        <v>52</v>
      </c>
      <c r="M2541" s="637" t="s">
        <v>441</v>
      </c>
      <c r="N2541" s="637" t="s">
        <v>442</v>
      </c>
      <c r="O2541" s="637" t="s">
        <v>442</v>
      </c>
      <c r="P2541" s="637" t="s">
        <v>1156</v>
      </c>
      <c r="Q2541" s="638">
        <v>0</v>
      </c>
      <c r="R2541" s="638">
        <v>0</v>
      </c>
      <c r="S2541" s="638">
        <v>12442</v>
      </c>
      <c r="T2541" s="638">
        <v>12442</v>
      </c>
      <c r="U2541" s="638">
        <v>3647</v>
      </c>
      <c r="V2541" s="636">
        <v>2022</v>
      </c>
      <c r="W2541" s="640"/>
      <c r="X2541" s="641">
        <f t="shared" si="117"/>
        <v>3.4115711543734575</v>
      </c>
      <c r="Y2541" s="642" t="str">
        <f t="shared" si="118"/>
        <v/>
      </c>
      <c r="Z2541" s="642" t="str">
        <f t="shared" si="119"/>
        <v/>
      </c>
    </row>
    <row r="2542" spans="1:26" s="127" customFormat="1" ht="25">
      <c r="A2542" s="636">
        <v>66212</v>
      </c>
      <c r="B2542" s="637" t="s">
        <v>33</v>
      </c>
      <c r="C2542" s="636" t="s">
        <v>2725</v>
      </c>
      <c r="D2542" s="637" t="s">
        <v>3840</v>
      </c>
      <c r="E2542" s="637" t="s">
        <v>2782</v>
      </c>
      <c r="F2542" s="636">
        <v>61194</v>
      </c>
      <c r="G2542" s="637" t="s">
        <v>57</v>
      </c>
      <c r="H2542" s="637" t="s">
        <v>1162</v>
      </c>
      <c r="I2542" s="637" t="s">
        <v>1156</v>
      </c>
      <c r="J2542" s="636">
        <v>22</v>
      </c>
      <c r="K2542" s="636">
        <v>2</v>
      </c>
      <c r="L2542" s="637" t="s">
        <v>52</v>
      </c>
      <c r="M2542" s="637" t="s">
        <v>441</v>
      </c>
      <c r="N2542" s="637" t="s">
        <v>442</v>
      </c>
      <c r="O2542" s="637" t="s">
        <v>442</v>
      </c>
      <c r="P2542" s="637" t="s">
        <v>1156</v>
      </c>
      <c r="Q2542" s="638">
        <v>0</v>
      </c>
      <c r="R2542" s="638">
        <v>0</v>
      </c>
      <c r="S2542" s="638">
        <v>29116</v>
      </c>
      <c r="T2542" s="638">
        <v>29116</v>
      </c>
      <c r="U2542" s="638">
        <v>8533</v>
      </c>
      <c r="V2542" s="636">
        <v>2022</v>
      </c>
      <c r="W2542" s="640"/>
      <c r="X2542" s="641">
        <f t="shared" si="117"/>
        <v>3.4121645376772531</v>
      </c>
      <c r="Y2542" s="642" t="str">
        <f t="shared" si="118"/>
        <v/>
      </c>
      <c r="Z2542" s="642" t="str">
        <f t="shared" si="119"/>
        <v/>
      </c>
    </row>
    <row r="2543" spans="1:26" s="127" customFormat="1" ht="25">
      <c r="A2543" s="636">
        <v>66213</v>
      </c>
      <c r="B2543" s="637" t="s">
        <v>33</v>
      </c>
      <c r="C2543" s="636" t="s">
        <v>2725</v>
      </c>
      <c r="D2543" s="637" t="s">
        <v>3841</v>
      </c>
      <c r="E2543" s="637" t="s">
        <v>2782</v>
      </c>
      <c r="F2543" s="636">
        <v>61194</v>
      </c>
      <c r="G2543" s="637" t="s">
        <v>57</v>
      </c>
      <c r="H2543" s="637" t="s">
        <v>1162</v>
      </c>
      <c r="I2543" s="637" t="s">
        <v>1156</v>
      </c>
      <c r="J2543" s="636">
        <v>22</v>
      </c>
      <c r="K2543" s="636">
        <v>2</v>
      </c>
      <c r="L2543" s="637" t="s">
        <v>52</v>
      </c>
      <c r="M2543" s="637" t="s">
        <v>441</v>
      </c>
      <c r="N2543" s="637" t="s">
        <v>442</v>
      </c>
      <c r="O2543" s="637" t="s">
        <v>442</v>
      </c>
      <c r="P2543" s="637" t="s">
        <v>1156</v>
      </c>
      <c r="Q2543" s="638">
        <v>0</v>
      </c>
      <c r="R2543" s="638">
        <v>0</v>
      </c>
      <c r="S2543" s="638">
        <v>12569</v>
      </c>
      <c r="T2543" s="638">
        <v>12569</v>
      </c>
      <c r="U2543" s="638">
        <v>3684</v>
      </c>
      <c r="V2543" s="636">
        <v>2022</v>
      </c>
      <c r="W2543" s="640"/>
      <c r="X2543" s="641">
        <f t="shared" si="117"/>
        <v>3.4117806731813247</v>
      </c>
      <c r="Y2543" s="642" t="str">
        <f t="shared" si="118"/>
        <v/>
      </c>
      <c r="Z2543" s="642" t="str">
        <f t="shared" si="119"/>
        <v/>
      </c>
    </row>
    <row r="2544" spans="1:26" s="127" customFormat="1" ht="25">
      <c r="A2544" s="636">
        <v>66214</v>
      </c>
      <c r="B2544" s="637" t="s">
        <v>33</v>
      </c>
      <c r="C2544" s="636" t="s">
        <v>2725</v>
      </c>
      <c r="D2544" s="637" t="s">
        <v>3842</v>
      </c>
      <c r="E2544" s="637" t="s">
        <v>2782</v>
      </c>
      <c r="F2544" s="636">
        <v>61194</v>
      </c>
      <c r="G2544" s="637" t="s">
        <v>57</v>
      </c>
      <c r="H2544" s="637" t="s">
        <v>1162</v>
      </c>
      <c r="I2544" s="637" t="s">
        <v>1156</v>
      </c>
      <c r="J2544" s="636">
        <v>22</v>
      </c>
      <c r="K2544" s="636">
        <v>2</v>
      </c>
      <c r="L2544" s="637" t="s">
        <v>52</v>
      </c>
      <c r="M2544" s="637" t="s">
        <v>441</v>
      </c>
      <c r="N2544" s="637" t="s">
        <v>442</v>
      </c>
      <c r="O2544" s="637" t="s">
        <v>442</v>
      </c>
      <c r="P2544" s="637" t="s">
        <v>1156</v>
      </c>
      <c r="Q2544" s="638">
        <v>0</v>
      </c>
      <c r="R2544" s="638">
        <v>0</v>
      </c>
      <c r="S2544" s="638">
        <v>30539</v>
      </c>
      <c r="T2544" s="638">
        <v>30539</v>
      </c>
      <c r="U2544" s="638">
        <v>8950</v>
      </c>
      <c r="V2544" s="636">
        <v>2022</v>
      </c>
      <c r="W2544" s="640"/>
      <c r="X2544" s="641">
        <f t="shared" si="117"/>
        <v>3.4121787709497209</v>
      </c>
      <c r="Y2544" s="642" t="str">
        <f t="shared" si="118"/>
        <v/>
      </c>
      <c r="Z2544" s="642" t="str">
        <f t="shared" si="119"/>
        <v/>
      </c>
    </row>
    <row r="2545" spans="1:26" s="127" customFormat="1" ht="25">
      <c r="A2545" s="636">
        <v>66215</v>
      </c>
      <c r="B2545" s="637" t="s">
        <v>33</v>
      </c>
      <c r="C2545" s="636" t="s">
        <v>2725</v>
      </c>
      <c r="D2545" s="637" t="s">
        <v>3843</v>
      </c>
      <c r="E2545" s="637" t="s">
        <v>2782</v>
      </c>
      <c r="F2545" s="636">
        <v>61194</v>
      </c>
      <c r="G2545" s="637" t="s">
        <v>57</v>
      </c>
      <c r="H2545" s="637" t="s">
        <v>1162</v>
      </c>
      <c r="I2545" s="637" t="s">
        <v>1156</v>
      </c>
      <c r="J2545" s="636">
        <v>22</v>
      </c>
      <c r="K2545" s="636">
        <v>2</v>
      </c>
      <c r="L2545" s="637" t="s">
        <v>52</v>
      </c>
      <c r="M2545" s="637" t="s">
        <v>441</v>
      </c>
      <c r="N2545" s="637" t="s">
        <v>442</v>
      </c>
      <c r="O2545" s="637" t="s">
        <v>442</v>
      </c>
      <c r="P2545" s="637" t="s">
        <v>1156</v>
      </c>
      <c r="Q2545" s="638">
        <v>0</v>
      </c>
      <c r="R2545" s="638">
        <v>0</v>
      </c>
      <c r="S2545" s="638">
        <v>23242</v>
      </c>
      <c r="T2545" s="638">
        <v>23242</v>
      </c>
      <c r="U2545" s="638">
        <v>6812</v>
      </c>
      <c r="V2545" s="636">
        <v>2022</v>
      </c>
      <c r="W2545" s="640"/>
      <c r="X2545" s="641">
        <f t="shared" si="117"/>
        <v>3.4119201409277746</v>
      </c>
      <c r="Y2545" s="642" t="str">
        <f t="shared" si="118"/>
        <v/>
      </c>
      <c r="Z2545" s="642" t="str">
        <f t="shared" si="119"/>
        <v/>
      </c>
    </row>
    <row r="2546" spans="1:26" s="127" customFormat="1" ht="25">
      <c r="A2546" s="636">
        <v>66217</v>
      </c>
      <c r="B2546" s="637" t="s">
        <v>33</v>
      </c>
      <c r="C2546" s="636" t="s">
        <v>2725</v>
      </c>
      <c r="D2546" s="637" t="s">
        <v>3844</v>
      </c>
      <c r="E2546" s="637" t="s">
        <v>2782</v>
      </c>
      <c r="F2546" s="636">
        <v>61194</v>
      </c>
      <c r="G2546" s="637" t="s">
        <v>57</v>
      </c>
      <c r="H2546" s="637" t="s">
        <v>1162</v>
      </c>
      <c r="I2546" s="637" t="s">
        <v>1156</v>
      </c>
      <c r="J2546" s="636">
        <v>22</v>
      </c>
      <c r="K2546" s="636">
        <v>2</v>
      </c>
      <c r="L2546" s="637" t="s">
        <v>52</v>
      </c>
      <c r="M2546" s="637" t="s">
        <v>441</v>
      </c>
      <c r="N2546" s="637" t="s">
        <v>442</v>
      </c>
      <c r="O2546" s="637" t="s">
        <v>442</v>
      </c>
      <c r="P2546" s="637" t="s">
        <v>1156</v>
      </c>
      <c r="Q2546" s="638">
        <v>0</v>
      </c>
      <c r="R2546" s="638">
        <v>0</v>
      </c>
      <c r="S2546" s="638">
        <v>6701</v>
      </c>
      <c r="T2546" s="638">
        <v>6701</v>
      </c>
      <c r="U2546" s="638">
        <v>1964</v>
      </c>
      <c r="V2546" s="636">
        <v>2022</v>
      </c>
      <c r="W2546" s="640"/>
      <c r="X2546" s="641">
        <f t="shared" si="117"/>
        <v>3.4119144602851326</v>
      </c>
      <c r="Y2546" s="642" t="str">
        <f t="shared" si="118"/>
        <v/>
      </c>
      <c r="Z2546" s="642" t="str">
        <f t="shared" si="119"/>
        <v/>
      </c>
    </row>
    <row r="2547" spans="1:26" s="127" customFormat="1" ht="25">
      <c r="A2547" s="636">
        <v>66218</v>
      </c>
      <c r="B2547" s="637" t="s">
        <v>33</v>
      </c>
      <c r="C2547" s="636" t="s">
        <v>2725</v>
      </c>
      <c r="D2547" s="637" t="s">
        <v>3845</v>
      </c>
      <c r="E2547" s="637" t="s">
        <v>2782</v>
      </c>
      <c r="F2547" s="636">
        <v>61194</v>
      </c>
      <c r="G2547" s="637" t="s">
        <v>57</v>
      </c>
      <c r="H2547" s="637" t="s">
        <v>1162</v>
      </c>
      <c r="I2547" s="637" t="s">
        <v>1156</v>
      </c>
      <c r="J2547" s="636">
        <v>22</v>
      </c>
      <c r="K2547" s="636">
        <v>2</v>
      </c>
      <c r="L2547" s="637" t="s">
        <v>52</v>
      </c>
      <c r="M2547" s="637" t="s">
        <v>1852</v>
      </c>
      <c r="N2547" s="637" t="s">
        <v>1035</v>
      </c>
      <c r="O2547" s="637" t="s">
        <v>82</v>
      </c>
      <c r="P2547" s="637" t="s">
        <v>2726</v>
      </c>
      <c r="Q2547" s="638">
        <v>754</v>
      </c>
      <c r="R2547" s="638">
        <v>754</v>
      </c>
      <c r="S2547" s="638">
        <v>0</v>
      </c>
      <c r="T2547" s="638">
        <v>0</v>
      </c>
      <c r="U2547" s="638">
        <v>-77</v>
      </c>
      <c r="V2547" s="636">
        <v>2022</v>
      </c>
      <c r="W2547" s="640"/>
      <c r="X2547" s="641" t="str">
        <f t="shared" si="117"/>
        <v/>
      </c>
      <c r="Y2547" s="642" t="str">
        <f t="shared" si="118"/>
        <v/>
      </c>
      <c r="Z2547" s="642" t="str">
        <f t="shared" si="119"/>
        <v/>
      </c>
    </row>
    <row r="2548" spans="1:26" s="127" customFormat="1" ht="25">
      <c r="A2548" s="636">
        <v>66218</v>
      </c>
      <c r="B2548" s="637" t="s">
        <v>33</v>
      </c>
      <c r="C2548" s="636" t="s">
        <v>2725</v>
      </c>
      <c r="D2548" s="637" t="s">
        <v>3845</v>
      </c>
      <c r="E2548" s="637" t="s">
        <v>2782</v>
      </c>
      <c r="F2548" s="636">
        <v>61194</v>
      </c>
      <c r="G2548" s="637" t="s">
        <v>57</v>
      </c>
      <c r="H2548" s="637" t="s">
        <v>1162</v>
      </c>
      <c r="I2548" s="637" t="s">
        <v>1156</v>
      </c>
      <c r="J2548" s="636">
        <v>22</v>
      </c>
      <c r="K2548" s="636">
        <v>2</v>
      </c>
      <c r="L2548" s="637" t="s">
        <v>52</v>
      </c>
      <c r="M2548" s="637" t="s">
        <v>441</v>
      </c>
      <c r="N2548" s="637" t="s">
        <v>442</v>
      </c>
      <c r="O2548" s="637" t="s">
        <v>442</v>
      </c>
      <c r="P2548" s="637" t="s">
        <v>1156</v>
      </c>
      <c r="Q2548" s="638">
        <v>0</v>
      </c>
      <c r="R2548" s="638">
        <v>0</v>
      </c>
      <c r="S2548" s="638">
        <v>10997</v>
      </c>
      <c r="T2548" s="638">
        <v>10997</v>
      </c>
      <c r="U2548" s="638">
        <v>3223</v>
      </c>
      <c r="V2548" s="636">
        <v>2022</v>
      </c>
      <c r="W2548" s="640"/>
      <c r="X2548" s="641">
        <f t="shared" si="117"/>
        <v>3.4120384734719207</v>
      </c>
      <c r="Y2548" s="642" t="str">
        <f t="shared" si="118"/>
        <v/>
      </c>
      <c r="Z2548" s="642" t="str">
        <f t="shared" si="119"/>
        <v/>
      </c>
    </row>
    <row r="2549" spans="1:26" s="127" customFormat="1" ht="25">
      <c r="A2549" s="636">
        <v>66220</v>
      </c>
      <c r="B2549" s="637" t="s">
        <v>33</v>
      </c>
      <c r="C2549" s="636" t="s">
        <v>2725</v>
      </c>
      <c r="D2549" s="637" t="s">
        <v>3846</v>
      </c>
      <c r="E2549" s="637" t="s">
        <v>2782</v>
      </c>
      <c r="F2549" s="636">
        <v>61194</v>
      </c>
      <c r="G2549" s="637" t="s">
        <v>57</v>
      </c>
      <c r="H2549" s="637" t="s">
        <v>1162</v>
      </c>
      <c r="I2549" s="637" t="s">
        <v>1156</v>
      </c>
      <c r="J2549" s="636">
        <v>22</v>
      </c>
      <c r="K2549" s="636">
        <v>2</v>
      </c>
      <c r="L2549" s="637" t="s">
        <v>52</v>
      </c>
      <c r="M2549" s="637" t="s">
        <v>441</v>
      </c>
      <c r="N2549" s="637" t="s">
        <v>442</v>
      </c>
      <c r="O2549" s="637" t="s">
        <v>442</v>
      </c>
      <c r="P2549" s="637" t="s">
        <v>1156</v>
      </c>
      <c r="Q2549" s="638">
        <v>0</v>
      </c>
      <c r="R2549" s="638">
        <v>0</v>
      </c>
      <c r="S2549" s="638">
        <v>27222</v>
      </c>
      <c r="T2549" s="638">
        <v>27222</v>
      </c>
      <c r="U2549" s="638">
        <v>7978</v>
      </c>
      <c r="V2549" s="636">
        <v>2022</v>
      </c>
      <c r="W2549" s="640"/>
      <c r="X2549" s="641">
        <f t="shared" si="117"/>
        <v>3.412133366758586</v>
      </c>
      <c r="Y2549" s="642" t="str">
        <f t="shared" si="118"/>
        <v/>
      </c>
      <c r="Z2549" s="642" t="str">
        <f t="shared" si="119"/>
        <v/>
      </c>
    </row>
    <row r="2550" spans="1:26" s="127" customFormat="1" ht="25">
      <c r="A2550" s="636">
        <v>66221</v>
      </c>
      <c r="B2550" s="637" t="s">
        <v>33</v>
      </c>
      <c r="C2550" s="636" t="s">
        <v>2725</v>
      </c>
      <c r="D2550" s="637" t="s">
        <v>3847</v>
      </c>
      <c r="E2550" s="637" t="s">
        <v>2782</v>
      </c>
      <c r="F2550" s="636">
        <v>61194</v>
      </c>
      <c r="G2550" s="637" t="s">
        <v>57</v>
      </c>
      <c r="H2550" s="637" t="s">
        <v>1162</v>
      </c>
      <c r="I2550" s="637" t="s">
        <v>1156</v>
      </c>
      <c r="J2550" s="636">
        <v>22</v>
      </c>
      <c r="K2550" s="636">
        <v>2</v>
      </c>
      <c r="L2550" s="637" t="s">
        <v>52</v>
      </c>
      <c r="M2550" s="637" t="s">
        <v>441</v>
      </c>
      <c r="N2550" s="637" t="s">
        <v>442</v>
      </c>
      <c r="O2550" s="637" t="s">
        <v>442</v>
      </c>
      <c r="P2550" s="637" t="s">
        <v>1156</v>
      </c>
      <c r="Q2550" s="638">
        <v>0</v>
      </c>
      <c r="R2550" s="638">
        <v>0</v>
      </c>
      <c r="S2550" s="638">
        <v>25923</v>
      </c>
      <c r="T2550" s="638">
        <v>25923</v>
      </c>
      <c r="U2550" s="638">
        <v>7597</v>
      </c>
      <c r="V2550" s="636">
        <v>2022</v>
      </c>
      <c r="W2550" s="640"/>
      <c r="X2550" s="641">
        <f t="shared" si="117"/>
        <v>3.4122680005265238</v>
      </c>
      <c r="Y2550" s="642" t="str">
        <f t="shared" si="118"/>
        <v/>
      </c>
      <c r="Z2550" s="642" t="str">
        <f t="shared" si="119"/>
        <v/>
      </c>
    </row>
    <row r="2551" spans="1:26" s="127" customFormat="1" ht="25">
      <c r="A2551" s="636">
        <v>66222</v>
      </c>
      <c r="B2551" s="637" t="s">
        <v>33</v>
      </c>
      <c r="C2551" s="636" t="s">
        <v>2725</v>
      </c>
      <c r="D2551" s="637" t="s">
        <v>3848</v>
      </c>
      <c r="E2551" s="637" t="s">
        <v>2782</v>
      </c>
      <c r="F2551" s="636">
        <v>61194</v>
      </c>
      <c r="G2551" s="637" t="s">
        <v>57</v>
      </c>
      <c r="H2551" s="637" t="s">
        <v>1162</v>
      </c>
      <c r="I2551" s="637" t="s">
        <v>1156</v>
      </c>
      <c r="J2551" s="636">
        <v>22</v>
      </c>
      <c r="K2551" s="636">
        <v>2</v>
      </c>
      <c r="L2551" s="637" t="s">
        <v>52</v>
      </c>
      <c r="M2551" s="637" t="s">
        <v>1852</v>
      </c>
      <c r="N2551" s="637" t="s">
        <v>1035</v>
      </c>
      <c r="O2551" s="637" t="s">
        <v>82</v>
      </c>
      <c r="P2551" s="637" t="s">
        <v>2726</v>
      </c>
      <c r="Q2551" s="638">
        <v>318</v>
      </c>
      <c r="R2551" s="638">
        <v>318</v>
      </c>
      <c r="S2551" s="638">
        <v>0</v>
      </c>
      <c r="T2551" s="638">
        <v>0</v>
      </c>
      <c r="U2551" s="638">
        <v>-8</v>
      </c>
      <c r="V2551" s="636">
        <v>2022</v>
      </c>
      <c r="W2551" s="640"/>
      <c r="X2551" s="641" t="str">
        <f t="shared" si="117"/>
        <v/>
      </c>
      <c r="Y2551" s="642" t="str">
        <f t="shared" si="118"/>
        <v/>
      </c>
      <c r="Z2551" s="642" t="str">
        <f t="shared" si="119"/>
        <v/>
      </c>
    </row>
    <row r="2552" spans="1:26" s="127" customFormat="1" ht="25">
      <c r="A2552" s="636">
        <v>66222</v>
      </c>
      <c r="B2552" s="637" t="s">
        <v>33</v>
      </c>
      <c r="C2552" s="636" t="s">
        <v>2725</v>
      </c>
      <c r="D2552" s="637" t="s">
        <v>3848</v>
      </c>
      <c r="E2552" s="637" t="s">
        <v>2782</v>
      </c>
      <c r="F2552" s="636">
        <v>61194</v>
      </c>
      <c r="G2552" s="637" t="s">
        <v>57</v>
      </c>
      <c r="H2552" s="637" t="s">
        <v>1162</v>
      </c>
      <c r="I2552" s="637" t="s">
        <v>1156</v>
      </c>
      <c r="J2552" s="636">
        <v>22</v>
      </c>
      <c r="K2552" s="636">
        <v>2</v>
      </c>
      <c r="L2552" s="637" t="s">
        <v>52</v>
      </c>
      <c r="M2552" s="637" t="s">
        <v>441</v>
      </c>
      <c r="N2552" s="637" t="s">
        <v>442</v>
      </c>
      <c r="O2552" s="637" t="s">
        <v>442</v>
      </c>
      <c r="P2552" s="637" t="s">
        <v>1156</v>
      </c>
      <c r="Q2552" s="638">
        <v>0</v>
      </c>
      <c r="R2552" s="638">
        <v>0</v>
      </c>
      <c r="S2552" s="638">
        <v>13321</v>
      </c>
      <c r="T2552" s="638">
        <v>13321</v>
      </c>
      <c r="U2552" s="638">
        <v>3904</v>
      </c>
      <c r="V2552" s="636">
        <v>2022</v>
      </c>
      <c r="W2552" s="640"/>
      <c r="X2552" s="641">
        <f t="shared" si="117"/>
        <v>3.412141393442623</v>
      </c>
      <c r="Y2552" s="642" t="str">
        <f t="shared" si="118"/>
        <v/>
      </c>
      <c r="Z2552" s="642" t="str">
        <f t="shared" si="119"/>
        <v/>
      </c>
    </row>
    <row r="2553" spans="1:26" s="127" customFormat="1" ht="25">
      <c r="A2553" s="636">
        <v>66223</v>
      </c>
      <c r="B2553" s="637" t="s">
        <v>33</v>
      </c>
      <c r="C2553" s="636" t="s">
        <v>2725</v>
      </c>
      <c r="D2553" s="637" t="s">
        <v>3849</v>
      </c>
      <c r="E2553" s="637" t="s">
        <v>2782</v>
      </c>
      <c r="F2553" s="636">
        <v>61194</v>
      </c>
      <c r="G2553" s="637" t="s">
        <v>57</v>
      </c>
      <c r="H2553" s="637" t="s">
        <v>1162</v>
      </c>
      <c r="I2553" s="637" t="s">
        <v>1156</v>
      </c>
      <c r="J2553" s="636">
        <v>22</v>
      </c>
      <c r="K2553" s="636">
        <v>2</v>
      </c>
      <c r="L2553" s="637" t="s">
        <v>52</v>
      </c>
      <c r="M2553" s="637" t="s">
        <v>441</v>
      </c>
      <c r="N2553" s="637" t="s">
        <v>442</v>
      </c>
      <c r="O2553" s="637" t="s">
        <v>442</v>
      </c>
      <c r="P2553" s="637" t="s">
        <v>1156</v>
      </c>
      <c r="Q2553" s="638">
        <v>0</v>
      </c>
      <c r="R2553" s="638">
        <v>0</v>
      </c>
      <c r="S2553" s="638">
        <v>0</v>
      </c>
      <c r="T2553" s="638">
        <v>0</v>
      </c>
      <c r="U2553" s="638">
        <v>0</v>
      </c>
      <c r="V2553" s="636">
        <v>2022</v>
      </c>
      <c r="W2553" s="640"/>
      <c r="X2553" s="641" t="str">
        <f t="shared" si="117"/>
        <v/>
      </c>
      <c r="Y2553" s="642" t="str">
        <f t="shared" si="118"/>
        <v/>
      </c>
      <c r="Z2553" s="642" t="str">
        <f t="shared" si="119"/>
        <v/>
      </c>
    </row>
    <row r="2554" spans="1:26" s="127" customFormat="1" ht="25">
      <c r="A2554" s="636">
        <v>66224</v>
      </c>
      <c r="B2554" s="637" t="s">
        <v>33</v>
      </c>
      <c r="C2554" s="636" t="s">
        <v>2725</v>
      </c>
      <c r="D2554" s="637" t="s">
        <v>3850</v>
      </c>
      <c r="E2554" s="637" t="s">
        <v>2782</v>
      </c>
      <c r="F2554" s="636">
        <v>61194</v>
      </c>
      <c r="G2554" s="637" t="s">
        <v>57</v>
      </c>
      <c r="H2554" s="637" t="s">
        <v>1162</v>
      </c>
      <c r="I2554" s="637" t="s">
        <v>1156</v>
      </c>
      <c r="J2554" s="636">
        <v>22</v>
      </c>
      <c r="K2554" s="636">
        <v>2</v>
      </c>
      <c r="L2554" s="637" t="s">
        <v>52</v>
      </c>
      <c r="M2554" s="637" t="s">
        <v>441</v>
      </c>
      <c r="N2554" s="637" t="s">
        <v>442</v>
      </c>
      <c r="O2554" s="637" t="s">
        <v>442</v>
      </c>
      <c r="P2554" s="637" t="s">
        <v>1156</v>
      </c>
      <c r="Q2554" s="638">
        <v>0</v>
      </c>
      <c r="R2554" s="638">
        <v>0</v>
      </c>
      <c r="S2554" s="638">
        <v>11931</v>
      </c>
      <c r="T2554" s="638">
        <v>11931</v>
      </c>
      <c r="U2554" s="638">
        <v>3496</v>
      </c>
      <c r="V2554" s="636">
        <v>2022</v>
      </c>
      <c r="W2554" s="640"/>
      <c r="X2554" s="641">
        <f t="shared" si="117"/>
        <v>3.4127574370709381</v>
      </c>
      <c r="Y2554" s="642" t="str">
        <f t="shared" si="118"/>
        <v/>
      </c>
      <c r="Z2554" s="642" t="str">
        <f t="shared" si="119"/>
        <v/>
      </c>
    </row>
    <row r="2555" spans="1:26" s="127" customFormat="1" ht="25">
      <c r="A2555" s="636">
        <v>66225</v>
      </c>
      <c r="B2555" s="637" t="s">
        <v>33</v>
      </c>
      <c r="C2555" s="636" t="s">
        <v>2725</v>
      </c>
      <c r="D2555" s="637" t="s">
        <v>3851</v>
      </c>
      <c r="E2555" s="637" t="s">
        <v>2782</v>
      </c>
      <c r="F2555" s="636">
        <v>61194</v>
      </c>
      <c r="G2555" s="637" t="s">
        <v>57</v>
      </c>
      <c r="H2555" s="637" t="s">
        <v>1162</v>
      </c>
      <c r="I2555" s="637" t="s">
        <v>1156</v>
      </c>
      <c r="J2555" s="636">
        <v>22</v>
      </c>
      <c r="K2555" s="636">
        <v>2</v>
      </c>
      <c r="L2555" s="637" t="s">
        <v>52</v>
      </c>
      <c r="M2555" s="637" t="s">
        <v>441</v>
      </c>
      <c r="N2555" s="637" t="s">
        <v>442</v>
      </c>
      <c r="O2555" s="637" t="s">
        <v>442</v>
      </c>
      <c r="P2555" s="637" t="s">
        <v>1156</v>
      </c>
      <c r="Q2555" s="638">
        <v>0</v>
      </c>
      <c r="R2555" s="638">
        <v>0</v>
      </c>
      <c r="S2555" s="638">
        <v>29231</v>
      </c>
      <c r="T2555" s="638">
        <v>29231</v>
      </c>
      <c r="U2555" s="638">
        <v>8567</v>
      </c>
      <c r="V2555" s="636">
        <v>2022</v>
      </c>
      <c r="W2555" s="640"/>
      <c r="X2555" s="641">
        <f t="shared" si="117"/>
        <v>3.412046223882339</v>
      </c>
      <c r="Y2555" s="642" t="str">
        <f t="shared" si="118"/>
        <v/>
      </c>
      <c r="Z2555" s="642" t="str">
        <f t="shared" si="119"/>
        <v/>
      </c>
    </row>
    <row r="2556" spans="1:26" s="127" customFormat="1" ht="25">
      <c r="A2556" s="636">
        <v>66226</v>
      </c>
      <c r="B2556" s="637" t="s">
        <v>33</v>
      </c>
      <c r="C2556" s="636" t="s">
        <v>2725</v>
      </c>
      <c r="D2556" s="637" t="s">
        <v>3852</v>
      </c>
      <c r="E2556" s="637" t="s">
        <v>2782</v>
      </c>
      <c r="F2556" s="636">
        <v>61194</v>
      </c>
      <c r="G2556" s="637" t="s">
        <v>57</v>
      </c>
      <c r="H2556" s="637" t="s">
        <v>1162</v>
      </c>
      <c r="I2556" s="637" t="s">
        <v>1156</v>
      </c>
      <c r="J2556" s="636">
        <v>22</v>
      </c>
      <c r="K2556" s="636">
        <v>2</v>
      </c>
      <c r="L2556" s="637" t="s">
        <v>52</v>
      </c>
      <c r="M2556" s="637" t="s">
        <v>441</v>
      </c>
      <c r="N2556" s="637" t="s">
        <v>442</v>
      </c>
      <c r="O2556" s="637" t="s">
        <v>442</v>
      </c>
      <c r="P2556" s="637" t="s">
        <v>1156</v>
      </c>
      <c r="Q2556" s="638">
        <v>0</v>
      </c>
      <c r="R2556" s="638">
        <v>0</v>
      </c>
      <c r="S2556" s="638">
        <v>25620</v>
      </c>
      <c r="T2556" s="638">
        <v>25620</v>
      </c>
      <c r="U2556" s="638">
        <v>7509</v>
      </c>
      <c r="V2556" s="636">
        <v>2022</v>
      </c>
      <c r="W2556" s="640"/>
      <c r="X2556" s="641">
        <f t="shared" si="117"/>
        <v>3.4119057131442267</v>
      </c>
      <c r="Y2556" s="642" t="str">
        <f t="shared" si="118"/>
        <v/>
      </c>
      <c r="Z2556" s="642" t="str">
        <f t="shared" si="119"/>
        <v/>
      </c>
    </row>
    <row r="2557" spans="1:26" s="127" customFormat="1" ht="25">
      <c r="A2557" s="636">
        <v>66227</v>
      </c>
      <c r="B2557" s="637" t="s">
        <v>33</v>
      </c>
      <c r="C2557" s="636" t="s">
        <v>2725</v>
      </c>
      <c r="D2557" s="637" t="s">
        <v>3853</v>
      </c>
      <c r="E2557" s="637" t="s">
        <v>2782</v>
      </c>
      <c r="F2557" s="636">
        <v>61194</v>
      </c>
      <c r="G2557" s="637" t="s">
        <v>57</v>
      </c>
      <c r="H2557" s="637" t="s">
        <v>1162</v>
      </c>
      <c r="I2557" s="637" t="s">
        <v>1156</v>
      </c>
      <c r="J2557" s="636">
        <v>22</v>
      </c>
      <c r="K2557" s="636">
        <v>2</v>
      </c>
      <c r="L2557" s="637" t="s">
        <v>52</v>
      </c>
      <c r="M2557" s="637" t="s">
        <v>441</v>
      </c>
      <c r="N2557" s="637" t="s">
        <v>442</v>
      </c>
      <c r="O2557" s="637" t="s">
        <v>442</v>
      </c>
      <c r="P2557" s="637" t="s">
        <v>1156</v>
      </c>
      <c r="Q2557" s="638">
        <v>0</v>
      </c>
      <c r="R2557" s="638">
        <v>0</v>
      </c>
      <c r="S2557" s="638">
        <v>11081</v>
      </c>
      <c r="T2557" s="638">
        <v>11081</v>
      </c>
      <c r="U2557" s="638">
        <v>3248</v>
      </c>
      <c r="V2557" s="636">
        <v>2022</v>
      </c>
      <c r="W2557" s="640"/>
      <c r="X2557" s="641">
        <f t="shared" si="117"/>
        <v>3.4116379310344827</v>
      </c>
      <c r="Y2557" s="642" t="str">
        <f t="shared" si="118"/>
        <v/>
      </c>
      <c r="Z2557" s="642" t="str">
        <f t="shared" si="119"/>
        <v/>
      </c>
    </row>
    <row r="2558" spans="1:26" s="127" customFormat="1" ht="25">
      <c r="A2558" s="636">
        <v>66228</v>
      </c>
      <c r="B2558" s="637" t="s">
        <v>33</v>
      </c>
      <c r="C2558" s="636" t="s">
        <v>2725</v>
      </c>
      <c r="D2558" s="637" t="s">
        <v>3854</v>
      </c>
      <c r="E2558" s="637" t="s">
        <v>2782</v>
      </c>
      <c r="F2558" s="636">
        <v>61194</v>
      </c>
      <c r="G2558" s="637" t="s">
        <v>57</v>
      </c>
      <c r="H2558" s="637" t="s">
        <v>1162</v>
      </c>
      <c r="I2558" s="637" t="s">
        <v>1156</v>
      </c>
      <c r="J2558" s="636">
        <v>22</v>
      </c>
      <c r="K2558" s="636">
        <v>2</v>
      </c>
      <c r="L2558" s="637" t="s">
        <v>52</v>
      </c>
      <c r="M2558" s="637" t="s">
        <v>1852</v>
      </c>
      <c r="N2558" s="637" t="s">
        <v>1035</v>
      </c>
      <c r="O2558" s="637" t="s">
        <v>82</v>
      </c>
      <c r="P2558" s="637" t="s">
        <v>2726</v>
      </c>
      <c r="Q2558" s="638">
        <v>658</v>
      </c>
      <c r="R2558" s="638">
        <v>658</v>
      </c>
      <c r="S2558" s="638">
        <v>0</v>
      </c>
      <c r="T2558" s="638">
        <v>0</v>
      </c>
      <c r="U2558" s="638">
        <v>-35</v>
      </c>
      <c r="V2558" s="636">
        <v>2022</v>
      </c>
      <c r="W2558" s="640"/>
      <c r="X2558" s="641" t="str">
        <f t="shared" si="117"/>
        <v/>
      </c>
      <c r="Y2558" s="642" t="str">
        <f t="shared" si="118"/>
        <v/>
      </c>
      <c r="Z2558" s="642" t="str">
        <f t="shared" si="119"/>
        <v/>
      </c>
    </row>
    <row r="2559" spans="1:26" s="127" customFormat="1" ht="25">
      <c r="A2559" s="636">
        <v>66228</v>
      </c>
      <c r="B2559" s="637" t="s">
        <v>33</v>
      </c>
      <c r="C2559" s="636" t="s">
        <v>2725</v>
      </c>
      <c r="D2559" s="637" t="s">
        <v>3854</v>
      </c>
      <c r="E2559" s="637" t="s">
        <v>2782</v>
      </c>
      <c r="F2559" s="636">
        <v>61194</v>
      </c>
      <c r="G2559" s="637" t="s">
        <v>57</v>
      </c>
      <c r="H2559" s="637" t="s">
        <v>1162</v>
      </c>
      <c r="I2559" s="637" t="s">
        <v>1156</v>
      </c>
      <c r="J2559" s="636">
        <v>22</v>
      </c>
      <c r="K2559" s="636">
        <v>2</v>
      </c>
      <c r="L2559" s="637" t="s">
        <v>52</v>
      </c>
      <c r="M2559" s="637" t="s">
        <v>441</v>
      </c>
      <c r="N2559" s="637" t="s">
        <v>442</v>
      </c>
      <c r="O2559" s="637" t="s">
        <v>442</v>
      </c>
      <c r="P2559" s="637" t="s">
        <v>1156</v>
      </c>
      <c r="Q2559" s="638">
        <v>0</v>
      </c>
      <c r="R2559" s="638">
        <v>0</v>
      </c>
      <c r="S2559" s="638">
        <v>11016</v>
      </c>
      <c r="T2559" s="638">
        <v>11016</v>
      </c>
      <c r="U2559" s="638">
        <v>3228</v>
      </c>
      <c r="V2559" s="636">
        <v>2022</v>
      </c>
      <c r="W2559" s="640"/>
      <c r="X2559" s="641">
        <f t="shared" si="117"/>
        <v>3.4126394052044611</v>
      </c>
      <c r="Y2559" s="642" t="str">
        <f t="shared" si="118"/>
        <v/>
      </c>
      <c r="Z2559" s="642" t="str">
        <f t="shared" si="119"/>
        <v/>
      </c>
    </row>
    <row r="2560" spans="1:26" s="127" customFormat="1" ht="25">
      <c r="A2560" s="636">
        <v>66229</v>
      </c>
      <c r="B2560" s="637" t="s">
        <v>33</v>
      </c>
      <c r="C2560" s="636" t="s">
        <v>2725</v>
      </c>
      <c r="D2560" s="637" t="s">
        <v>3855</v>
      </c>
      <c r="E2560" s="637" t="s">
        <v>2782</v>
      </c>
      <c r="F2560" s="636">
        <v>61194</v>
      </c>
      <c r="G2560" s="637" t="s">
        <v>57</v>
      </c>
      <c r="H2560" s="637" t="s">
        <v>1162</v>
      </c>
      <c r="I2560" s="637" t="s">
        <v>1156</v>
      </c>
      <c r="J2560" s="636">
        <v>22</v>
      </c>
      <c r="K2560" s="636">
        <v>2</v>
      </c>
      <c r="L2560" s="637" t="s">
        <v>52</v>
      </c>
      <c r="M2560" s="637" t="s">
        <v>441</v>
      </c>
      <c r="N2560" s="637" t="s">
        <v>442</v>
      </c>
      <c r="O2560" s="637" t="s">
        <v>442</v>
      </c>
      <c r="P2560" s="637" t="s">
        <v>1156</v>
      </c>
      <c r="Q2560" s="638">
        <v>0</v>
      </c>
      <c r="R2560" s="638">
        <v>0</v>
      </c>
      <c r="S2560" s="638">
        <v>12945</v>
      </c>
      <c r="T2560" s="638">
        <v>12945</v>
      </c>
      <c r="U2560" s="638">
        <v>3794</v>
      </c>
      <c r="V2560" s="636">
        <v>2022</v>
      </c>
      <c r="W2560" s="640"/>
      <c r="X2560" s="641">
        <f t="shared" si="117"/>
        <v>3.4119662625197682</v>
      </c>
      <c r="Y2560" s="642" t="str">
        <f t="shared" si="118"/>
        <v/>
      </c>
      <c r="Z2560" s="642" t="str">
        <f t="shared" si="119"/>
        <v/>
      </c>
    </row>
    <row r="2561" spans="1:26" s="127" customFormat="1" ht="25">
      <c r="A2561" s="636">
        <v>66230</v>
      </c>
      <c r="B2561" s="637" t="s">
        <v>33</v>
      </c>
      <c r="C2561" s="636" t="s">
        <v>2725</v>
      </c>
      <c r="D2561" s="637" t="s">
        <v>3856</v>
      </c>
      <c r="E2561" s="637" t="s">
        <v>2782</v>
      </c>
      <c r="F2561" s="636">
        <v>61194</v>
      </c>
      <c r="G2561" s="637" t="s">
        <v>57</v>
      </c>
      <c r="H2561" s="637" t="s">
        <v>1162</v>
      </c>
      <c r="I2561" s="637" t="s">
        <v>1156</v>
      </c>
      <c r="J2561" s="636">
        <v>22</v>
      </c>
      <c r="K2561" s="636">
        <v>2</v>
      </c>
      <c r="L2561" s="637" t="s">
        <v>52</v>
      </c>
      <c r="M2561" s="637" t="s">
        <v>441</v>
      </c>
      <c r="N2561" s="637" t="s">
        <v>442</v>
      </c>
      <c r="O2561" s="637" t="s">
        <v>442</v>
      </c>
      <c r="P2561" s="637" t="s">
        <v>1156</v>
      </c>
      <c r="Q2561" s="638">
        <v>0</v>
      </c>
      <c r="R2561" s="638">
        <v>0</v>
      </c>
      <c r="S2561" s="638">
        <v>22823</v>
      </c>
      <c r="T2561" s="638">
        <v>22823</v>
      </c>
      <c r="U2561" s="638">
        <v>6689</v>
      </c>
      <c r="V2561" s="636">
        <v>2022</v>
      </c>
      <c r="W2561" s="640"/>
      <c r="X2561" s="641">
        <f t="shared" si="117"/>
        <v>3.4120197338914635</v>
      </c>
      <c r="Y2561" s="642" t="str">
        <f t="shared" si="118"/>
        <v/>
      </c>
      <c r="Z2561" s="642" t="str">
        <f t="shared" si="119"/>
        <v/>
      </c>
    </row>
    <row r="2562" spans="1:26" s="127" customFormat="1" ht="25">
      <c r="A2562" s="636">
        <v>66231</v>
      </c>
      <c r="B2562" s="637" t="s">
        <v>33</v>
      </c>
      <c r="C2562" s="636" t="s">
        <v>2725</v>
      </c>
      <c r="D2562" s="637" t="s">
        <v>3857</v>
      </c>
      <c r="E2562" s="637" t="s">
        <v>2782</v>
      </c>
      <c r="F2562" s="636">
        <v>61194</v>
      </c>
      <c r="G2562" s="637" t="s">
        <v>57</v>
      </c>
      <c r="H2562" s="637" t="s">
        <v>1162</v>
      </c>
      <c r="I2562" s="637" t="s">
        <v>1156</v>
      </c>
      <c r="J2562" s="636">
        <v>22</v>
      </c>
      <c r="K2562" s="636">
        <v>2</v>
      </c>
      <c r="L2562" s="637" t="s">
        <v>52</v>
      </c>
      <c r="M2562" s="637" t="s">
        <v>441</v>
      </c>
      <c r="N2562" s="637" t="s">
        <v>442</v>
      </c>
      <c r="O2562" s="637" t="s">
        <v>442</v>
      </c>
      <c r="P2562" s="637" t="s">
        <v>1156</v>
      </c>
      <c r="Q2562" s="638">
        <v>0</v>
      </c>
      <c r="R2562" s="638">
        <v>0</v>
      </c>
      <c r="S2562" s="638">
        <v>21666</v>
      </c>
      <c r="T2562" s="638">
        <v>21666</v>
      </c>
      <c r="U2562" s="638">
        <v>6350</v>
      </c>
      <c r="V2562" s="636">
        <v>2022</v>
      </c>
      <c r="W2562" s="640"/>
      <c r="X2562" s="641">
        <f t="shared" si="117"/>
        <v>3.411968503937008</v>
      </c>
      <c r="Y2562" s="642" t="str">
        <f t="shared" si="118"/>
        <v/>
      </c>
      <c r="Z2562" s="642" t="str">
        <f t="shared" si="119"/>
        <v/>
      </c>
    </row>
    <row r="2563" spans="1:26" s="127" customFormat="1" ht="25">
      <c r="A2563" s="636">
        <v>66232</v>
      </c>
      <c r="B2563" s="637" t="s">
        <v>33</v>
      </c>
      <c r="C2563" s="636" t="s">
        <v>2725</v>
      </c>
      <c r="D2563" s="637" t="s">
        <v>3858</v>
      </c>
      <c r="E2563" s="637" t="s">
        <v>2782</v>
      </c>
      <c r="F2563" s="636">
        <v>61194</v>
      </c>
      <c r="G2563" s="637" t="s">
        <v>57</v>
      </c>
      <c r="H2563" s="637" t="s">
        <v>1162</v>
      </c>
      <c r="I2563" s="637" t="s">
        <v>1156</v>
      </c>
      <c r="J2563" s="636">
        <v>22</v>
      </c>
      <c r="K2563" s="636">
        <v>2</v>
      </c>
      <c r="L2563" s="637" t="s">
        <v>52</v>
      </c>
      <c r="M2563" s="637" t="s">
        <v>1852</v>
      </c>
      <c r="N2563" s="637" t="s">
        <v>1035</v>
      </c>
      <c r="O2563" s="637" t="s">
        <v>82</v>
      </c>
      <c r="P2563" s="637" t="s">
        <v>2726</v>
      </c>
      <c r="Q2563" s="638">
        <v>374</v>
      </c>
      <c r="R2563" s="638">
        <v>374</v>
      </c>
      <c r="S2563" s="638">
        <v>0</v>
      </c>
      <c r="T2563" s="638">
        <v>0</v>
      </c>
      <c r="U2563" s="638">
        <v>-17</v>
      </c>
      <c r="V2563" s="636">
        <v>2022</v>
      </c>
      <c r="W2563" s="640"/>
      <c r="X2563" s="641" t="str">
        <f t="shared" si="117"/>
        <v/>
      </c>
      <c r="Y2563" s="642" t="str">
        <f t="shared" si="118"/>
        <v/>
      </c>
      <c r="Z2563" s="642" t="str">
        <f t="shared" si="119"/>
        <v/>
      </c>
    </row>
    <row r="2564" spans="1:26" s="127" customFormat="1" ht="25">
      <c r="A2564" s="636">
        <v>66232</v>
      </c>
      <c r="B2564" s="637" t="s">
        <v>33</v>
      </c>
      <c r="C2564" s="636" t="s">
        <v>2725</v>
      </c>
      <c r="D2564" s="637" t="s">
        <v>3858</v>
      </c>
      <c r="E2564" s="637" t="s">
        <v>2782</v>
      </c>
      <c r="F2564" s="636">
        <v>61194</v>
      </c>
      <c r="G2564" s="637" t="s">
        <v>57</v>
      </c>
      <c r="H2564" s="637" t="s">
        <v>1162</v>
      </c>
      <c r="I2564" s="637" t="s">
        <v>1156</v>
      </c>
      <c r="J2564" s="636">
        <v>22</v>
      </c>
      <c r="K2564" s="636">
        <v>2</v>
      </c>
      <c r="L2564" s="637" t="s">
        <v>52</v>
      </c>
      <c r="M2564" s="637" t="s">
        <v>441</v>
      </c>
      <c r="N2564" s="637" t="s">
        <v>442</v>
      </c>
      <c r="O2564" s="637" t="s">
        <v>442</v>
      </c>
      <c r="P2564" s="637" t="s">
        <v>1156</v>
      </c>
      <c r="Q2564" s="638">
        <v>0</v>
      </c>
      <c r="R2564" s="638">
        <v>0</v>
      </c>
      <c r="S2564" s="638">
        <v>6535</v>
      </c>
      <c r="T2564" s="638">
        <v>6535</v>
      </c>
      <c r="U2564" s="638">
        <v>1915</v>
      </c>
      <c r="V2564" s="636">
        <v>2022</v>
      </c>
      <c r="W2564" s="640"/>
      <c r="X2564" s="641">
        <f t="shared" si="117"/>
        <v>3.4125326370757181</v>
      </c>
      <c r="Y2564" s="642" t="str">
        <f t="shared" si="118"/>
        <v/>
      </c>
      <c r="Z2564" s="642" t="str">
        <f t="shared" si="119"/>
        <v/>
      </c>
    </row>
    <row r="2565" spans="1:26" s="127" customFormat="1" ht="25">
      <c r="A2565" s="636">
        <v>66233</v>
      </c>
      <c r="B2565" s="637" t="s">
        <v>33</v>
      </c>
      <c r="C2565" s="636" t="s">
        <v>2725</v>
      </c>
      <c r="D2565" s="637" t="s">
        <v>3859</v>
      </c>
      <c r="E2565" s="637" t="s">
        <v>2782</v>
      </c>
      <c r="F2565" s="636">
        <v>61194</v>
      </c>
      <c r="G2565" s="637" t="s">
        <v>57</v>
      </c>
      <c r="H2565" s="637" t="s">
        <v>1162</v>
      </c>
      <c r="I2565" s="637" t="s">
        <v>1156</v>
      </c>
      <c r="J2565" s="636">
        <v>22</v>
      </c>
      <c r="K2565" s="636">
        <v>2</v>
      </c>
      <c r="L2565" s="637" t="s">
        <v>52</v>
      </c>
      <c r="M2565" s="637" t="s">
        <v>441</v>
      </c>
      <c r="N2565" s="637" t="s">
        <v>442</v>
      </c>
      <c r="O2565" s="637" t="s">
        <v>442</v>
      </c>
      <c r="P2565" s="637" t="s">
        <v>1156</v>
      </c>
      <c r="Q2565" s="638">
        <v>0</v>
      </c>
      <c r="R2565" s="638">
        <v>0</v>
      </c>
      <c r="S2565" s="638">
        <v>30652</v>
      </c>
      <c r="T2565" s="638">
        <v>30652</v>
      </c>
      <c r="U2565" s="638">
        <v>8984</v>
      </c>
      <c r="V2565" s="636">
        <v>2022</v>
      </c>
      <c r="W2565" s="640"/>
      <c r="X2565" s="641">
        <f t="shared" si="117"/>
        <v>3.4118432769367764</v>
      </c>
      <c r="Y2565" s="642" t="str">
        <f t="shared" si="118"/>
        <v/>
      </c>
      <c r="Z2565" s="642" t="str">
        <f t="shared" si="119"/>
        <v/>
      </c>
    </row>
    <row r="2566" spans="1:26" s="127" customFormat="1" ht="25">
      <c r="A2566" s="636">
        <v>66234</v>
      </c>
      <c r="B2566" s="637" t="s">
        <v>33</v>
      </c>
      <c r="C2566" s="636" t="s">
        <v>2725</v>
      </c>
      <c r="D2566" s="637" t="s">
        <v>3860</v>
      </c>
      <c r="E2566" s="637" t="s">
        <v>2782</v>
      </c>
      <c r="F2566" s="636">
        <v>61194</v>
      </c>
      <c r="G2566" s="637" t="s">
        <v>57</v>
      </c>
      <c r="H2566" s="637" t="s">
        <v>1162</v>
      </c>
      <c r="I2566" s="637" t="s">
        <v>1156</v>
      </c>
      <c r="J2566" s="636">
        <v>22</v>
      </c>
      <c r="K2566" s="636">
        <v>2</v>
      </c>
      <c r="L2566" s="637" t="s">
        <v>52</v>
      </c>
      <c r="M2566" s="637" t="s">
        <v>441</v>
      </c>
      <c r="N2566" s="637" t="s">
        <v>442</v>
      </c>
      <c r="O2566" s="637" t="s">
        <v>442</v>
      </c>
      <c r="P2566" s="637" t="s">
        <v>1156</v>
      </c>
      <c r="Q2566" s="638">
        <v>0</v>
      </c>
      <c r="R2566" s="638">
        <v>0</v>
      </c>
      <c r="S2566" s="638">
        <v>26002</v>
      </c>
      <c r="T2566" s="638">
        <v>26002</v>
      </c>
      <c r="U2566" s="638">
        <v>7621</v>
      </c>
      <c r="V2566" s="636">
        <v>2022</v>
      </c>
      <c r="W2566" s="640"/>
      <c r="X2566" s="641">
        <f t="shared" si="117"/>
        <v>3.4118882036478153</v>
      </c>
      <c r="Y2566" s="642" t="str">
        <f t="shared" si="118"/>
        <v/>
      </c>
      <c r="Z2566" s="642" t="str">
        <f t="shared" si="119"/>
        <v/>
      </c>
    </row>
    <row r="2567" spans="1:26" s="127" customFormat="1" ht="25">
      <c r="A2567" s="636">
        <v>66235</v>
      </c>
      <c r="B2567" s="637" t="s">
        <v>33</v>
      </c>
      <c r="C2567" s="636" t="s">
        <v>2725</v>
      </c>
      <c r="D2567" s="637" t="s">
        <v>3861</v>
      </c>
      <c r="E2567" s="637" t="s">
        <v>2782</v>
      </c>
      <c r="F2567" s="636">
        <v>61194</v>
      </c>
      <c r="G2567" s="637" t="s">
        <v>57</v>
      </c>
      <c r="H2567" s="637" t="s">
        <v>1162</v>
      </c>
      <c r="I2567" s="637" t="s">
        <v>1156</v>
      </c>
      <c r="J2567" s="636">
        <v>22</v>
      </c>
      <c r="K2567" s="636">
        <v>2</v>
      </c>
      <c r="L2567" s="637" t="s">
        <v>52</v>
      </c>
      <c r="M2567" s="637" t="s">
        <v>441</v>
      </c>
      <c r="N2567" s="637" t="s">
        <v>442</v>
      </c>
      <c r="O2567" s="637" t="s">
        <v>442</v>
      </c>
      <c r="P2567" s="637" t="s">
        <v>1156</v>
      </c>
      <c r="Q2567" s="638">
        <v>0</v>
      </c>
      <c r="R2567" s="638">
        <v>0</v>
      </c>
      <c r="S2567" s="638">
        <v>26219</v>
      </c>
      <c r="T2567" s="638">
        <v>26219</v>
      </c>
      <c r="U2567" s="638">
        <v>7684</v>
      </c>
      <c r="V2567" s="636">
        <v>2022</v>
      </c>
      <c r="W2567" s="640"/>
      <c r="X2567" s="641">
        <f t="shared" si="117"/>
        <v>3.4121551275377406</v>
      </c>
      <c r="Y2567" s="642" t="str">
        <f t="shared" si="118"/>
        <v/>
      </c>
      <c r="Z2567" s="642" t="str">
        <f t="shared" si="119"/>
        <v/>
      </c>
    </row>
    <row r="2568" spans="1:26" s="127" customFormat="1" ht="25">
      <c r="A2568" s="636">
        <v>66236</v>
      </c>
      <c r="B2568" s="637" t="s">
        <v>33</v>
      </c>
      <c r="C2568" s="636" t="s">
        <v>2725</v>
      </c>
      <c r="D2568" s="637" t="s">
        <v>3862</v>
      </c>
      <c r="E2568" s="637" t="s">
        <v>2782</v>
      </c>
      <c r="F2568" s="636">
        <v>61194</v>
      </c>
      <c r="G2568" s="637" t="s">
        <v>57</v>
      </c>
      <c r="H2568" s="637" t="s">
        <v>1162</v>
      </c>
      <c r="I2568" s="637" t="s">
        <v>1156</v>
      </c>
      <c r="J2568" s="636">
        <v>22</v>
      </c>
      <c r="K2568" s="636">
        <v>2</v>
      </c>
      <c r="L2568" s="637" t="s">
        <v>52</v>
      </c>
      <c r="M2568" s="637" t="s">
        <v>441</v>
      </c>
      <c r="N2568" s="637" t="s">
        <v>442</v>
      </c>
      <c r="O2568" s="637" t="s">
        <v>442</v>
      </c>
      <c r="P2568" s="637" t="s">
        <v>1156</v>
      </c>
      <c r="Q2568" s="638">
        <v>0</v>
      </c>
      <c r="R2568" s="638">
        <v>0</v>
      </c>
      <c r="S2568" s="638">
        <v>30255</v>
      </c>
      <c r="T2568" s="638">
        <v>30255</v>
      </c>
      <c r="U2568" s="638">
        <v>8867</v>
      </c>
      <c r="V2568" s="636">
        <v>2022</v>
      </c>
      <c r="W2568" s="640"/>
      <c r="X2568" s="641">
        <f t="shared" ref="X2568:X2631" si="120">IF(OR(K2568&gt;3,T2568=0,NOT(U2568&gt;0)),"",T2568/U2568)</f>
        <v>3.4120897710612383</v>
      </c>
      <c r="Y2568" s="642" t="str">
        <f t="shared" ref="Y2568:Y2631" si="121">IF(AND($M2568=$Y$2,$N2568=$Y$3,NOT($Q2568=$R2568),NOT($U2568=0)),IF($K2568=5,$S2568/($U2568+(8/5)*$U2568),IF($K2568=7,$S2568/($U2568+(29/25)*$U2568),"")),"")</f>
        <v/>
      </c>
      <c r="Z2568" s="642" t="str">
        <f t="shared" si="119"/>
        <v/>
      </c>
    </row>
    <row r="2569" spans="1:26" s="127" customFormat="1" ht="25">
      <c r="A2569" s="636">
        <v>66243</v>
      </c>
      <c r="B2569" s="637" t="s">
        <v>33</v>
      </c>
      <c r="C2569" s="636" t="s">
        <v>2725</v>
      </c>
      <c r="D2569" s="637" t="s">
        <v>3863</v>
      </c>
      <c r="E2569" s="637" t="s">
        <v>3864</v>
      </c>
      <c r="F2569" s="636">
        <v>65340</v>
      </c>
      <c r="G2569" s="637" t="s">
        <v>90</v>
      </c>
      <c r="H2569" s="637" t="s">
        <v>1163</v>
      </c>
      <c r="I2569" s="637" t="s">
        <v>1156</v>
      </c>
      <c r="J2569" s="636">
        <v>22</v>
      </c>
      <c r="K2569" s="636">
        <v>2</v>
      </c>
      <c r="L2569" s="637" t="s">
        <v>52</v>
      </c>
      <c r="M2569" s="637" t="s">
        <v>441</v>
      </c>
      <c r="N2569" s="637" t="s">
        <v>442</v>
      </c>
      <c r="O2569" s="637" t="s">
        <v>442</v>
      </c>
      <c r="P2569" s="637" t="s">
        <v>1156</v>
      </c>
      <c r="Q2569" s="638">
        <v>0</v>
      </c>
      <c r="R2569" s="638">
        <v>0</v>
      </c>
      <c r="S2569" s="638">
        <v>25177</v>
      </c>
      <c r="T2569" s="638">
        <v>25177</v>
      </c>
      <c r="U2569" s="638">
        <v>7379</v>
      </c>
      <c r="V2569" s="636">
        <v>2022</v>
      </c>
      <c r="W2569" s="640"/>
      <c r="X2569" s="641">
        <f t="shared" si="120"/>
        <v>3.4119799430817186</v>
      </c>
      <c r="Y2569" s="642" t="str">
        <f t="shared" si="121"/>
        <v/>
      </c>
      <c r="Z2569" s="642" t="str">
        <f t="shared" si="119"/>
        <v/>
      </c>
    </row>
    <row r="2570" spans="1:26" s="127" customFormat="1" ht="25">
      <c r="A2570" s="636">
        <v>66244</v>
      </c>
      <c r="B2570" s="637" t="s">
        <v>33</v>
      </c>
      <c r="C2570" s="636" t="s">
        <v>2725</v>
      </c>
      <c r="D2570" s="637" t="s">
        <v>3865</v>
      </c>
      <c r="E2570" s="637" t="s">
        <v>3866</v>
      </c>
      <c r="F2570" s="636">
        <v>65349</v>
      </c>
      <c r="G2570" s="637" t="s">
        <v>90</v>
      </c>
      <c r="H2570" s="637" t="s">
        <v>1163</v>
      </c>
      <c r="I2570" s="637" t="s">
        <v>1156</v>
      </c>
      <c r="J2570" s="636">
        <v>22</v>
      </c>
      <c r="K2570" s="636">
        <v>2</v>
      </c>
      <c r="L2570" s="637" t="s">
        <v>52</v>
      </c>
      <c r="M2570" s="637" t="s">
        <v>441</v>
      </c>
      <c r="N2570" s="637" t="s">
        <v>442</v>
      </c>
      <c r="O2570" s="637" t="s">
        <v>442</v>
      </c>
      <c r="P2570" s="637" t="s">
        <v>1156</v>
      </c>
      <c r="Q2570" s="638">
        <v>0</v>
      </c>
      <c r="R2570" s="638">
        <v>0</v>
      </c>
      <c r="S2570" s="638">
        <v>4552</v>
      </c>
      <c r="T2570" s="638">
        <v>4552</v>
      </c>
      <c r="U2570" s="638">
        <v>1334</v>
      </c>
      <c r="V2570" s="636">
        <v>2022</v>
      </c>
      <c r="W2570" s="640"/>
      <c r="X2570" s="641">
        <f t="shared" si="120"/>
        <v>3.4122938530734634</v>
      </c>
      <c r="Y2570" s="642" t="str">
        <f t="shared" si="121"/>
        <v/>
      </c>
      <c r="Z2570" s="642" t="str">
        <f t="shared" si="119"/>
        <v/>
      </c>
    </row>
    <row r="2571" spans="1:26" s="127" customFormat="1" ht="25">
      <c r="A2571" s="636">
        <v>66245</v>
      </c>
      <c r="B2571" s="637" t="s">
        <v>33</v>
      </c>
      <c r="C2571" s="636" t="s">
        <v>2725</v>
      </c>
      <c r="D2571" s="637" t="s">
        <v>3867</v>
      </c>
      <c r="E2571" s="637" t="s">
        <v>3868</v>
      </c>
      <c r="F2571" s="636">
        <v>65350</v>
      </c>
      <c r="G2571" s="637" t="s">
        <v>90</v>
      </c>
      <c r="H2571" s="637" t="s">
        <v>1163</v>
      </c>
      <c r="I2571" s="637" t="s">
        <v>1156</v>
      </c>
      <c r="J2571" s="636">
        <v>22</v>
      </c>
      <c r="K2571" s="636">
        <v>2</v>
      </c>
      <c r="L2571" s="637" t="s">
        <v>52</v>
      </c>
      <c r="M2571" s="637" t="s">
        <v>441</v>
      </c>
      <c r="N2571" s="637" t="s">
        <v>442</v>
      </c>
      <c r="O2571" s="637" t="s">
        <v>442</v>
      </c>
      <c r="P2571" s="637" t="s">
        <v>1156</v>
      </c>
      <c r="Q2571" s="638">
        <v>0</v>
      </c>
      <c r="R2571" s="638">
        <v>0</v>
      </c>
      <c r="S2571" s="638">
        <v>20779</v>
      </c>
      <c r="T2571" s="638">
        <v>20779</v>
      </c>
      <c r="U2571" s="638">
        <v>6090</v>
      </c>
      <c r="V2571" s="636">
        <v>2022</v>
      </c>
      <c r="W2571" s="640"/>
      <c r="X2571" s="641">
        <f t="shared" si="120"/>
        <v>3.4119868637110016</v>
      </c>
      <c r="Y2571" s="642" t="str">
        <f t="shared" si="121"/>
        <v/>
      </c>
      <c r="Z2571" s="642" t="str">
        <f t="shared" si="119"/>
        <v/>
      </c>
    </row>
    <row r="2572" spans="1:26" s="127" customFormat="1" ht="25">
      <c r="A2572" s="636">
        <v>66246</v>
      </c>
      <c r="B2572" s="637" t="s">
        <v>33</v>
      </c>
      <c r="C2572" s="636" t="s">
        <v>2725</v>
      </c>
      <c r="D2572" s="637" t="s">
        <v>3869</v>
      </c>
      <c r="E2572" s="637" t="s">
        <v>3870</v>
      </c>
      <c r="F2572" s="636">
        <v>65351</v>
      </c>
      <c r="G2572" s="637" t="s">
        <v>90</v>
      </c>
      <c r="H2572" s="637" t="s">
        <v>1163</v>
      </c>
      <c r="I2572" s="637" t="s">
        <v>1156</v>
      </c>
      <c r="J2572" s="636">
        <v>22</v>
      </c>
      <c r="K2572" s="636">
        <v>2</v>
      </c>
      <c r="L2572" s="637" t="s">
        <v>52</v>
      </c>
      <c r="M2572" s="637" t="s">
        <v>441</v>
      </c>
      <c r="N2572" s="637" t="s">
        <v>442</v>
      </c>
      <c r="O2572" s="637" t="s">
        <v>442</v>
      </c>
      <c r="P2572" s="637" t="s">
        <v>1156</v>
      </c>
      <c r="Q2572" s="638">
        <v>0</v>
      </c>
      <c r="R2572" s="638">
        <v>0</v>
      </c>
      <c r="S2572" s="638">
        <v>8291</v>
      </c>
      <c r="T2572" s="638">
        <v>8291</v>
      </c>
      <c r="U2572" s="638">
        <v>2430</v>
      </c>
      <c r="V2572" s="636">
        <v>2022</v>
      </c>
      <c r="W2572" s="640"/>
      <c r="X2572" s="641">
        <f t="shared" si="120"/>
        <v>3.4119341563786008</v>
      </c>
      <c r="Y2572" s="642" t="str">
        <f t="shared" si="121"/>
        <v/>
      </c>
      <c r="Z2572" s="642" t="str">
        <f t="shared" si="119"/>
        <v/>
      </c>
    </row>
    <row r="2573" spans="1:26" s="127" customFormat="1" ht="25">
      <c r="A2573" s="636">
        <v>66283</v>
      </c>
      <c r="B2573" s="637" t="s">
        <v>33</v>
      </c>
      <c r="C2573" s="636" t="s">
        <v>2725</v>
      </c>
      <c r="D2573" s="637" t="s">
        <v>3871</v>
      </c>
      <c r="E2573" s="637" t="s">
        <v>3872</v>
      </c>
      <c r="F2573" s="636">
        <v>65402</v>
      </c>
      <c r="G2573" s="637" t="s">
        <v>90</v>
      </c>
      <c r="H2573" s="637" t="s">
        <v>1163</v>
      </c>
      <c r="I2573" s="637" t="s">
        <v>1156</v>
      </c>
      <c r="J2573" s="636">
        <v>22</v>
      </c>
      <c r="K2573" s="636">
        <v>2</v>
      </c>
      <c r="L2573" s="637" t="s">
        <v>52</v>
      </c>
      <c r="M2573" s="637" t="s">
        <v>71</v>
      </c>
      <c r="N2573" s="637" t="s">
        <v>72</v>
      </c>
      <c r="O2573" s="637" t="s">
        <v>72</v>
      </c>
      <c r="P2573" s="637" t="s">
        <v>1156</v>
      </c>
      <c r="Q2573" s="638">
        <v>0</v>
      </c>
      <c r="R2573" s="638">
        <v>0</v>
      </c>
      <c r="S2573" s="638">
        <v>49379</v>
      </c>
      <c r="T2573" s="638">
        <v>49379</v>
      </c>
      <c r="U2573" s="638">
        <v>14472</v>
      </c>
      <c r="V2573" s="636">
        <v>2022</v>
      </c>
      <c r="W2573" s="640"/>
      <c r="X2573" s="641">
        <f t="shared" si="120"/>
        <v>3.4120370370370372</v>
      </c>
      <c r="Y2573" s="642" t="str">
        <f t="shared" si="121"/>
        <v/>
      </c>
      <c r="Z2573" s="642" t="str">
        <f t="shared" si="119"/>
        <v/>
      </c>
    </row>
    <row r="2574" spans="1:26" s="127" customFormat="1" ht="25">
      <c r="A2574" s="636">
        <v>66317</v>
      </c>
      <c r="B2574" s="637" t="s">
        <v>33</v>
      </c>
      <c r="C2574" s="636" t="s">
        <v>2725</v>
      </c>
      <c r="D2574" s="637" t="s">
        <v>3873</v>
      </c>
      <c r="E2574" s="637" t="s">
        <v>3874</v>
      </c>
      <c r="F2574" s="636">
        <v>65403</v>
      </c>
      <c r="G2574" s="637" t="s">
        <v>81</v>
      </c>
      <c r="H2574" s="637" t="s">
        <v>1163</v>
      </c>
      <c r="I2574" s="637" t="s">
        <v>1156</v>
      </c>
      <c r="J2574" s="636">
        <v>22</v>
      </c>
      <c r="K2574" s="636">
        <v>2</v>
      </c>
      <c r="L2574" s="637" t="s">
        <v>52</v>
      </c>
      <c r="M2574" s="637" t="s">
        <v>441</v>
      </c>
      <c r="N2574" s="637" t="s">
        <v>442</v>
      </c>
      <c r="O2574" s="637" t="s">
        <v>442</v>
      </c>
      <c r="P2574" s="637" t="s">
        <v>1156</v>
      </c>
      <c r="Q2574" s="638">
        <v>0</v>
      </c>
      <c r="R2574" s="638">
        <v>0</v>
      </c>
      <c r="S2574" s="638">
        <v>12038</v>
      </c>
      <c r="T2574" s="638">
        <v>12038</v>
      </c>
      <c r="U2574" s="638">
        <v>3528</v>
      </c>
      <c r="V2574" s="636">
        <v>2022</v>
      </c>
      <c r="W2574" s="640"/>
      <c r="X2574" s="641">
        <f t="shared" si="120"/>
        <v>3.4121315192743764</v>
      </c>
      <c r="Y2574" s="642" t="str">
        <f t="shared" si="121"/>
        <v/>
      </c>
      <c r="Z2574" s="642" t="str">
        <f t="shared" si="119"/>
        <v/>
      </c>
    </row>
    <row r="2575" spans="1:26" s="127" customFormat="1" ht="25">
      <c r="A2575" s="636">
        <v>66318</v>
      </c>
      <c r="B2575" s="637" t="s">
        <v>33</v>
      </c>
      <c r="C2575" s="636" t="s">
        <v>2725</v>
      </c>
      <c r="D2575" s="637" t="s">
        <v>3875</v>
      </c>
      <c r="E2575" s="637" t="s">
        <v>3876</v>
      </c>
      <c r="F2575" s="636">
        <v>65404</v>
      </c>
      <c r="G2575" s="637" t="s">
        <v>81</v>
      </c>
      <c r="H2575" s="637" t="s">
        <v>1163</v>
      </c>
      <c r="I2575" s="637" t="s">
        <v>1156</v>
      </c>
      <c r="J2575" s="636">
        <v>22</v>
      </c>
      <c r="K2575" s="636">
        <v>2</v>
      </c>
      <c r="L2575" s="637" t="s">
        <v>52</v>
      </c>
      <c r="M2575" s="637" t="s">
        <v>441</v>
      </c>
      <c r="N2575" s="637" t="s">
        <v>442</v>
      </c>
      <c r="O2575" s="637" t="s">
        <v>442</v>
      </c>
      <c r="P2575" s="637" t="s">
        <v>1156</v>
      </c>
      <c r="Q2575" s="638">
        <v>0</v>
      </c>
      <c r="R2575" s="638">
        <v>0</v>
      </c>
      <c r="S2575" s="638">
        <v>21151</v>
      </c>
      <c r="T2575" s="638">
        <v>21151</v>
      </c>
      <c r="U2575" s="638">
        <v>6199</v>
      </c>
      <c r="V2575" s="636">
        <v>2022</v>
      </c>
      <c r="W2575" s="640"/>
      <c r="X2575" s="641">
        <f t="shared" si="120"/>
        <v>3.4120019357960962</v>
      </c>
      <c r="Y2575" s="642" t="str">
        <f t="shared" si="121"/>
        <v/>
      </c>
      <c r="Z2575" s="642" t="str">
        <f t="shared" si="119"/>
        <v/>
      </c>
    </row>
    <row r="2576" spans="1:26" s="127" customFormat="1" ht="25">
      <c r="A2576" s="636">
        <v>66380</v>
      </c>
      <c r="B2576" s="637" t="s">
        <v>33</v>
      </c>
      <c r="C2576" s="636" t="s">
        <v>2725</v>
      </c>
      <c r="D2576" s="637" t="s">
        <v>3877</v>
      </c>
      <c r="E2576" s="637" t="s">
        <v>3878</v>
      </c>
      <c r="F2576" s="636">
        <v>61677</v>
      </c>
      <c r="G2576" s="637" t="s">
        <v>57</v>
      </c>
      <c r="H2576" s="637" t="s">
        <v>1162</v>
      </c>
      <c r="I2576" s="637" t="s">
        <v>1156</v>
      </c>
      <c r="J2576" s="636">
        <v>22</v>
      </c>
      <c r="K2576" s="636">
        <v>2</v>
      </c>
      <c r="L2576" s="637" t="s">
        <v>52</v>
      </c>
      <c r="M2576" s="637" t="s">
        <v>441</v>
      </c>
      <c r="N2576" s="637" t="s">
        <v>442</v>
      </c>
      <c r="O2576" s="637" t="s">
        <v>442</v>
      </c>
      <c r="P2576" s="637" t="s">
        <v>1156</v>
      </c>
      <c r="Q2576" s="638">
        <v>0</v>
      </c>
      <c r="R2576" s="638">
        <v>0</v>
      </c>
      <c r="S2576" s="638">
        <v>3708</v>
      </c>
      <c r="T2576" s="638">
        <v>3708</v>
      </c>
      <c r="U2576" s="638">
        <v>1087</v>
      </c>
      <c r="V2576" s="636">
        <v>2022</v>
      </c>
      <c r="W2576" s="640"/>
      <c r="X2576" s="641">
        <f t="shared" si="120"/>
        <v>3.4112235510579576</v>
      </c>
      <c r="Y2576" s="642" t="str">
        <f t="shared" si="121"/>
        <v/>
      </c>
      <c r="Z2576" s="642" t="str">
        <f t="shared" ref="Z2576:Z2639" si="122">IF(AND($M2576=$Y$2,$N2576=$Y$4,NOT($Q2576=$R2576),NOT($U2576=0)),IF($K2576=5,$S2576/($U2576+(8/5)*$U2576),IF($K2576=7,$S2576/($U2576+(29/25)*$U2576),"")),"")</f>
        <v/>
      </c>
    </row>
    <row r="2577" spans="1:26" s="127" customFormat="1" ht="25">
      <c r="A2577" s="636">
        <v>66381</v>
      </c>
      <c r="B2577" s="637" t="s">
        <v>33</v>
      </c>
      <c r="C2577" s="636" t="s">
        <v>2725</v>
      </c>
      <c r="D2577" s="637" t="s">
        <v>3879</v>
      </c>
      <c r="E2577" s="637" t="s">
        <v>3878</v>
      </c>
      <c r="F2577" s="636">
        <v>61677</v>
      </c>
      <c r="G2577" s="637" t="s">
        <v>90</v>
      </c>
      <c r="H2577" s="637" t="s">
        <v>1163</v>
      </c>
      <c r="I2577" s="637" t="s">
        <v>1156</v>
      </c>
      <c r="J2577" s="636">
        <v>22</v>
      </c>
      <c r="K2577" s="636">
        <v>2</v>
      </c>
      <c r="L2577" s="637" t="s">
        <v>52</v>
      </c>
      <c r="M2577" s="637" t="s">
        <v>441</v>
      </c>
      <c r="N2577" s="637" t="s">
        <v>442</v>
      </c>
      <c r="O2577" s="637" t="s">
        <v>442</v>
      </c>
      <c r="P2577" s="637" t="s">
        <v>1156</v>
      </c>
      <c r="Q2577" s="638">
        <v>0</v>
      </c>
      <c r="R2577" s="638">
        <v>0</v>
      </c>
      <c r="S2577" s="638">
        <v>5541</v>
      </c>
      <c r="T2577" s="638">
        <v>5541</v>
      </c>
      <c r="U2577" s="638">
        <v>1624</v>
      </c>
      <c r="V2577" s="636">
        <v>2022</v>
      </c>
      <c r="W2577" s="640"/>
      <c r="X2577" s="641">
        <f t="shared" si="120"/>
        <v>3.4119458128078817</v>
      </c>
      <c r="Y2577" s="642" t="str">
        <f t="shared" si="121"/>
        <v/>
      </c>
      <c r="Z2577" s="642" t="str">
        <f t="shared" si="122"/>
        <v/>
      </c>
    </row>
    <row r="2578" spans="1:26" s="127" customFormat="1" ht="37.5" hidden="1">
      <c r="A2578" s="636">
        <v>66417</v>
      </c>
      <c r="B2578" s="637" t="s">
        <v>33</v>
      </c>
      <c r="C2578" s="636" t="s">
        <v>2725</v>
      </c>
      <c r="D2578" s="637" t="s">
        <v>3880</v>
      </c>
      <c r="E2578" s="637" t="s">
        <v>3881</v>
      </c>
      <c r="F2578" s="636">
        <v>62998</v>
      </c>
      <c r="G2578" s="637" t="s">
        <v>81</v>
      </c>
      <c r="H2578" s="637" t="s">
        <v>1163</v>
      </c>
      <c r="I2578" s="637" t="s">
        <v>1156</v>
      </c>
      <c r="J2578" s="636">
        <v>421</v>
      </c>
      <c r="K2578" s="636">
        <v>4</v>
      </c>
      <c r="L2578" s="637" t="s">
        <v>406</v>
      </c>
      <c r="M2578" s="637" t="s">
        <v>441</v>
      </c>
      <c r="N2578" s="637" t="s">
        <v>442</v>
      </c>
      <c r="O2578" s="637" t="s">
        <v>442</v>
      </c>
      <c r="P2578" s="637" t="s">
        <v>1156</v>
      </c>
      <c r="Q2578" s="638">
        <v>0</v>
      </c>
      <c r="R2578" s="638">
        <v>0</v>
      </c>
      <c r="S2578" s="638">
        <v>12820</v>
      </c>
      <c r="T2578" s="638">
        <v>12820</v>
      </c>
      <c r="U2578" s="638">
        <v>3757</v>
      </c>
      <c r="V2578" s="636">
        <v>2022</v>
      </c>
      <c r="W2578" s="640"/>
      <c r="X2578" s="641" t="str">
        <f t="shared" si="120"/>
        <v/>
      </c>
      <c r="Y2578" s="642" t="str">
        <f t="shared" si="121"/>
        <v/>
      </c>
      <c r="Z2578" s="642" t="str">
        <f t="shared" si="122"/>
        <v/>
      </c>
    </row>
    <row r="2579" spans="1:26" s="127" customFormat="1" ht="25">
      <c r="A2579" s="636">
        <v>66427</v>
      </c>
      <c r="B2579" s="637" t="s">
        <v>33</v>
      </c>
      <c r="C2579" s="636" t="s">
        <v>2725</v>
      </c>
      <c r="D2579" s="637" t="s">
        <v>3882</v>
      </c>
      <c r="E2579" s="637" t="s">
        <v>3883</v>
      </c>
      <c r="F2579" s="636">
        <v>65498</v>
      </c>
      <c r="G2579" s="637" t="s">
        <v>81</v>
      </c>
      <c r="H2579" s="637" t="s">
        <v>1163</v>
      </c>
      <c r="I2579" s="637" t="s">
        <v>1156</v>
      </c>
      <c r="J2579" s="636">
        <v>22</v>
      </c>
      <c r="K2579" s="636">
        <v>2</v>
      </c>
      <c r="L2579" s="637" t="s">
        <v>52</v>
      </c>
      <c r="M2579" s="637" t="s">
        <v>441</v>
      </c>
      <c r="N2579" s="637" t="s">
        <v>442</v>
      </c>
      <c r="O2579" s="637" t="s">
        <v>442</v>
      </c>
      <c r="P2579" s="637" t="s">
        <v>1156</v>
      </c>
      <c r="Q2579" s="638">
        <v>0</v>
      </c>
      <c r="R2579" s="638">
        <v>0</v>
      </c>
      <c r="S2579" s="638">
        <v>8468</v>
      </c>
      <c r="T2579" s="638">
        <v>8468</v>
      </c>
      <c r="U2579" s="638">
        <v>2481.9299999999998</v>
      </c>
      <c r="V2579" s="636">
        <v>2022</v>
      </c>
      <c r="W2579" s="640"/>
      <c r="X2579" s="641">
        <f t="shared" si="120"/>
        <v>3.4118609308078796</v>
      </c>
      <c r="Y2579" s="642" t="str">
        <f t="shared" si="121"/>
        <v/>
      </c>
      <c r="Z2579" s="642" t="str">
        <f t="shared" si="122"/>
        <v/>
      </c>
    </row>
    <row r="2580" spans="1:26" s="127" customFormat="1" ht="25">
      <c r="A2580" s="636">
        <v>66429</v>
      </c>
      <c r="B2580" s="637" t="s">
        <v>33</v>
      </c>
      <c r="C2580" s="636" t="s">
        <v>2725</v>
      </c>
      <c r="D2580" s="637" t="s">
        <v>3884</v>
      </c>
      <c r="E2580" s="637" t="s">
        <v>3884</v>
      </c>
      <c r="F2580" s="636">
        <v>65497</v>
      </c>
      <c r="G2580" s="637" t="s">
        <v>41</v>
      </c>
      <c r="H2580" s="637" t="s">
        <v>1163</v>
      </c>
      <c r="I2580" s="637" t="s">
        <v>1156</v>
      </c>
      <c r="J2580" s="636">
        <v>22</v>
      </c>
      <c r="K2580" s="636">
        <v>2</v>
      </c>
      <c r="L2580" s="637" t="s">
        <v>52</v>
      </c>
      <c r="M2580" s="637" t="s">
        <v>441</v>
      </c>
      <c r="N2580" s="637" t="s">
        <v>442</v>
      </c>
      <c r="O2580" s="637" t="s">
        <v>442</v>
      </c>
      <c r="P2580" s="637" t="s">
        <v>1156</v>
      </c>
      <c r="Q2580" s="638">
        <v>0</v>
      </c>
      <c r="R2580" s="638">
        <v>0</v>
      </c>
      <c r="S2580" s="638">
        <v>9303</v>
      </c>
      <c r="T2580" s="638">
        <v>9303</v>
      </c>
      <c r="U2580" s="638">
        <v>2726.46</v>
      </c>
      <c r="V2580" s="636">
        <v>2022</v>
      </c>
      <c r="W2580" s="640"/>
      <c r="X2580" s="641">
        <f t="shared" si="120"/>
        <v>3.4121168108096214</v>
      </c>
      <c r="Y2580" s="642" t="str">
        <f t="shared" si="121"/>
        <v/>
      </c>
      <c r="Z2580" s="642" t="str">
        <f t="shared" si="122"/>
        <v/>
      </c>
    </row>
    <row r="2581" spans="1:26" s="127" customFormat="1" ht="25">
      <c r="A2581" s="636">
        <v>66442</v>
      </c>
      <c r="B2581" s="637" t="s">
        <v>33</v>
      </c>
      <c r="C2581" s="636" t="s">
        <v>2725</v>
      </c>
      <c r="D2581" s="637" t="s">
        <v>3885</v>
      </c>
      <c r="E2581" s="637" t="s">
        <v>3886</v>
      </c>
      <c r="F2581" s="636">
        <v>60628</v>
      </c>
      <c r="G2581" s="637" t="s">
        <v>57</v>
      </c>
      <c r="H2581" s="637" t="s">
        <v>1162</v>
      </c>
      <c r="I2581" s="637" t="s">
        <v>1156</v>
      </c>
      <c r="J2581" s="636">
        <v>22</v>
      </c>
      <c r="K2581" s="636">
        <v>2</v>
      </c>
      <c r="L2581" s="637" t="s">
        <v>52</v>
      </c>
      <c r="M2581" s="637" t="s">
        <v>441</v>
      </c>
      <c r="N2581" s="637" t="s">
        <v>442</v>
      </c>
      <c r="O2581" s="637" t="s">
        <v>442</v>
      </c>
      <c r="P2581" s="637" t="s">
        <v>1156</v>
      </c>
      <c r="Q2581" s="638">
        <v>0</v>
      </c>
      <c r="R2581" s="638">
        <v>0</v>
      </c>
      <c r="S2581" s="638">
        <v>19951</v>
      </c>
      <c r="T2581" s="638">
        <v>19951</v>
      </c>
      <c r="U2581" s="638">
        <v>5847</v>
      </c>
      <c r="V2581" s="636">
        <v>2022</v>
      </c>
      <c r="W2581" s="640"/>
      <c r="X2581" s="641">
        <f t="shared" si="120"/>
        <v>3.4121771848811355</v>
      </c>
      <c r="Y2581" s="642" t="str">
        <f t="shared" si="121"/>
        <v/>
      </c>
      <c r="Z2581" s="642" t="str">
        <f t="shared" si="122"/>
        <v/>
      </c>
    </row>
    <row r="2582" spans="1:26" s="127" customFormat="1" ht="25">
      <c r="A2582" s="636">
        <v>66455</v>
      </c>
      <c r="B2582" s="637" t="s">
        <v>33</v>
      </c>
      <c r="C2582" s="636" t="s">
        <v>2725</v>
      </c>
      <c r="D2582" s="637" t="s">
        <v>3887</v>
      </c>
      <c r="E2582" s="637" t="s">
        <v>1761</v>
      </c>
      <c r="F2582" s="636">
        <v>57128</v>
      </c>
      <c r="G2582" s="637" t="s">
        <v>41</v>
      </c>
      <c r="H2582" s="637" t="s">
        <v>1163</v>
      </c>
      <c r="I2582" s="637" t="s">
        <v>1156</v>
      </c>
      <c r="J2582" s="636">
        <v>22</v>
      </c>
      <c r="K2582" s="636">
        <v>2</v>
      </c>
      <c r="L2582" s="637" t="s">
        <v>52</v>
      </c>
      <c r="M2582" s="637" t="s">
        <v>1232</v>
      </c>
      <c r="N2582" s="637" t="s">
        <v>39</v>
      </c>
      <c r="O2582" s="637" t="s">
        <v>39</v>
      </c>
      <c r="P2582" s="637" t="s">
        <v>1020</v>
      </c>
      <c r="Q2582" s="638">
        <v>24909</v>
      </c>
      <c r="R2582" s="638">
        <v>24909</v>
      </c>
      <c r="S2582" s="638">
        <v>25407</v>
      </c>
      <c r="T2582" s="638">
        <v>25407</v>
      </c>
      <c r="U2582" s="638">
        <v>4084</v>
      </c>
      <c r="V2582" s="636">
        <v>2022</v>
      </c>
      <c r="W2582" s="640"/>
      <c r="X2582" s="641">
        <f t="shared" si="120"/>
        <v>6.221106758080313</v>
      </c>
      <c r="Y2582" s="642" t="str">
        <f t="shared" si="121"/>
        <v/>
      </c>
      <c r="Z2582" s="642" t="str">
        <f t="shared" si="122"/>
        <v/>
      </c>
    </row>
    <row r="2583" spans="1:26" s="127" customFormat="1" ht="25">
      <c r="A2583" s="636">
        <v>66457</v>
      </c>
      <c r="B2583" s="637" t="s">
        <v>33</v>
      </c>
      <c r="C2583" s="636" t="s">
        <v>2725</v>
      </c>
      <c r="D2583" s="637" t="s">
        <v>3888</v>
      </c>
      <c r="E2583" s="637" t="s">
        <v>1761</v>
      </c>
      <c r="F2583" s="636">
        <v>57128</v>
      </c>
      <c r="G2583" s="637" t="s">
        <v>57</v>
      </c>
      <c r="H2583" s="637" t="s">
        <v>1162</v>
      </c>
      <c r="I2583" s="637" t="s">
        <v>1156</v>
      </c>
      <c r="J2583" s="636">
        <v>22</v>
      </c>
      <c r="K2583" s="636">
        <v>2</v>
      </c>
      <c r="L2583" s="637" t="s">
        <v>52</v>
      </c>
      <c r="M2583" s="637" t="s">
        <v>1232</v>
      </c>
      <c r="N2583" s="637" t="s">
        <v>39</v>
      </c>
      <c r="O2583" s="637" t="s">
        <v>39</v>
      </c>
      <c r="P2583" s="637" t="s">
        <v>1020</v>
      </c>
      <c r="Q2583" s="638">
        <v>134482</v>
      </c>
      <c r="R2583" s="638">
        <v>134482</v>
      </c>
      <c r="S2583" s="638">
        <v>137978</v>
      </c>
      <c r="T2583" s="638">
        <v>137978</v>
      </c>
      <c r="U2583" s="638">
        <v>15193</v>
      </c>
      <c r="V2583" s="636">
        <v>2022</v>
      </c>
      <c r="W2583" s="640"/>
      <c r="X2583" s="641">
        <f t="shared" si="120"/>
        <v>9.0816823537155269</v>
      </c>
      <c r="Y2583" s="642" t="str">
        <f t="shared" si="121"/>
        <v/>
      </c>
      <c r="Z2583" s="642" t="str">
        <f t="shared" si="122"/>
        <v/>
      </c>
    </row>
    <row r="2584" spans="1:26" s="127" customFormat="1" ht="25">
      <c r="A2584" s="636">
        <v>66460</v>
      </c>
      <c r="B2584" s="637" t="s">
        <v>33</v>
      </c>
      <c r="C2584" s="636" t="s">
        <v>2725</v>
      </c>
      <c r="D2584" s="637" t="s">
        <v>3889</v>
      </c>
      <c r="E2584" s="637" t="s">
        <v>1761</v>
      </c>
      <c r="F2584" s="636">
        <v>57128</v>
      </c>
      <c r="G2584" s="637" t="s">
        <v>57</v>
      </c>
      <c r="H2584" s="637" t="s">
        <v>1162</v>
      </c>
      <c r="I2584" s="637" t="s">
        <v>1156</v>
      </c>
      <c r="J2584" s="636">
        <v>22</v>
      </c>
      <c r="K2584" s="636">
        <v>2</v>
      </c>
      <c r="L2584" s="637" t="s">
        <v>52</v>
      </c>
      <c r="M2584" s="637" t="s">
        <v>1232</v>
      </c>
      <c r="N2584" s="637" t="s">
        <v>39</v>
      </c>
      <c r="O2584" s="637" t="s">
        <v>39</v>
      </c>
      <c r="P2584" s="637" t="s">
        <v>1020</v>
      </c>
      <c r="Q2584" s="638">
        <v>94496</v>
      </c>
      <c r="R2584" s="638">
        <v>94496</v>
      </c>
      <c r="S2584" s="638">
        <v>96952</v>
      </c>
      <c r="T2584" s="638">
        <v>96952</v>
      </c>
      <c r="U2584" s="638">
        <v>15193</v>
      </c>
      <c r="V2584" s="636">
        <v>2022</v>
      </c>
      <c r="W2584" s="640"/>
      <c r="X2584" s="641">
        <f t="shared" si="120"/>
        <v>6.381359836766932</v>
      </c>
      <c r="Y2584" s="642" t="str">
        <f t="shared" si="121"/>
        <v/>
      </c>
      <c r="Z2584" s="642" t="str">
        <f t="shared" si="122"/>
        <v/>
      </c>
    </row>
    <row r="2585" spans="1:26" s="127" customFormat="1" ht="25">
      <c r="A2585" s="636">
        <v>66473</v>
      </c>
      <c r="B2585" s="637" t="s">
        <v>33</v>
      </c>
      <c r="C2585" s="636" t="s">
        <v>2725</v>
      </c>
      <c r="D2585" s="637" t="s">
        <v>3890</v>
      </c>
      <c r="E2585" s="637" t="s">
        <v>3886</v>
      </c>
      <c r="F2585" s="636">
        <v>60628</v>
      </c>
      <c r="G2585" s="637" t="s">
        <v>57</v>
      </c>
      <c r="H2585" s="637" t="s">
        <v>1162</v>
      </c>
      <c r="I2585" s="637" t="s">
        <v>1156</v>
      </c>
      <c r="J2585" s="636">
        <v>22</v>
      </c>
      <c r="K2585" s="636">
        <v>2</v>
      </c>
      <c r="L2585" s="637" t="s">
        <v>52</v>
      </c>
      <c r="M2585" s="637" t="s">
        <v>441</v>
      </c>
      <c r="N2585" s="637" t="s">
        <v>442</v>
      </c>
      <c r="O2585" s="637" t="s">
        <v>442</v>
      </c>
      <c r="P2585" s="637" t="s">
        <v>1156</v>
      </c>
      <c r="Q2585" s="638">
        <v>0</v>
      </c>
      <c r="R2585" s="638">
        <v>0</v>
      </c>
      <c r="S2585" s="638">
        <v>5042</v>
      </c>
      <c r="T2585" s="638">
        <v>5042</v>
      </c>
      <c r="U2585" s="638">
        <v>1478</v>
      </c>
      <c r="V2585" s="636">
        <v>2022</v>
      </c>
      <c r="W2585" s="640"/>
      <c r="X2585" s="641">
        <f t="shared" si="120"/>
        <v>3.4113667117726658</v>
      </c>
      <c r="Y2585" s="642" t="str">
        <f t="shared" si="121"/>
        <v/>
      </c>
      <c r="Z2585" s="642" t="str">
        <f t="shared" si="122"/>
        <v/>
      </c>
    </row>
    <row r="2586" spans="1:26" s="127" customFormat="1" ht="37.5">
      <c r="A2586" s="636">
        <v>66474</v>
      </c>
      <c r="B2586" s="637" t="s">
        <v>33</v>
      </c>
      <c r="C2586" s="636" t="s">
        <v>2725</v>
      </c>
      <c r="D2586" s="637" t="s">
        <v>3891</v>
      </c>
      <c r="E2586" s="637" t="s">
        <v>3892</v>
      </c>
      <c r="F2586" s="636">
        <v>65504</v>
      </c>
      <c r="G2586" s="637" t="s">
        <v>81</v>
      </c>
      <c r="H2586" s="637" t="s">
        <v>1163</v>
      </c>
      <c r="I2586" s="637" t="s">
        <v>1156</v>
      </c>
      <c r="J2586" s="636">
        <v>22</v>
      </c>
      <c r="K2586" s="636">
        <v>2</v>
      </c>
      <c r="L2586" s="637" t="s">
        <v>52</v>
      </c>
      <c r="M2586" s="637" t="s">
        <v>1852</v>
      </c>
      <c r="N2586" s="637" t="s">
        <v>1035</v>
      </c>
      <c r="O2586" s="637" t="s">
        <v>82</v>
      </c>
      <c r="P2586" s="637" t="s">
        <v>2726</v>
      </c>
      <c r="Q2586" s="638">
        <v>66</v>
      </c>
      <c r="R2586" s="638">
        <v>66</v>
      </c>
      <c r="S2586" s="638">
        <v>0</v>
      </c>
      <c r="T2586" s="638">
        <v>0</v>
      </c>
      <c r="U2586" s="638">
        <v>-11</v>
      </c>
      <c r="V2586" s="636">
        <v>2022</v>
      </c>
      <c r="W2586" s="640"/>
      <c r="X2586" s="641" t="str">
        <f t="shared" si="120"/>
        <v/>
      </c>
      <c r="Y2586" s="642" t="str">
        <f t="shared" si="121"/>
        <v/>
      </c>
      <c r="Z2586" s="642" t="str">
        <f t="shared" si="122"/>
        <v/>
      </c>
    </row>
    <row r="2587" spans="1:26" s="127" customFormat="1" ht="37.5">
      <c r="A2587" s="636">
        <v>66474</v>
      </c>
      <c r="B2587" s="637" t="s">
        <v>33</v>
      </c>
      <c r="C2587" s="636" t="s">
        <v>2725</v>
      </c>
      <c r="D2587" s="637" t="s">
        <v>3891</v>
      </c>
      <c r="E2587" s="637" t="s">
        <v>3892</v>
      </c>
      <c r="F2587" s="636">
        <v>65504</v>
      </c>
      <c r="G2587" s="637" t="s">
        <v>81</v>
      </c>
      <c r="H2587" s="637" t="s">
        <v>1163</v>
      </c>
      <c r="I2587" s="637" t="s">
        <v>1156</v>
      </c>
      <c r="J2587" s="636">
        <v>22</v>
      </c>
      <c r="K2587" s="636">
        <v>2</v>
      </c>
      <c r="L2587" s="637" t="s">
        <v>52</v>
      </c>
      <c r="M2587" s="637" t="s">
        <v>441</v>
      </c>
      <c r="N2587" s="637" t="s">
        <v>442</v>
      </c>
      <c r="O2587" s="637" t="s">
        <v>442</v>
      </c>
      <c r="P2587" s="637" t="s">
        <v>1156</v>
      </c>
      <c r="Q2587" s="638">
        <v>0</v>
      </c>
      <c r="R2587" s="638">
        <v>0</v>
      </c>
      <c r="S2587" s="638">
        <v>6851</v>
      </c>
      <c r="T2587" s="638">
        <v>6851</v>
      </c>
      <c r="U2587" s="638">
        <v>2008</v>
      </c>
      <c r="V2587" s="636">
        <v>2022</v>
      </c>
      <c r="W2587" s="640"/>
      <c r="X2587" s="641">
        <f t="shared" si="120"/>
        <v>3.4118525896414345</v>
      </c>
      <c r="Y2587" s="642" t="str">
        <f t="shared" si="121"/>
        <v/>
      </c>
      <c r="Z2587" s="642" t="str">
        <f t="shared" si="122"/>
        <v/>
      </c>
    </row>
    <row r="2588" spans="1:26" s="127" customFormat="1" ht="25">
      <c r="A2588" s="636">
        <v>66481</v>
      </c>
      <c r="B2588" s="637" t="s">
        <v>33</v>
      </c>
      <c r="C2588" s="636" t="s">
        <v>2725</v>
      </c>
      <c r="D2588" s="637" t="s">
        <v>3893</v>
      </c>
      <c r="E2588" s="637" t="s">
        <v>3894</v>
      </c>
      <c r="F2588" s="636">
        <v>65480</v>
      </c>
      <c r="G2588" s="637" t="s">
        <v>57</v>
      </c>
      <c r="H2588" s="637" t="s">
        <v>1162</v>
      </c>
      <c r="I2588" s="637" t="s">
        <v>1156</v>
      </c>
      <c r="J2588" s="636">
        <v>22</v>
      </c>
      <c r="K2588" s="636">
        <v>2</v>
      </c>
      <c r="L2588" s="637" t="s">
        <v>52</v>
      </c>
      <c r="M2588" s="637" t="s">
        <v>441</v>
      </c>
      <c r="N2588" s="637" t="s">
        <v>442</v>
      </c>
      <c r="O2588" s="637" t="s">
        <v>442</v>
      </c>
      <c r="P2588" s="637" t="s">
        <v>1156</v>
      </c>
      <c r="Q2588" s="638">
        <v>0</v>
      </c>
      <c r="R2588" s="638">
        <v>0</v>
      </c>
      <c r="S2588" s="638">
        <v>9512</v>
      </c>
      <c r="T2588" s="638">
        <v>9512</v>
      </c>
      <c r="U2588" s="638">
        <v>2788</v>
      </c>
      <c r="V2588" s="636">
        <v>2022</v>
      </c>
      <c r="W2588" s="640"/>
      <c r="X2588" s="641">
        <f t="shared" si="120"/>
        <v>3.4117647058823528</v>
      </c>
      <c r="Y2588" s="642" t="str">
        <f t="shared" si="121"/>
        <v/>
      </c>
      <c r="Z2588" s="642" t="str">
        <f t="shared" si="122"/>
        <v/>
      </c>
    </row>
    <row r="2589" spans="1:26" s="127" customFormat="1" ht="25">
      <c r="A2589" s="636">
        <v>66482</v>
      </c>
      <c r="B2589" s="637" t="s">
        <v>33</v>
      </c>
      <c r="C2589" s="636" t="s">
        <v>2725</v>
      </c>
      <c r="D2589" s="637" t="s">
        <v>3895</v>
      </c>
      <c r="E2589" s="637" t="s">
        <v>3894</v>
      </c>
      <c r="F2589" s="636">
        <v>65480</v>
      </c>
      <c r="G2589" s="637" t="s">
        <v>57</v>
      </c>
      <c r="H2589" s="637" t="s">
        <v>1162</v>
      </c>
      <c r="I2589" s="637" t="s">
        <v>1156</v>
      </c>
      <c r="J2589" s="636">
        <v>22</v>
      </c>
      <c r="K2589" s="636">
        <v>2</v>
      </c>
      <c r="L2589" s="637" t="s">
        <v>52</v>
      </c>
      <c r="M2589" s="637" t="s">
        <v>441</v>
      </c>
      <c r="N2589" s="637" t="s">
        <v>442</v>
      </c>
      <c r="O2589" s="637" t="s">
        <v>442</v>
      </c>
      <c r="P2589" s="637" t="s">
        <v>1156</v>
      </c>
      <c r="Q2589" s="638">
        <v>0</v>
      </c>
      <c r="R2589" s="638">
        <v>0</v>
      </c>
      <c r="S2589" s="638">
        <v>15464</v>
      </c>
      <c r="T2589" s="638">
        <v>15464</v>
      </c>
      <c r="U2589" s="638">
        <v>4532</v>
      </c>
      <c r="V2589" s="636">
        <v>2022</v>
      </c>
      <c r="W2589" s="640"/>
      <c r="X2589" s="641">
        <f t="shared" si="120"/>
        <v>3.4121800529567521</v>
      </c>
      <c r="Y2589" s="642" t="str">
        <f t="shared" si="121"/>
        <v/>
      </c>
      <c r="Z2589" s="642" t="str">
        <f t="shared" si="122"/>
        <v/>
      </c>
    </row>
    <row r="2590" spans="1:26" s="127" customFormat="1" ht="25">
      <c r="A2590" s="636">
        <v>66483</v>
      </c>
      <c r="B2590" s="637" t="s">
        <v>33</v>
      </c>
      <c r="C2590" s="636" t="s">
        <v>2725</v>
      </c>
      <c r="D2590" s="637" t="s">
        <v>3896</v>
      </c>
      <c r="E2590" s="637" t="s">
        <v>3894</v>
      </c>
      <c r="F2590" s="636">
        <v>65480</v>
      </c>
      <c r="G2590" s="637" t="s">
        <v>57</v>
      </c>
      <c r="H2590" s="637" t="s">
        <v>1162</v>
      </c>
      <c r="I2590" s="637" t="s">
        <v>1156</v>
      </c>
      <c r="J2590" s="636">
        <v>22</v>
      </c>
      <c r="K2590" s="636">
        <v>2</v>
      </c>
      <c r="L2590" s="637" t="s">
        <v>52</v>
      </c>
      <c r="M2590" s="637" t="s">
        <v>441</v>
      </c>
      <c r="N2590" s="637" t="s">
        <v>442</v>
      </c>
      <c r="O2590" s="637" t="s">
        <v>442</v>
      </c>
      <c r="P2590" s="637" t="s">
        <v>1156</v>
      </c>
      <c r="Q2590" s="638">
        <v>0</v>
      </c>
      <c r="R2590" s="638">
        <v>0</v>
      </c>
      <c r="S2590" s="638">
        <v>32194</v>
      </c>
      <c r="T2590" s="638">
        <v>32194</v>
      </c>
      <c r="U2590" s="638">
        <v>9436</v>
      </c>
      <c r="V2590" s="636">
        <v>2022</v>
      </c>
      <c r="W2590" s="640"/>
      <c r="X2590" s="641">
        <f t="shared" si="120"/>
        <v>3.4118270453582027</v>
      </c>
      <c r="Y2590" s="642" t="str">
        <f t="shared" si="121"/>
        <v/>
      </c>
      <c r="Z2590" s="642" t="str">
        <f t="shared" si="122"/>
        <v/>
      </c>
    </row>
    <row r="2591" spans="1:26" s="127" customFormat="1" ht="25">
      <c r="A2591" s="636">
        <v>66489</v>
      </c>
      <c r="B2591" s="637" t="s">
        <v>33</v>
      </c>
      <c r="C2591" s="636" t="s">
        <v>2725</v>
      </c>
      <c r="D2591" s="637" t="s">
        <v>3897</v>
      </c>
      <c r="E2591" s="637" t="s">
        <v>2782</v>
      </c>
      <c r="F2591" s="636">
        <v>61194</v>
      </c>
      <c r="G2591" s="637" t="s">
        <v>57</v>
      </c>
      <c r="H2591" s="637" t="s">
        <v>1162</v>
      </c>
      <c r="I2591" s="637" t="s">
        <v>1156</v>
      </c>
      <c r="J2591" s="636">
        <v>22</v>
      </c>
      <c r="K2591" s="636">
        <v>2</v>
      </c>
      <c r="L2591" s="637" t="s">
        <v>52</v>
      </c>
      <c r="M2591" s="637" t="s">
        <v>441</v>
      </c>
      <c r="N2591" s="637" t="s">
        <v>442</v>
      </c>
      <c r="O2591" s="637" t="s">
        <v>442</v>
      </c>
      <c r="P2591" s="637" t="s">
        <v>1156</v>
      </c>
      <c r="Q2591" s="638">
        <v>0</v>
      </c>
      <c r="R2591" s="638">
        <v>0</v>
      </c>
      <c r="S2591" s="638">
        <v>0</v>
      </c>
      <c r="T2591" s="638">
        <v>0</v>
      </c>
      <c r="U2591" s="638">
        <v>0</v>
      </c>
      <c r="V2591" s="636">
        <v>2022</v>
      </c>
      <c r="W2591" s="640"/>
      <c r="X2591" s="641" t="str">
        <f t="shared" si="120"/>
        <v/>
      </c>
      <c r="Y2591" s="642" t="str">
        <f t="shared" si="121"/>
        <v/>
      </c>
      <c r="Z2591" s="642" t="str">
        <f t="shared" si="122"/>
        <v/>
      </c>
    </row>
    <row r="2592" spans="1:26" s="127" customFormat="1" ht="25">
      <c r="A2592" s="636">
        <v>66501</v>
      </c>
      <c r="B2592" s="637" t="s">
        <v>33</v>
      </c>
      <c r="C2592" s="636" t="s">
        <v>2725</v>
      </c>
      <c r="D2592" s="637" t="s">
        <v>3898</v>
      </c>
      <c r="E2592" s="637" t="s">
        <v>2276</v>
      </c>
      <c r="F2592" s="636">
        <v>61978</v>
      </c>
      <c r="G2592" s="637" t="s">
        <v>57</v>
      </c>
      <c r="H2592" s="637" t="s">
        <v>1162</v>
      </c>
      <c r="I2592" s="637" t="s">
        <v>1156</v>
      </c>
      <c r="J2592" s="636">
        <v>22</v>
      </c>
      <c r="K2592" s="636">
        <v>2</v>
      </c>
      <c r="L2592" s="637" t="s">
        <v>52</v>
      </c>
      <c r="M2592" s="637" t="s">
        <v>1852</v>
      </c>
      <c r="N2592" s="637" t="s">
        <v>1035</v>
      </c>
      <c r="O2592" s="637" t="s">
        <v>82</v>
      </c>
      <c r="P2592" s="637" t="s">
        <v>2726</v>
      </c>
      <c r="Q2592" s="638">
        <v>0</v>
      </c>
      <c r="R2592" s="638">
        <v>0</v>
      </c>
      <c r="S2592" s="638">
        <v>0</v>
      </c>
      <c r="T2592" s="638">
        <v>0</v>
      </c>
      <c r="U2592" s="638">
        <v>0</v>
      </c>
      <c r="V2592" s="636">
        <v>2022</v>
      </c>
      <c r="W2592" s="640"/>
      <c r="X2592" s="641" t="str">
        <f t="shared" si="120"/>
        <v/>
      </c>
      <c r="Y2592" s="642" t="str">
        <f t="shared" si="121"/>
        <v/>
      </c>
      <c r="Z2592" s="642" t="str">
        <f t="shared" si="122"/>
        <v/>
      </c>
    </row>
    <row r="2593" spans="1:26" s="127" customFormat="1" ht="25">
      <c r="A2593" s="636">
        <v>66501</v>
      </c>
      <c r="B2593" s="637" t="s">
        <v>33</v>
      </c>
      <c r="C2593" s="636" t="s">
        <v>2725</v>
      </c>
      <c r="D2593" s="637" t="s">
        <v>3898</v>
      </c>
      <c r="E2593" s="637" t="s">
        <v>2276</v>
      </c>
      <c r="F2593" s="636">
        <v>61978</v>
      </c>
      <c r="G2593" s="637" t="s">
        <v>57</v>
      </c>
      <c r="H2593" s="637" t="s">
        <v>1162</v>
      </c>
      <c r="I2593" s="637" t="s">
        <v>1156</v>
      </c>
      <c r="J2593" s="636">
        <v>22</v>
      </c>
      <c r="K2593" s="636">
        <v>2</v>
      </c>
      <c r="L2593" s="637" t="s">
        <v>52</v>
      </c>
      <c r="M2593" s="637" t="s">
        <v>441</v>
      </c>
      <c r="N2593" s="637" t="s">
        <v>442</v>
      </c>
      <c r="O2593" s="637" t="s">
        <v>442</v>
      </c>
      <c r="P2593" s="637" t="s">
        <v>1156</v>
      </c>
      <c r="Q2593" s="638">
        <v>0</v>
      </c>
      <c r="R2593" s="638">
        <v>0</v>
      </c>
      <c r="S2593" s="638">
        <v>13840</v>
      </c>
      <c r="T2593" s="638">
        <v>13840</v>
      </c>
      <c r="U2593" s="638">
        <v>4056</v>
      </c>
      <c r="V2593" s="636">
        <v>2022</v>
      </c>
      <c r="W2593" s="640"/>
      <c r="X2593" s="641">
        <f t="shared" si="120"/>
        <v>3.4122287968441816</v>
      </c>
      <c r="Y2593" s="642" t="str">
        <f t="shared" si="121"/>
        <v/>
      </c>
      <c r="Z2593" s="642" t="str">
        <f t="shared" si="122"/>
        <v/>
      </c>
    </row>
    <row r="2594" spans="1:26" s="127" customFormat="1" ht="25">
      <c r="A2594" s="636">
        <v>66503</v>
      </c>
      <c r="B2594" s="637" t="s">
        <v>33</v>
      </c>
      <c r="C2594" s="636" t="s">
        <v>2725</v>
      </c>
      <c r="D2594" s="637" t="s">
        <v>3899</v>
      </c>
      <c r="E2594" s="637" t="s">
        <v>2276</v>
      </c>
      <c r="F2594" s="636">
        <v>61978</v>
      </c>
      <c r="G2594" s="637" t="s">
        <v>57</v>
      </c>
      <c r="H2594" s="637" t="s">
        <v>1162</v>
      </c>
      <c r="I2594" s="637" t="s">
        <v>1156</v>
      </c>
      <c r="J2594" s="636">
        <v>22</v>
      </c>
      <c r="K2594" s="636">
        <v>2</v>
      </c>
      <c r="L2594" s="637" t="s">
        <v>52</v>
      </c>
      <c r="M2594" s="637" t="s">
        <v>1852</v>
      </c>
      <c r="N2594" s="637" t="s">
        <v>1035</v>
      </c>
      <c r="O2594" s="637" t="s">
        <v>82</v>
      </c>
      <c r="P2594" s="637" t="s">
        <v>2726</v>
      </c>
      <c r="Q2594" s="638">
        <v>0</v>
      </c>
      <c r="R2594" s="638">
        <v>0</v>
      </c>
      <c r="S2594" s="638">
        <v>0</v>
      </c>
      <c r="T2594" s="638">
        <v>0</v>
      </c>
      <c r="U2594" s="638">
        <v>0</v>
      </c>
      <c r="V2594" s="636">
        <v>2022</v>
      </c>
      <c r="W2594" s="640"/>
      <c r="X2594" s="641" t="str">
        <f t="shared" si="120"/>
        <v/>
      </c>
      <c r="Y2594" s="642" t="str">
        <f t="shared" si="121"/>
        <v/>
      </c>
      <c r="Z2594" s="642" t="str">
        <f t="shared" si="122"/>
        <v/>
      </c>
    </row>
    <row r="2595" spans="1:26" s="127" customFormat="1" ht="25">
      <c r="A2595" s="636">
        <v>66503</v>
      </c>
      <c r="B2595" s="637" t="s">
        <v>33</v>
      </c>
      <c r="C2595" s="636" t="s">
        <v>2725</v>
      </c>
      <c r="D2595" s="637" t="s">
        <v>3899</v>
      </c>
      <c r="E2595" s="637" t="s">
        <v>2276</v>
      </c>
      <c r="F2595" s="636">
        <v>61978</v>
      </c>
      <c r="G2595" s="637" t="s">
        <v>57</v>
      </c>
      <c r="H2595" s="637" t="s">
        <v>1162</v>
      </c>
      <c r="I2595" s="637" t="s">
        <v>1156</v>
      </c>
      <c r="J2595" s="636">
        <v>22</v>
      </c>
      <c r="K2595" s="636">
        <v>2</v>
      </c>
      <c r="L2595" s="637" t="s">
        <v>52</v>
      </c>
      <c r="M2595" s="637" t="s">
        <v>441</v>
      </c>
      <c r="N2595" s="637" t="s">
        <v>442</v>
      </c>
      <c r="O2595" s="637" t="s">
        <v>442</v>
      </c>
      <c r="P2595" s="637" t="s">
        <v>1156</v>
      </c>
      <c r="Q2595" s="638">
        <v>0</v>
      </c>
      <c r="R2595" s="638">
        <v>0</v>
      </c>
      <c r="S2595" s="638">
        <v>15078</v>
      </c>
      <c r="T2595" s="638">
        <v>15078</v>
      </c>
      <c r="U2595" s="638">
        <v>4419</v>
      </c>
      <c r="V2595" s="636">
        <v>2022</v>
      </c>
      <c r="W2595" s="640"/>
      <c r="X2595" s="641">
        <f t="shared" si="120"/>
        <v>3.4120841819416157</v>
      </c>
      <c r="Y2595" s="642" t="str">
        <f t="shared" si="121"/>
        <v/>
      </c>
      <c r="Z2595" s="642" t="str">
        <f t="shared" si="122"/>
        <v/>
      </c>
    </row>
    <row r="2596" spans="1:26" s="127" customFormat="1" ht="25">
      <c r="A2596" s="636">
        <v>66582</v>
      </c>
      <c r="B2596" s="637" t="s">
        <v>33</v>
      </c>
      <c r="C2596" s="636" t="s">
        <v>2725</v>
      </c>
      <c r="D2596" s="637" t="s">
        <v>3900</v>
      </c>
      <c r="E2596" s="637" t="s">
        <v>3900</v>
      </c>
      <c r="F2596" s="636">
        <v>65628</v>
      </c>
      <c r="G2596" s="637" t="s">
        <v>130</v>
      </c>
      <c r="H2596" s="637" t="s">
        <v>1163</v>
      </c>
      <c r="I2596" s="637" t="s">
        <v>1156</v>
      </c>
      <c r="J2596" s="636">
        <v>22</v>
      </c>
      <c r="K2596" s="636">
        <v>2</v>
      </c>
      <c r="L2596" s="637" t="s">
        <v>52</v>
      </c>
      <c r="M2596" s="637" t="s">
        <v>441</v>
      </c>
      <c r="N2596" s="637" t="s">
        <v>442</v>
      </c>
      <c r="O2596" s="637" t="s">
        <v>442</v>
      </c>
      <c r="P2596" s="637" t="s">
        <v>1156</v>
      </c>
      <c r="Q2596" s="638">
        <v>0</v>
      </c>
      <c r="R2596" s="638">
        <v>0</v>
      </c>
      <c r="S2596" s="638">
        <v>2644</v>
      </c>
      <c r="T2596" s="638">
        <v>2644</v>
      </c>
      <c r="U2596" s="638">
        <v>775</v>
      </c>
      <c r="V2596" s="636">
        <v>2022</v>
      </c>
      <c r="W2596" s="640"/>
      <c r="X2596" s="641">
        <f t="shared" si="120"/>
        <v>3.4116129032258065</v>
      </c>
      <c r="Y2596" s="642" t="str">
        <f t="shared" si="121"/>
        <v/>
      </c>
      <c r="Z2596" s="642" t="str">
        <f t="shared" si="122"/>
        <v/>
      </c>
    </row>
    <row r="2597" spans="1:26" s="127" customFormat="1" ht="25">
      <c r="A2597" s="636">
        <v>66583</v>
      </c>
      <c r="B2597" s="637" t="s">
        <v>33</v>
      </c>
      <c r="C2597" s="636" t="s">
        <v>2725</v>
      </c>
      <c r="D2597" s="637" t="s">
        <v>3901</v>
      </c>
      <c r="E2597" s="637" t="s">
        <v>3901</v>
      </c>
      <c r="F2597" s="636">
        <v>65629</v>
      </c>
      <c r="G2597" s="637" t="s">
        <v>57</v>
      </c>
      <c r="H2597" s="637" t="s">
        <v>1162</v>
      </c>
      <c r="I2597" s="637" t="s">
        <v>1156</v>
      </c>
      <c r="J2597" s="636">
        <v>22</v>
      </c>
      <c r="K2597" s="636">
        <v>2</v>
      </c>
      <c r="L2597" s="637" t="s">
        <v>52</v>
      </c>
      <c r="M2597" s="637" t="s">
        <v>441</v>
      </c>
      <c r="N2597" s="637" t="s">
        <v>442</v>
      </c>
      <c r="O2597" s="637" t="s">
        <v>442</v>
      </c>
      <c r="P2597" s="637" t="s">
        <v>1156</v>
      </c>
      <c r="Q2597" s="638">
        <v>0</v>
      </c>
      <c r="R2597" s="638">
        <v>0</v>
      </c>
      <c r="S2597" s="638">
        <v>13692</v>
      </c>
      <c r="T2597" s="638">
        <v>13692</v>
      </c>
      <c r="U2597" s="638">
        <v>4013</v>
      </c>
      <c r="V2597" s="636">
        <v>2022</v>
      </c>
      <c r="W2597" s="640"/>
      <c r="X2597" s="641">
        <f t="shared" si="120"/>
        <v>3.4119112883129827</v>
      </c>
      <c r="Y2597" s="642" t="str">
        <f t="shared" si="121"/>
        <v/>
      </c>
      <c r="Z2597" s="642" t="str">
        <f t="shared" si="122"/>
        <v/>
      </c>
    </row>
    <row r="2598" spans="1:26" s="127" customFormat="1" ht="25">
      <c r="A2598" s="636">
        <v>66584</v>
      </c>
      <c r="B2598" s="637" t="s">
        <v>33</v>
      </c>
      <c r="C2598" s="636" t="s">
        <v>2725</v>
      </c>
      <c r="D2598" s="637" t="s">
        <v>3902</v>
      </c>
      <c r="E2598" s="637" t="s">
        <v>3902</v>
      </c>
      <c r="F2598" s="636">
        <v>65630</v>
      </c>
      <c r="G2598" s="637" t="s">
        <v>130</v>
      </c>
      <c r="H2598" s="637" t="s">
        <v>1163</v>
      </c>
      <c r="I2598" s="637" t="s">
        <v>1156</v>
      </c>
      <c r="J2598" s="636">
        <v>22</v>
      </c>
      <c r="K2598" s="636">
        <v>2</v>
      </c>
      <c r="L2598" s="637" t="s">
        <v>52</v>
      </c>
      <c r="M2598" s="637" t="s">
        <v>441</v>
      </c>
      <c r="N2598" s="637" t="s">
        <v>442</v>
      </c>
      <c r="O2598" s="637" t="s">
        <v>442</v>
      </c>
      <c r="P2598" s="637" t="s">
        <v>1156</v>
      </c>
      <c r="Q2598" s="638">
        <v>0</v>
      </c>
      <c r="R2598" s="638">
        <v>0</v>
      </c>
      <c r="S2598" s="638">
        <v>0</v>
      </c>
      <c r="T2598" s="638">
        <v>0</v>
      </c>
      <c r="U2598" s="638">
        <v>0</v>
      </c>
      <c r="V2598" s="636">
        <v>2022</v>
      </c>
      <c r="W2598" s="640"/>
      <c r="X2598" s="641" t="str">
        <f t="shared" si="120"/>
        <v/>
      </c>
      <c r="Y2598" s="642" t="str">
        <f t="shared" si="121"/>
        <v/>
      </c>
      <c r="Z2598" s="642" t="str">
        <f t="shared" si="122"/>
        <v/>
      </c>
    </row>
    <row r="2599" spans="1:26" s="127" customFormat="1" ht="25">
      <c r="A2599" s="636">
        <v>66585</v>
      </c>
      <c r="B2599" s="637" t="s">
        <v>33</v>
      </c>
      <c r="C2599" s="636" t="s">
        <v>2725</v>
      </c>
      <c r="D2599" s="637" t="s">
        <v>3903</v>
      </c>
      <c r="E2599" s="637" t="s">
        <v>3903</v>
      </c>
      <c r="F2599" s="636">
        <v>65631</v>
      </c>
      <c r="G2599" s="637" t="s">
        <v>81</v>
      </c>
      <c r="H2599" s="637" t="s">
        <v>1163</v>
      </c>
      <c r="I2599" s="637" t="s">
        <v>1156</v>
      </c>
      <c r="J2599" s="636">
        <v>22</v>
      </c>
      <c r="K2599" s="636">
        <v>2</v>
      </c>
      <c r="L2599" s="637" t="s">
        <v>52</v>
      </c>
      <c r="M2599" s="637" t="s">
        <v>441</v>
      </c>
      <c r="N2599" s="637" t="s">
        <v>442</v>
      </c>
      <c r="O2599" s="637" t="s">
        <v>442</v>
      </c>
      <c r="P2599" s="637" t="s">
        <v>1156</v>
      </c>
      <c r="Q2599" s="638">
        <v>0</v>
      </c>
      <c r="R2599" s="638">
        <v>0</v>
      </c>
      <c r="S2599" s="638">
        <v>0</v>
      </c>
      <c r="T2599" s="638">
        <v>0</v>
      </c>
      <c r="U2599" s="638">
        <v>0</v>
      </c>
      <c r="V2599" s="636">
        <v>2022</v>
      </c>
      <c r="W2599" s="640"/>
      <c r="X2599" s="641" t="str">
        <f t="shared" si="120"/>
        <v/>
      </c>
      <c r="Y2599" s="642" t="str">
        <f t="shared" si="121"/>
        <v/>
      </c>
      <c r="Z2599" s="642" t="str">
        <f t="shared" si="122"/>
        <v/>
      </c>
    </row>
    <row r="2600" spans="1:26" s="127" customFormat="1" ht="25">
      <c r="A2600" s="636">
        <v>66586</v>
      </c>
      <c r="B2600" s="637" t="s">
        <v>33</v>
      </c>
      <c r="C2600" s="636" t="s">
        <v>2725</v>
      </c>
      <c r="D2600" s="637" t="s">
        <v>3904</v>
      </c>
      <c r="E2600" s="637" t="s">
        <v>3905</v>
      </c>
      <c r="F2600" s="636">
        <v>65632</v>
      </c>
      <c r="G2600" s="637" t="s">
        <v>57</v>
      </c>
      <c r="H2600" s="637" t="s">
        <v>1162</v>
      </c>
      <c r="I2600" s="637" t="s">
        <v>1156</v>
      </c>
      <c r="J2600" s="636">
        <v>22</v>
      </c>
      <c r="K2600" s="636">
        <v>2</v>
      </c>
      <c r="L2600" s="637" t="s">
        <v>52</v>
      </c>
      <c r="M2600" s="637" t="s">
        <v>441</v>
      </c>
      <c r="N2600" s="637" t="s">
        <v>442</v>
      </c>
      <c r="O2600" s="637" t="s">
        <v>442</v>
      </c>
      <c r="P2600" s="637" t="s">
        <v>1156</v>
      </c>
      <c r="Q2600" s="638">
        <v>0</v>
      </c>
      <c r="R2600" s="638">
        <v>0</v>
      </c>
      <c r="S2600" s="638">
        <v>4930</v>
      </c>
      <c r="T2600" s="638">
        <v>4930</v>
      </c>
      <c r="U2600" s="638">
        <v>1445</v>
      </c>
      <c r="V2600" s="636">
        <v>2022</v>
      </c>
      <c r="W2600" s="640"/>
      <c r="X2600" s="641">
        <f t="shared" si="120"/>
        <v>3.4117647058823528</v>
      </c>
      <c r="Y2600" s="642" t="str">
        <f t="shared" si="121"/>
        <v/>
      </c>
      <c r="Z2600" s="642" t="str">
        <f t="shared" si="122"/>
        <v/>
      </c>
    </row>
    <row r="2601" spans="1:26" s="127" customFormat="1" ht="25">
      <c r="A2601" s="636">
        <v>66729</v>
      </c>
      <c r="B2601" s="637" t="s">
        <v>33</v>
      </c>
      <c r="C2601" s="636" t="s">
        <v>2725</v>
      </c>
      <c r="D2601" s="637" t="s">
        <v>3906</v>
      </c>
      <c r="E2601" s="637" t="s">
        <v>3907</v>
      </c>
      <c r="F2601" s="636">
        <v>64872</v>
      </c>
      <c r="G2601" s="637" t="s">
        <v>57</v>
      </c>
      <c r="H2601" s="637" t="s">
        <v>1162</v>
      </c>
      <c r="I2601" s="637" t="s">
        <v>1156</v>
      </c>
      <c r="J2601" s="636">
        <v>22</v>
      </c>
      <c r="K2601" s="636">
        <v>2</v>
      </c>
      <c r="L2601" s="637" t="s">
        <v>52</v>
      </c>
      <c r="M2601" s="637" t="s">
        <v>441</v>
      </c>
      <c r="N2601" s="637" t="s">
        <v>442</v>
      </c>
      <c r="O2601" s="637" t="s">
        <v>442</v>
      </c>
      <c r="P2601" s="637" t="s">
        <v>1156</v>
      </c>
      <c r="Q2601" s="638">
        <v>0</v>
      </c>
      <c r="R2601" s="638">
        <v>0</v>
      </c>
      <c r="S2601" s="638">
        <v>6247</v>
      </c>
      <c r="T2601" s="638">
        <v>6247</v>
      </c>
      <c r="U2601" s="638">
        <v>1831</v>
      </c>
      <c r="V2601" s="636">
        <v>2022</v>
      </c>
      <c r="W2601" s="640"/>
      <c r="X2601" s="641">
        <f t="shared" si="120"/>
        <v>3.4117968323320591</v>
      </c>
      <c r="Y2601" s="642" t="str">
        <f t="shared" si="121"/>
        <v/>
      </c>
      <c r="Z2601" s="642" t="str">
        <f t="shared" si="122"/>
        <v/>
      </c>
    </row>
    <row r="2602" spans="1:26" s="127" customFormat="1" ht="25">
      <c r="A2602" s="636">
        <v>66731</v>
      </c>
      <c r="B2602" s="637" t="s">
        <v>33</v>
      </c>
      <c r="C2602" s="636" t="s">
        <v>2725</v>
      </c>
      <c r="D2602" s="637" t="s">
        <v>3908</v>
      </c>
      <c r="E2602" s="637" t="s">
        <v>3907</v>
      </c>
      <c r="F2602" s="636">
        <v>64872</v>
      </c>
      <c r="G2602" s="637" t="s">
        <v>57</v>
      </c>
      <c r="H2602" s="637" t="s">
        <v>1162</v>
      </c>
      <c r="I2602" s="637" t="s">
        <v>1156</v>
      </c>
      <c r="J2602" s="636">
        <v>22</v>
      </c>
      <c r="K2602" s="636">
        <v>2</v>
      </c>
      <c r="L2602" s="637" t="s">
        <v>52</v>
      </c>
      <c r="M2602" s="637" t="s">
        <v>441</v>
      </c>
      <c r="N2602" s="637" t="s">
        <v>442</v>
      </c>
      <c r="O2602" s="637" t="s">
        <v>442</v>
      </c>
      <c r="P2602" s="637" t="s">
        <v>1156</v>
      </c>
      <c r="Q2602" s="638">
        <v>0</v>
      </c>
      <c r="R2602" s="638">
        <v>0</v>
      </c>
      <c r="S2602" s="638">
        <v>0</v>
      </c>
      <c r="T2602" s="638">
        <v>0</v>
      </c>
      <c r="U2602" s="638">
        <v>0</v>
      </c>
      <c r="V2602" s="636">
        <v>2022</v>
      </c>
      <c r="W2602" s="640"/>
      <c r="X2602" s="641" t="str">
        <f t="shared" si="120"/>
        <v/>
      </c>
      <c r="Y2602" s="642" t="str">
        <f t="shared" si="121"/>
        <v/>
      </c>
      <c r="Z2602" s="642" t="str">
        <f t="shared" si="122"/>
        <v/>
      </c>
    </row>
    <row r="2603" spans="1:26" s="127" customFormat="1" ht="25">
      <c r="A2603" s="636">
        <v>66732</v>
      </c>
      <c r="B2603" s="637" t="s">
        <v>33</v>
      </c>
      <c r="C2603" s="636" t="s">
        <v>2725</v>
      </c>
      <c r="D2603" s="637" t="s">
        <v>3909</v>
      </c>
      <c r="E2603" s="637" t="s">
        <v>3907</v>
      </c>
      <c r="F2603" s="636">
        <v>64872</v>
      </c>
      <c r="G2603" s="637" t="s">
        <v>57</v>
      </c>
      <c r="H2603" s="637" t="s">
        <v>1162</v>
      </c>
      <c r="I2603" s="637" t="s">
        <v>1156</v>
      </c>
      <c r="J2603" s="636">
        <v>22</v>
      </c>
      <c r="K2603" s="636">
        <v>2</v>
      </c>
      <c r="L2603" s="637" t="s">
        <v>52</v>
      </c>
      <c r="M2603" s="637" t="s">
        <v>441</v>
      </c>
      <c r="N2603" s="637" t="s">
        <v>442</v>
      </c>
      <c r="O2603" s="637" t="s">
        <v>442</v>
      </c>
      <c r="P2603" s="637" t="s">
        <v>1156</v>
      </c>
      <c r="Q2603" s="638">
        <v>0</v>
      </c>
      <c r="R2603" s="638">
        <v>0</v>
      </c>
      <c r="S2603" s="638">
        <v>0</v>
      </c>
      <c r="T2603" s="638">
        <v>0</v>
      </c>
      <c r="U2603" s="638">
        <v>0</v>
      </c>
      <c r="V2603" s="636">
        <v>2022</v>
      </c>
      <c r="W2603" s="640"/>
      <c r="X2603" s="641" t="str">
        <f t="shared" si="120"/>
        <v/>
      </c>
      <c r="Y2603" s="642" t="str">
        <f t="shared" si="121"/>
        <v/>
      </c>
      <c r="Z2603" s="642" t="str">
        <f t="shared" si="122"/>
        <v/>
      </c>
    </row>
    <row r="2604" spans="1:26" s="127" customFormat="1" ht="25">
      <c r="A2604" s="636">
        <v>66734</v>
      </c>
      <c r="B2604" s="637" t="s">
        <v>33</v>
      </c>
      <c r="C2604" s="636" t="s">
        <v>2725</v>
      </c>
      <c r="D2604" s="637" t="s">
        <v>3910</v>
      </c>
      <c r="E2604" s="637" t="s">
        <v>3907</v>
      </c>
      <c r="F2604" s="636">
        <v>64872</v>
      </c>
      <c r="G2604" s="637" t="s">
        <v>57</v>
      </c>
      <c r="H2604" s="637" t="s">
        <v>1162</v>
      </c>
      <c r="I2604" s="637" t="s">
        <v>1156</v>
      </c>
      <c r="J2604" s="636">
        <v>22</v>
      </c>
      <c r="K2604" s="636">
        <v>2</v>
      </c>
      <c r="L2604" s="637" t="s">
        <v>52</v>
      </c>
      <c r="M2604" s="637" t="s">
        <v>441</v>
      </c>
      <c r="N2604" s="637" t="s">
        <v>442</v>
      </c>
      <c r="O2604" s="637" t="s">
        <v>442</v>
      </c>
      <c r="P2604" s="637" t="s">
        <v>1156</v>
      </c>
      <c r="Q2604" s="638">
        <v>0</v>
      </c>
      <c r="R2604" s="638">
        <v>0</v>
      </c>
      <c r="S2604" s="638">
        <v>0</v>
      </c>
      <c r="T2604" s="638">
        <v>0</v>
      </c>
      <c r="U2604" s="638">
        <v>0</v>
      </c>
      <c r="V2604" s="636">
        <v>2022</v>
      </c>
      <c r="W2604" s="640"/>
      <c r="X2604" s="641" t="str">
        <f t="shared" si="120"/>
        <v/>
      </c>
      <c r="Y2604" s="642" t="str">
        <f t="shared" si="121"/>
        <v/>
      </c>
      <c r="Z2604" s="642" t="str">
        <f t="shared" si="122"/>
        <v/>
      </c>
    </row>
    <row r="2605" spans="1:26" s="127" customFormat="1" ht="25">
      <c r="A2605" s="636">
        <v>66749</v>
      </c>
      <c r="B2605" s="637" t="s">
        <v>33</v>
      </c>
      <c r="C2605" s="636" t="s">
        <v>2725</v>
      </c>
      <c r="D2605" s="637" t="s">
        <v>3911</v>
      </c>
      <c r="E2605" s="637" t="s">
        <v>3912</v>
      </c>
      <c r="F2605" s="636">
        <v>65748</v>
      </c>
      <c r="G2605" s="637" t="s">
        <v>57</v>
      </c>
      <c r="H2605" s="637" t="s">
        <v>1162</v>
      </c>
      <c r="I2605" s="637" t="s">
        <v>1156</v>
      </c>
      <c r="J2605" s="636">
        <v>22</v>
      </c>
      <c r="K2605" s="636">
        <v>2</v>
      </c>
      <c r="L2605" s="637" t="s">
        <v>52</v>
      </c>
      <c r="M2605" s="637" t="s">
        <v>441</v>
      </c>
      <c r="N2605" s="637" t="s">
        <v>442</v>
      </c>
      <c r="O2605" s="637" t="s">
        <v>442</v>
      </c>
      <c r="P2605" s="637" t="s">
        <v>1156</v>
      </c>
      <c r="Q2605" s="638">
        <v>0</v>
      </c>
      <c r="R2605" s="638">
        <v>0</v>
      </c>
      <c r="S2605" s="638">
        <v>0</v>
      </c>
      <c r="T2605" s="638">
        <v>0</v>
      </c>
      <c r="U2605" s="638">
        <v>0</v>
      </c>
      <c r="V2605" s="636">
        <v>2022</v>
      </c>
      <c r="W2605" s="640"/>
      <c r="X2605" s="641" t="str">
        <f t="shared" si="120"/>
        <v/>
      </c>
      <c r="Y2605" s="642" t="str">
        <f t="shared" si="121"/>
        <v/>
      </c>
      <c r="Z2605" s="642" t="str">
        <f t="shared" si="122"/>
        <v/>
      </c>
    </row>
    <row r="2606" spans="1:26" s="127" customFormat="1" ht="25">
      <c r="A2606" s="636">
        <v>66762</v>
      </c>
      <c r="B2606" s="637" t="s">
        <v>33</v>
      </c>
      <c r="C2606" s="636" t="s">
        <v>2725</v>
      </c>
      <c r="D2606" s="637" t="s">
        <v>3913</v>
      </c>
      <c r="E2606" s="637" t="s">
        <v>3907</v>
      </c>
      <c r="F2606" s="636">
        <v>64872</v>
      </c>
      <c r="G2606" s="637" t="s">
        <v>57</v>
      </c>
      <c r="H2606" s="637" t="s">
        <v>1162</v>
      </c>
      <c r="I2606" s="637" t="s">
        <v>1156</v>
      </c>
      <c r="J2606" s="636">
        <v>22</v>
      </c>
      <c r="K2606" s="636">
        <v>2</v>
      </c>
      <c r="L2606" s="637" t="s">
        <v>52</v>
      </c>
      <c r="M2606" s="637" t="s">
        <v>441</v>
      </c>
      <c r="N2606" s="637" t="s">
        <v>442</v>
      </c>
      <c r="O2606" s="637" t="s">
        <v>442</v>
      </c>
      <c r="P2606" s="637" t="s">
        <v>1156</v>
      </c>
      <c r="Q2606" s="638">
        <v>0</v>
      </c>
      <c r="R2606" s="638">
        <v>0</v>
      </c>
      <c r="S2606" s="638">
        <v>0</v>
      </c>
      <c r="T2606" s="638">
        <v>0</v>
      </c>
      <c r="U2606" s="638">
        <v>0</v>
      </c>
      <c r="V2606" s="636">
        <v>2022</v>
      </c>
      <c r="W2606" s="640"/>
      <c r="X2606" s="641" t="str">
        <f t="shared" si="120"/>
        <v/>
      </c>
      <c r="Y2606" s="642" t="str">
        <f t="shared" si="121"/>
        <v/>
      </c>
      <c r="Z2606" s="642" t="str">
        <f t="shared" si="122"/>
        <v/>
      </c>
    </row>
    <row r="2607" spans="1:26" s="127" customFormat="1" ht="25">
      <c r="A2607" s="636">
        <v>66763</v>
      </c>
      <c r="B2607" s="637" t="s">
        <v>33</v>
      </c>
      <c r="C2607" s="636" t="s">
        <v>2725</v>
      </c>
      <c r="D2607" s="637" t="s">
        <v>3914</v>
      </c>
      <c r="E2607" s="637" t="s">
        <v>3907</v>
      </c>
      <c r="F2607" s="636">
        <v>64872</v>
      </c>
      <c r="G2607" s="637" t="s">
        <v>57</v>
      </c>
      <c r="H2607" s="637" t="s">
        <v>1162</v>
      </c>
      <c r="I2607" s="637" t="s">
        <v>1156</v>
      </c>
      <c r="J2607" s="636">
        <v>22</v>
      </c>
      <c r="K2607" s="636">
        <v>2</v>
      </c>
      <c r="L2607" s="637" t="s">
        <v>52</v>
      </c>
      <c r="M2607" s="637" t="s">
        <v>441</v>
      </c>
      <c r="N2607" s="637" t="s">
        <v>442</v>
      </c>
      <c r="O2607" s="637" t="s">
        <v>442</v>
      </c>
      <c r="P2607" s="637" t="s">
        <v>1156</v>
      </c>
      <c r="Q2607" s="638">
        <v>0</v>
      </c>
      <c r="R2607" s="638">
        <v>0</v>
      </c>
      <c r="S2607" s="638">
        <v>0</v>
      </c>
      <c r="T2607" s="638">
        <v>0</v>
      </c>
      <c r="U2607" s="638">
        <v>0</v>
      </c>
      <c r="V2607" s="636">
        <v>2022</v>
      </c>
      <c r="W2607" s="640"/>
      <c r="X2607" s="641" t="str">
        <f t="shared" si="120"/>
        <v/>
      </c>
      <c r="Y2607" s="642" t="str">
        <f t="shared" si="121"/>
        <v/>
      </c>
      <c r="Z2607" s="642" t="str">
        <f t="shared" si="122"/>
        <v/>
      </c>
    </row>
    <row r="2608" spans="1:26" s="127" customFormat="1" ht="25">
      <c r="A2608" s="636">
        <v>66764</v>
      </c>
      <c r="B2608" s="637" t="s">
        <v>33</v>
      </c>
      <c r="C2608" s="636" t="s">
        <v>2725</v>
      </c>
      <c r="D2608" s="637" t="s">
        <v>3915</v>
      </c>
      <c r="E2608" s="637" t="s">
        <v>3907</v>
      </c>
      <c r="F2608" s="636">
        <v>64872</v>
      </c>
      <c r="G2608" s="637" t="s">
        <v>57</v>
      </c>
      <c r="H2608" s="637" t="s">
        <v>1162</v>
      </c>
      <c r="I2608" s="637" t="s">
        <v>1156</v>
      </c>
      <c r="J2608" s="636">
        <v>22</v>
      </c>
      <c r="K2608" s="636">
        <v>2</v>
      </c>
      <c r="L2608" s="637" t="s">
        <v>52</v>
      </c>
      <c r="M2608" s="637" t="s">
        <v>441</v>
      </c>
      <c r="N2608" s="637" t="s">
        <v>442</v>
      </c>
      <c r="O2608" s="637" t="s">
        <v>442</v>
      </c>
      <c r="P2608" s="637" t="s">
        <v>1156</v>
      </c>
      <c r="Q2608" s="638">
        <v>0</v>
      </c>
      <c r="R2608" s="638">
        <v>0</v>
      </c>
      <c r="S2608" s="638">
        <v>0</v>
      </c>
      <c r="T2608" s="638">
        <v>0</v>
      </c>
      <c r="U2608" s="638">
        <v>0</v>
      </c>
      <c r="V2608" s="636">
        <v>2022</v>
      </c>
      <c r="W2608" s="640"/>
      <c r="X2608" s="641" t="str">
        <f t="shared" si="120"/>
        <v/>
      </c>
      <c r="Y2608" s="642" t="str">
        <f t="shared" si="121"/>
        <v/>
      </c>
      <c r="Z2608" s="642" t="str">
        <f t="shared" si="122"/>
        <v/>
      </c>
    </row>
    <row r="2609" spans="1:26" s="127" customFormat="1" ht="25">
      <c r="A2609" s="636">
        <v>66765</v>
      </c>
      <c r="B2609" s="637" t="s">
        <v>33</v>
      </c>
      <c r="C2609" s="636" t="s">
        <v>2725</v>
      </c>
      <c r="D2609" s="637" t="s">
        <v>3916</v>
      </c>
      <c r="E2609" s="637" t="s">
        <v>3907</v>
      </c>
      <c r="F2609" s="636">
        <v>64872</v>
      </c>
      <c r="G2609" s="637" t="s">
        <v>57</v>
      </c>
      <c r="H2609" s="637" t="s">
        <v>1162</v>
      </c>
      <c r="I2609" s="637" t="s">
        <v>1156</v>
      </c>
      <c r="J2609" s="636">
        <v>22</v>
      </c>
      <c r="K2609" s="636">
        <v>2</v>
      </c>
      <c r="L2609" s="637" t="s">
        <v>52</v>
      </c>
      <c r="M2609" s="637" t="s">
        <v>1852</v>
      </c>
      <c r="N2609" s="637" t="s">
        <v>1035</v>
      </c>
      <c r="O2609" s="637" t="s">
        <v>82</v>
      </c>
      <c r="P2609" s="637" t="s">
        <v>2726</v>
      </c>
      <c r="Q2609" s="638">
        <v>0</v>
      </c>
      <c r="R2609" s="638">
        <v>0</v>
      </c>
      <c r="S2609" s="638">
        <v>0</v>
      </c>
      <c r="T2609" s="638">
        <v>0</v>
      </c>
      <c r="U2609" s="638">
        <v>0</v>
      </c>
      <c r="V2609" s="636">
        <v>2022</v>
      </c>
      <c r="W2609" s="640"/>
      <c r="X2609" s="641" t="str">
        <f t="shared" si="120"/>
        <v/>
      </c>
      <c r="Y2609" s="642" t="str">
        <f t="shared" si="121"/>
        <v/>
      </c>
      <c r="Z2609" s="642" t="str">
        <f t="shared" si="122"/>
        <v/>
      </c>
    </row>
    <row r="2610" spans="1:26" s="127" customFormat="1" ht="25">
      <c r="A2610" s="636">
        <v>66765</v>
      </c>
      <c r="B2610" s="637" t="s">
        <v>33</v>
      </c>
      <c r="C2610" s="636" t="s">
        <v>2725</v>
      </c>
      <c r="D2610" s="637" t="s">
        <v>3916</v>
      </c>
      <c r="E2610" s="637" t="s">
        <v>3907</v>
      </c>
      <c r="F2610" s="636">
        <v>64872</v>
      </c>
      <c r="G2610" s="637" t="s">
        <v>57</v>
      </c>
      <c r="H2610" s="637" t="s">
        <v>1162</v>
      </c>
      <c r="I2610" s="637" t="s">
        <v>1156</v>
      </c>
      <c r="J2610" s="636">
        <v>22</v>
      </c>
      <c r="K2610" s="636">
        <v>2</v>
      </c>
      <c r="L2610" s="637" t="s">
        <v>52</v>
      </c>
      <c r="M2610" s="637" t="s">
        <v>441</v>
      </c>
      <c r="N2610" s="637" t="s">
        <v>442</v>
      </c>
      <c r="O2610" s="637" t="s">
        <v>442</v>
      </c>
      <c r="P2610" s="637" t="s">
        <v>1156</v>
      </c>
      <c r="Q2610" s="638">
        <v>0</v>
      </c>
      <c r="R2610" s="638">
        <v>0</v>
      </c>
      <c r="S2610" s="638">
        <v>0</v>
      </c>
      <c r="T2610" s="638">
        <v>0</v>
      </c>
      <c r="U2610" s="638">
        <v>0</v>
      </c>
      <c r="V2610" s="636">
        <v>2022</v>
      </c>
      <c r="W2610" s="640"/>
      <c r="X2610" s="641" t="str">
        <f t="shared" si="120"/>
        <v/>
      </c>
      <c r="Y2610" s="642" t="str">
        <f t="shared" si="121"/>
        <v/>
      </c>
      <c r="Z2610" s="642" t="str">
        <f t="shared" si="122"/>
        <v/>
      </c>
    </row>
    <row r="2611" spans="1:26" s="127" customFormat="1" ht="25">
      <c r="A2611" s="636">
        <v>66766</v>
      </c>
      <c r="B2611" s="637" t="s">
        <v>33</v>
      </c>
      <c r="C2611" s="636" t="s">
        <v>2725</v>
      </c>
      <c r="D2611" s="637" t="s">
        <v>3917</v>
      </c>
      <c r="E2611" s="637" t="s">
        <v>3907</v>
      </c>
      <c r="F2611" s="636">
        <v>64872</v>
      </c>
      <c r="G2611" s="637" t="s">
        <v>57</v>
      </c>
      <c r="H2611" s="637" t="s">
        <v>1162</v>
      </c>
      <c r="I2611" s="637" t="s">
        <v>1156</v>
      </c>
      <c r="J2611" s="636">
        <v>22</v>
      </c>
      <c r="K2611" s="636">
        <v>2</v>
      </c>
      <c r="L2611" s="637" t="s">
        <v>52</v>
      </c>
      <c r="M2611" s="637" t="s">
        <v>441</v>
      </c>
      <c r="N2611" s="637" t="s">
        <v>442</v>
      </c>
      <c r="O2611" s="637" t="s">
        <v>442</v>
      </c>
      <c r="P2611" s="637" t="s">
        <v>1156</v>
      </c>
      <c r="Q2611" s="638">
        <v>0</v>
      </c>
      <c r="R2611" s="638">
        <v>0</v>
      </c>
      <c r="S2611" s="638">
        <v>0</v>
      </c>
      <c r="T2611" s="638">
        <v>0</v>
      </c>
      <c r="U2611" s="638">
        <v>0</v>
      </c>
      <c r="V2611" s="636">
        <v>2022</v>
      </c>
      <c r="W2611" s="640"/>
      <c r="X2611" s="641" t="str">
        <f t="shared" si="120"/>
        <v/>
      </c>
      <c r="Y2611" s="642" t="str">
        <f t="shared" si="121"/>
        <v/>
      </c>
      <c r="Z2611" s="642" t="str">
        <f t="shared" si="122"/>
        <v/>
      </c>
    </row>
    <row r="2612" spans="1:26" s="127" customFormat="1" ht="25">
      <c r="A2612" s="636">
        <v>66767</v>
      </c>
      <c r="B2612" s="637" t="s">
        <v>33</v>
      </c>
      <c r="C2612" s="636" t="s">
        <v>2725</v>
      </c>
      <c r="D2612" s="637" t="s">
        <v>3918</v>
      </c>
      <c r="E2612" s="637" t="s">
        <v>3907</v>
      </c>
      <c r="F2612" s="636">
        <v>64872</v>
      </c>
      <c r="G2612" s="637" t="s">
        <v>57</v>
      </c>
      <c r="H2612" s="637" t="s">
        <v>1162</v>
      </c>
      <c r="I2612" s="637" t="s">
        <v>1156</v>
      </c>
      <c r="J2612" s="636">
        <v>22</v>
      </c>
      <c r="K2612" s="636">
        <v>2</v>
      </c>
      <c r="L2612" s="637" t="s">
        <v>52</v>
      </c>
      <c r="M2612" s="637" t="s">
        <v>1852</v>
      </c>
      <c r="N2612" s="637" t="s">
        <v>1035</v>
      </c>
      <c r="O2612" s="637" t="s">
        <v>82</v>
      </c>
      <c r="P2612" s="637" t="s">
        <v>2726</v>
      </c>
      <c r="Q2612" s="638">
        <v>0</v>
      </c>
      <c r="R2612" s="638">
        <v>0</v>
      </c>
      <c r="S2612" s="638">
        <v>0</v>
      </c>
      <c r="T2612" s="638">
        <v>0</v>
      </c>
      <c r="U2612" s="638">
        <v>0</v>
      </c>
      <c r="V2612" s="636">
        <v>2022</v>
      </c>
      <c r="W2612" s="640"/>
      <c r="X2612" s="641" t="str">
        <f t="shared" si="120"/>
        <v/>
      </c>
      <c r="Y2612" s="642" t="str">
        <f t="shared" si="121"/>
        <v/>
      </c>
      <c r="Z2612" s="642" t="str">
        <f t="shared" si="122"/>
        <v/>
      </c>
    </row>
    <row r="2613" spans="1:26" s="127" customFormat="1" ht="25">
      <c r="A2613" s="636">
        <v>66767</v>
      </c>
      <c r="B2613" s="637" t="s">
        <v>33</v>
      </c>
      <c r="C2613" s="636" t="s">
        <v>2725</v>
      </c>
      <c r="D2613" s="637" t="s">
        <v>3918</v>
      </c>
      <c r="E2613" s="637" t="s">
        <v>3907</v>
      </c>
      <c r="F2613" s="636">
        <v>64872</v>
      </c>
      <c r="G2613" s="637" t="s">
        <v>57</v>
      </c>
      <c r="H2613" s="637" t="s">
        <v>1162</v>
      </c>
      <c r="I2613" s="637" t="s">
        <v>1156</v>
      </c>
      <c r="J2613" s="636">
        <v>22</v>
      </c>
      <c r="K2613" s="636">
        <v>2</v>
      </c>
      <c r="L2613" s="637" t="s">
        <v>52</v>
      </c>
      <c r="M2613" s="637" t="s">
        <v>441</v>
      </c>
      <c r="N2613" s="637" t="s">
        <v>442</v>
      </c>
      <c r="O2613" s="637" t="s">
        <v>442</v>
      </c>
      <c r="P2613" s="637" t="s">
        <v>1156</v>
      </c>
      <c r="Q2613" s="638">
        <v>0</v>
      </c>
      <c r="R2613" s="638">
        <v>0</v>
      </c>
      <c r="S2613" s="638">
        <v>0</v>
      </c>
      <c r="T2613" s="638">
        <v>0</v>
      </c>
      <c r="U2613" s="638">
        <v>0</v>
      </c>
      <c r="V2613" s="636">
        <v>2022</v>
      </c>
      <c r="W2613" s="640"/>
      <c r="X2613" s="641" t="str">
        <f t="shared" si="120"/>
        <v/>
      </c>
      <c r="Y2613" s="642" t="str">
        <f t="shared" si="121"/>
        <v/>
      </c>
      <c r="Z2613" s="642" t="str">
        <f t="shared" si="122"/>
        <v/>
      </c>
    </row>
    <row r="2614" spans="1:26" s="127" customFormat="1" ht="25">
      <c r="A2614" s="636">
        <v>66769</v>
      </c>
      <c r="B2614" s="637" t="s">
        <v>33</v>
      </c>
      <c r="C2614" s="636" t="s">
        <v>2725</v>
      </c>
      <c r="D2614" s="637" t="s">
        <v>3919</v>
      </c>
      <c r="E2614" s="637" t="s">
        <v>3907</v>
      </c>
      <c r="F2614" s="636">
        <v>64872</v>
      </c>
      <c r="G2614" s="637" t="s">
        <v>57</v>
      </c>
      <c r="H2614" s="637" t="s">
        <v>1162</v>
      </c>
      <c r="I2614" s="637" t="s">
        <v>1156</v>
      </c>
      <c r="J2614" s="636">
        <v>22</v>
      </c>
      <c r="K2614" s="636">
        <v>2</v>
      </c>
      <c r="L2614" s="637" t="s">
        <v>52</v>
      </c>
      <c r="M2614" s="637" t="s">
        <v>441</v>
      </c>
      <c r="N2614" s="637" t="s">
        <v>442</v>
      </c>
      <c r="O2614" s="637" t="s">
        <v>442</v>
      </c>
      <c r="P2614" s="637" t="s">
        <v>1156</v>
      </c>
      <c r="Q2614" s="638">
        <v>0</v>
      </c>
      <c r="R2614" s="638">
        <v>0</v>
      </c>
      <c r="S2614" s="638">
        <v>0</v>
      </c>
      <c r="T2614" s="638">
        <v>0</v>
      </c>
      <c r="U2614" s="638">
        <v>0</v>
      </c>
      <c r="V2614" s="636">
        <v>2022</v>
      </c>
      <c r="W2614" s="640"/>
      <c r="X2614" s="641" t="str">
        <f t="shared" si="120"/>
        <v/>
      </c>
      <c r="Y2614" s="642" t="str">
        <f t="shared" si="121"/>
        <v/>
      </c>
      <c r="Z2614" s="642" t="str">
        <f t="shared" si="122"/>
        <v/>
      </c>
    </row>
    <row r="2615" spans="1:26" s="127" customFormat="1" ht="25">
      <c r="A2615" s="636">
        <v>66771</v>
      </c>
      <c r="B2615" s="637" t="s">
        <v>33</v>
      </c>
      <c r="C2615" s="636" t="s">
        <v>2725</v>
      </c>
      <c r="D2615" s="637" t="s">
        <v>3920</v>
      </c>
      <c r="E2615" s="637" t="s">
        <v>3907</v>
      </c>
      <c r="F2615" s="636">
        <v>64872</v>
      </c>
      <c r="G2615" s="637" t="s">
        <v>57</v>
      </c>
      <c r="H2615" s="637" t="s">
        <v>1162</v>
      </c>
      <c r="I2615" s="637" t="s">
        <v>1156</v>
      </c>
      <c r="J2615" s="636">
        <v>22</v>
      </c>
      <c r="K2615" s="636">
        <v>2</v>
      </c>
      <c r="L2615" s="637" t="s">
        <v>52</v>
      </c>
      <c r="M2615" s="637" t="s">
        <v>441</v>
      </c>
      <c r="N2615" s="637" t="s">
        <v>442</v>
      </c>
      <c r="O2615" s="637" t="s">
        <v>442</v>
      </c>
      <c r="P2615" s="637" t="s">
        <v>1156</v>
      </c>
      <c r="Q2615" s="638">
        <v>0</v>
      </c>
      <c r="R2615" s="638">
        <v>0</v>
      </c>
      <c r="S2615" s="638">
        <v>0</v>
      </c>
      <c r="T2615" s="638">
        <v>0</v>
      </c>
      <c r="U2615" s="638">
        <v>0</v>
      </c>
      <c r="V2615" s="636">
        <v>2022</v>
      </c>
      <c r="W2615" s="640"/>
      <c r="X2615" s="641" t="str">
        <f t="shared" si="120"/>
        <v/>
      </c>
      <c r="Y2615" s="642" t="str">
        <f t="shared" si="121"/>
        <v/>
      </c>
      <c r="Z2615" s="642" t="str">
        <f t="shared" si="122"/>
        <v/>
      </c>
    </row>
    <row r="2616" spans="1:26" s="127" customFormat="1" ht="25">
      <c r="A2616" s="636">
        <v>66777</v>
      </c>
      <c r="B2616" s="637" t="s">
        <v>33</v>
      </c>
      <c r="C2616" s="636" t="s">
        <v>2725</v>
      </c>
      <c r="D2616" s="637" t="s">
        <v>3921</v>
      </c>
      <c r="E2616" s="637" t="s">
        <v>3922</v>
      </c>
      <c r="F2616" s="636">
        <v>65758</v>
      </c>
      <c r="G2616" s="637" t="s">
        <v>57</v>
      </c>
      <c r="H2616" s="637" t="s">
        <v>1162</v>
      </c>
      <c r="I2616" s="637" t="s">
        <v>1156</v>
      </c>
      <c r="J2616" s="636">
        <v>22</v>
      </c>
      <c r="K2616" s="636">
        <v>2</v>
      </c>
      <c r="L2616" s="637" t="s">
        <v>52</v>
      </c>
      <c r="M2616" s="637" t="s">
        <v>441</v>
      </c>
      <c r="N2616" s="637" t="s">
        <v>442</v>
      </c>
      <c r="O2616" s="637" t="s">
        <v>442</v>
      </c>
      <c r="P2616" s="637" t="s">
        <v>1156</v>
      </c>
      <c r="Q2616" s="638">
        <v>0</v>
      </c>
      <c r="R2616" s="638">
        <v>0</v>
      </c>
      <c r="S2616" s="638">
        <v>0</v>
      </c>
      <c r="T2616" s="638">
        <v>0</v>
      </c>
      <c r="U2616" s="638">
        <v>0</v>
      </c>
      <c r="V2616" s="636">
        <v>2022</v>
      </c>
      <c r="W2616" s="640"/>
      <c r="X2616" s="641" t="str">
        <f t="shared" si="120"/>
        <v/>
      </c>
      <c r="Y2616" s="642" t="str">
        <f t="shared" si="121"/>
        <v/>
      </c>
      <c r="Z2616" s="642" t="str">
        <f t="shared" si="122"/>
        <v/>
      </c>
    </row>
    <row r="2617" spans="1:26" s="127" customFormat="1" ht="25">
      <c r="A2617" s="636">
        <v>66822</v>
      </c>
      <c r="B2617" s="637" t="s">
        <v>33</v>
      </c>
      <c r="C2617" s="636" t="s">
        <v>2725</v>
      </c>
      <c r="D2617" s="637" t="s">
        <v>3923</v>
      </c>
      <c r="E2617" s="637" t="s">
        <v>3924</v>
      </c>
      <c r="F2617" s="636">
        <v>65721</v>
      </c>
      <c r="G2617" s="637" t="s">
        <v>57</v>
      </c>
      <c r="H2617" s="637" t="s">
        <v>1162</v>
      </c>
      <c r="I2617" s="637" t="s">
        <v>1156</v>
      </c>
      <c r="J2617" s="636">
        <v>22</v>
      </c>
      <c r="K2617" s="636">
        <v>2</v>
      </c>
      <c r="L2617" s="637" t="s">
        <v>52</v>
      </c>
      <c r="M2617" s="637" t="s">
        <v>441</v>
      </c>
      <c r="N2617" s="637" t="s">
        <v>442</v>
      </c>
      <c r="O2617" s="637" t="s">
        <v>442</v>
      </c>
      <c r="P2617" s="637" t="s">
        <v>1156</v>
      </c>
      <c r="Q2617" s="638">
        <v>0</v>
      </c>
      <c r="R2617" s="638">
        <v>0</v>
      </c>
      <c r="S2617" s="638">
        <v>0</v>
      </c>
      <c r="T2617" s="638">
        <v>0</v>
      </c>
      <c r="U2617" s="638">
        <v>0</v>
      </c>
      <c r="V2617" s="636">
        <v>2022</v>
      </c>
      <c r="W2617" s="640"/>
      <c r="X2617" s="641" t="str">
        <f t="shared" si="120"/>
        <v/>
      </c>
      <c r="Y2617" s="642" t="str">
        <f t="shared" si="121"/>
        <v/>
      </c>
      <c r="Z2617" s="642" t="str">
        <f t="shared" si="122"/>
        <v/>
      </c>
    </row>
    <row r="2618" spans="1:26" s="127" customFormat="1" ht="25">
      <c r="A2618" s="636">
        <v>66823</v>
      </c>
      <c r="B2618" s="637" t="s">
        <v>33</v>
      </c>
      <c r="C2618" s="636" t="s">
        <v>2725</v>
      </c>
      <c r="D2618" s="637" t="s">
        <v>3925</v>
      </c>
      <c r="E2618" s="637" t="s">
        <v>3926</v>
      </c>
      <c r="F2618" s="636">
        <v>65722</v>
      </c>
      <c r="G2618" s="637" t="s">
        <v>57</v>
      </c>
      <c r="H2618" s="637" t="s">
        <v>1162</v>
      </c>
      <c r="I2618" s="637" t="s">
        <v>1156</v>
      </c>
      <c r="J2618" s="636">
        <v>22</v>
      </c>
      <c r="K2618" s="636">
        <v>2</v>
      </c>
      <c r="L2618" s="637" t="s">
        <v>52</v>
      </c>
      <c r="M2618" s="637" t="s">
        <v>441</v>
      </c>
      <c r="N2618" s="637" t="s">
        <v>442</v>
      </c>
      <c r="O2618" s="637" t="s">
        <v>442</v>
      </c>
      <c r="P2618" s="637" t="s">
        <v>1156</v>
      </c>
      <c r="Q2618" s="638">
        <v>0</v>
      </c>
      <c r="R2618" s="638">
        <v>0</v>
      </c>
      <c r="S2618" s="638">
        <v>0</v>
      </c>
      <c r="T2618" s="638">
        <v>0</v>
      </c>
      <c r="U2618" s="638">
        <v>0</v>
      </c>
      <c r="V2618" s="636">
        <v>2022</v>
      </c>
      <c r="W2618" s="640"/>
      <c r="X2618" s="641" t="str">
        <f t="shared" si="120"/>
        <v/>
      </c>
      <c r="Y2618" s="642" t="str">
        <f t="shared" si="121"/>
        <v/>
      </c>
      <c r="Z2618" s="642" t="str">
        <f t="shared" si="122"/>
        <v/>
      </c>
    </row>
    <row r="2619" spans="1:26" s="127" customFormat="1" ht="25">
      <c r="A2619" s="636">
        <v>66835</v>
      </c>
      <c r="B2619" s="637" t="s">
        <v>33</v>
      </c>
      <c r="C2619" s="636" t="s">
        <v>2725</v>
      </c>
      <c r="D2619" s="637" t="s">
        <v>3927</v>
      </c>
      <c r="E2619" s="637" t="s">
        <v>3907</v>
      </c>
      <c r="F2619" s="636">
        <v>64872</v>
      </c>
      <c r="G2619" s="637" t="s">
        <v>57</v>
      </c>
      <c r="H2619" s="637" t="s">
        <v>1162</v>
      </c>
      <c r="I2619" s="637" t="s">
        <v>1156</v>
      </c>
      <c r="J2619" s="636">
        <v>22</v>
      </c>
      <c r="K2619" s="636">
        <v>2</v>
      </c>
      <c r="L2619" s="637" t="s">
        <v>52</v>
      </c>
      <c r="M2619" s="637" t="s">
        <v>441</v>
      </c>
      <c r="N2619" s="637" t="s">
        <v>442</v>
      </c>
      <c r="O2619" s="637" t="s">
        <v>442</v>
      </c>
      <c r="P2619" s="637" t="s">
        <v>1156</v>
      </c>
      <c r="Q2619" s="638">
        <v>0</v>
      </c>
      <c r="R2619" s="638">
        <v>0</v>
      </c>
      <c r="S2619" s="638">
        <v>0</v>
      </c>
      <c r="T2619" s="638">
        <v>0</v>
      </c>
      <c r="U2619" s="638">
        <v>0</v>
      </c>
      <c r="V2619" s="636">
        <v>2022</v>
      </c>
      <c r="W2619" s="640"/>
      <c r="X2619" s="641" t="str">
        <f t="shared" si="120"/>
        <v/>
      </c>
      <c r="Y2619" s="642" t="str">
        <f t="shared" si="121"/>
        <v/>
      </c>
      <c r="Z2619" s="642" t="str">
        <f t="shared" si="122"/>
        <v/>
      </c>
    </row>
    <row r="2620" spans="1:26" s="127" customFormat="1" ht="25">
      <c r="A2620" s="636">
        <v>66846</v>
      </c>
      <c r="B2620" s="637" t="s">
        <v>33</v>
      </c>
      <c r="C2620" s="636" t="s">
        <v>2725</v>
      </c>
      <c r="D2620" s="637" t="s">
        <v>3928</v>
      </c>
      <c r="E2620" s="637" t="s">
        <v>3368</v>
      </c>
      <c r="F2620" s="636">
        <v>63991</v>
      </c>
      <c r="G2620" s="637" t="s">
        <v>57</v>
      </c>
      <c r="H2620" s="637" t="s">
        <v>1162</v>
      </c>
      <c r="I2620" s="637" t="s">
        <v>1156</v>
      </c>
      <c r="J2620" s="636">
        <v>22</v>
      </c>
      <c r="K2620" s="636">
        <v>2</v>
      </c>
      <c r="L2620" s="637" t="s">
        <v>52</v>
      </c>
      <c r="M2620" s="637" t="s">
        <v>441</v>
      </c>
      <c r="N2620" s="637" t="s">
        <v>442</v>
      </c>
      <c r="O2620" s="637" t="s">
        <v>442</v>
      </c>
      <c r="P2620" s="637" t="s">
        <v>1156</v>
      </c>
      <c r="Q2620" s="638">
        <v>0</v>
      </c>
      <c r="R2620" s="638">
        <v>0</v>
      </c>
      <c r="S2620" s="638">
        <v>0</v>
      </c>
      <c r="T2620" s="638">
        <v>0</v>
      </c>
      <c r="U2620" s="638">
        <v>0</v>
      </c>
      <c r="V2620" s="636">
        <v>2022</v>
      </c>
      <c r="W2620" s="640"/>
      <c r="X2620" s="641" t="str">
        <f t="shared" si="120"/>
        <v/>
      </c>
      <c r="Y2620" s="642" t="str">
        <f t="shared" si="121"/>
        <v/>
      </c>
      <c r="Z2620" s="642" t="str">
        <f t="shared" si="122"/>
        <v/>
      </c>
    </row>
    <row r="2621" spans="1:26" s="127" customFormat="1" ht="25">
      <c r="A2621" s="636">
        <v>66907</v>
      </c>
      <c r="B2621" s="637" t="s">
        <v>33</v>
      </c>
      <c r="C2621" s="636" t="s">
        <v>2725</v>
      </c>
      <c r="D2621" s="637" t="s">
        <v>3929</v>
      </c>
      <c r="E2621" s="637" t="s">
        <v>3930</v>
      </c>
      <c r="F2621" s="636">
        <v>65043</v>
      </c>
      <c r="G2621" s="637" t="s">
        <v>90</v>
      </c>
      <c r="H2621" s="637" t="s">
        <v>1163</v>
      </c>
      <c r="I2621" s="637" t="s">
        <v>1156</v>
      </c>
      <c r="J2621" s="636">
        <v>22</v>
      </c>
      <c r="K2621" s="636">
        <v>2</v>
      </c>
      <c r="L2621" s="637" t="s">
        <v>52</v>
      </c>
      <c r="M2621" s="637" t="s">
        <v>441</v>
      </c>
      <c r="N2621" s="637" t="s">
        <v>442</v>
      </c>
      <c r="O2621" s="637" t="s">
        <v>442</v>
      </c>
      <c r="P2621" s="637" t="s">
        <v>1156</v>
      </c>
      <c r="Q2621" s="638">
        <v>0</v>
      </c>
      <c r="R2621" s="638">
        <v>0</v>
      </c>
      <c r="S2621" s="638">
        <v>0</v>
      </c>
      <c r="T2621" s="638">
        <v>0</v>
      </c>
      <c r="U2621" s="638">
        <v>0</v>
      </c>
      <c r="V2621" s="636">
        <v>2022</v>
      </c>
      <c r="W2621" s="640"/>
      <c r="X2621" s="641" t="str">
        <f t="shared" si="120"/>
        <v/>
      </c>
      <c r="Y2621" s="642" t="str">
        <f t="shared" si="121"/>
        <v/>
      </c>
      <c r="Z2621" s="642" t="str">
        <f t="shared" si="122"/>
        <v/>
      </c>
    </row>
    <row r="2622" spans="1:26" s="127" customFormat="1" ht="25">
      <c r="A2622" s="636">
        <v>99999</v>
      </c>
      <c r="B2622" s="637" t="s">
        <v>33</v>
      </c>
      <c r="C2622" s="636" t="s">
        <v>2725</v>
      </c>
      <c r="D2622" s="637" t="s">
        <v>1067</v>
      </c>
      <c r="E2622" s="637" t="s">
        <v>1067</v>
      </c>
      <c r="F2622" s="636">
        <v>99999</v>
      </c>
      <c r="G2622" s="637" t="s">
        <v>90</v>
      </c>
      <c r="H2622" s="637" t="s">
        <v>1163</v>
      </c>
      <c r="I2622" s="637" t="s">
        <v>1156</v>
      </c>
      <c r="J2622" s="636">
        <v>99999</v>
      </c>
      <c r="K2622" s="636">
        <v>2</v>
      </c>
      <c r="L2622" s="637" t="s">
        <v>52</v>
      </c>
      <c r="M2622" s="637" t="s">
        <v>1852</v>
      </c>
      <c r="N2622" s="637" t="s">
        <v>1035</v>
      </c>
      <c r="O2622" s="637" t="s">
        <v>82</v>
      </c>
      <c r="P2622" s="637" t="s">
        <v>2726</v>
      </c>
      <c r="Q2622" s="638">
        <v>0</v>
      </c>
      <c r="R2622" s="638">
        <v>0</v>
      </c>
      <c r="S2622" s="638">
        <v>0</v>
      </c>
      <c r="T2622" s="638">
        <v>0</v>
      </c>
      <c r="U2622" s="638">
        <v>0</v>
      </c>
      <c r="V2622" s="636">
        <v>2022</v>
      </c>
      <c r="W2622" s="640"/>
      <c r="X2622" s="641" t="str">
        <f t="shared" si="120"/>
        <v/>
      </c>
      <c r="Y2622" s="642" t="str">
        <f t="shared" si="121"/>
        <v/>
      </c>
      <c r="Z2622" s="642" t="str">
        <f t="shared" si="122"/>
        <v/>
      </c>
    </row>
    <row r="2623" spans="1:26" s="127" customFormat="1" ht="25">
      <c r="A2623" s="636">
        <v>99999</v>
      </c>
      <c r="B2623" s="637" t="s">
        <v>33</v>
      </c>
      <c r="C2623" s="636" t="s">
        <v>2725</v>
      </c>
      <c r="D2623" s="637" t="s">
        <v>1067</v>
      </c>
      <c r="E2623" s="637" t="s">
        <v>1067</v>
      </c>
      <c r="F2623" s="636">
        <v>99999</v>
      </c>
      <c r="G2623" s="637" t="s">
        <v>81</v>
      </c>
      <c r="H2623" s="637" t="s">
        <v>1163</v>
      </c>
      <c r="I2623" s="637" t="s">
        <v>1156</v>
      </c>
      <c r="J2623" s="636">
        <v>99999</v>
      </c>
      <c r="K2623" s="636">
        <v>2</v>
      </c>
      <c r="L2623" s="637" t="s">
        <v>52</v>
      </c>
      <c r="M2623" s="637" t="s">
        <v>1852</v>
      </c>
      <c r="N2623" s="637" t="s">
        <v>1035</v>
      </c>
      <c r="O2623" s="637" t="s">
        <v>82</v>
      </c>
      <c r="P2623" s="637" t="s">
        <v>2726</v>
      </c>
      <c r="Q2623" s="638">
        <v>0</v>
      </c>
      <c r="R2623" s="638">
        <v>0</v>
      </c>
      <c r="S2623" s="638">
        <v>0</v>
      </c>
      <c r="T2623" s="638">
        <v>0</v>
      </c>
      <c r="U2623" s="638">
        <v>0</v>
      </c>
      <c r="V2623" s="636">
        <v>2022</v>
      </c>
      <c r="W2623" s="640"/>
      <c r="X2623" s="641" t="str">
        <f t="shared" si="120"/>
        <v/>
      </c>
      <c r="Y2623" s="642" t="str">
        <f t="shared" si="121"/>
        <v/>
      </c>
      <c r="Z2623" s="642" t="str">
        <f t="shared" si="122"/>
        <v/>
      </c>
    </row>
    <row r="2624" spans="1:26" s="127" customFormat="1" ht="37.5" hidden="1">
      <c r="A2624" s="636">
        <v>99999</v>
      </c>
      <c r="B2624" s="637" t="s">
        <v>33</v>
      </c>
      <c r="C2624" s="636" t="s">
        <v>2725</v>
      </c>
      <c r="D2624" s="637" t="s">
        <v>1067</v>
      </c>
      <c r="E2624" s="637" t="s">
        <v>1067</v>
      </c>
      <c r="F2624" s="636">
        <v>99999</v>
      </c>
      <c r="G2624" s="637" t="s">
        <v>57</v>
      </c>
      <c r="H2624" s="637" t="s">
        <v>1162</v>
      </c>
      <c r="I2624" s="637" t="s">
        <v>1156</v>
      </c>
      <c r="J2624" s="636">
        <v>99999</v>
      </c>
      <c r="K2624" s="636">
        <v>4</v>
      </c>
      <c r="L2624" s="637" t="s">
        <v>406</v>
      </c>
      <c r="M2624" s="637" t="s">
        <v>1852</v>
      </c>
      <c r="N2624" s="637" t="s">
        <v>1035</v>
      </c>
      <c r="O2624" s="637" t="s">
        <v>82</v>
      </c>
      <c r="P2624" s="637" t="s">
        <v>2726</v>
      </c>
      <c r="Q2624" s="638">
        <v>0</v>
      </c>
      <c r="R2624" s="638">
        <v>0</v>
      </c>
      <c r="S2624" s="638">
        <v>0</v>
      </c>
      <c r="T2624" s="638">
        <v>0</v>
      </c>
      <c r="U2624" s="638">
        <v>0</v>
      </c>
      <c r="V2624" s="636">
        <v>2022</v>
      </c>
      <c r="W2624" s="640"/>
      <c r="X2624" s="641" t="str">
        <f t="shared" si="120"/>
        <v/>
      </c>
      <c r="Y2624" s="642" t="str">
        <f t="shared" si="121"/>
        <v/>
      </c>
      <c r="Z2624" s="642" t="str">
        <f t="shared" si="122"/>
        <v/>
      </c>
    </row>
    <row r="2625" spans="1:26" s="127" customFormat="1" ht="25">
      <c r="A2625" s="636">
        <v>99999</v>
      </c>
      <c r="B2625" s="637" t="s">
        <v>33</v>
      </c>
      <c r="C2625" s="636" t="s">
        <v>2725</v>
      </c>
      <c r="D2625" s="637" t="s">
        <v>1067</v>
      </c>
      <c r="E2625" s="637" t="s">
        <v>1067</v>
      </c>
      <c r="F2625" s="636">
        <v>99999</v>
      </c>
      <c r="G2625" s="637" t="s">
        <v>57</v>
      </c>
      <c r="H2625" s="637" t="s">
        <v>1162</v>
      </c>
      <c r="I2625" s="637" t="s">
        <v>1156</v>
      </c>
      <c r="J2625" s="636">
        <v>99999</v>
      </c>
      <c r="K2625" s="636">
        <v>2</v>
      </c>
      <c r="L2625" s="637" t="s">
        <v>52</v>
      </c>
      <c r="M2625" s="637" t="s">
        <v>38</v>
      </c>
      <c r="N2625" s="637" t="s">
        <v>76</v>
      </c>
      <c r="O2625" s="637" t="s">
        <v>67</v>
      </c>
      <c r="P2625" s="637" t="s">
        <v>47</v>
      </c>
      <c r="Q2625" s="638">
        <v>0</v>
      </c>
      <c r="R2625" s="638">
        <v>0</v>
      </c>
      <c r="S2625" s="638">
        <v>0</v>
      </c>
      <c r="T2625" s="638">
        <v>0</v>
      </c>
      <c r="U2625" s="638">
        <v>0</v>
      </c>
      <c r="V2625" s="636">
        <v>2022</v>
      </c>
      <c r="W2625" s="640"/>
      <c r="X2625" s="641" t="str">
        <f t="shared" si="120"/>
        <v/>
      </c>
      <c r="Y2625" s="642" t="str">
        <f t="shared" si="121"/>
        <v/>
      </c>
      <c r="Z2625" s="642" t="str">
        <f t="shared" si="122"/>
        <v/>
      </c>
    </row>
    <row r="2626" spans="1:26" s="127" customFormat="1" ht="25">
      <c r="A2626" s="636">
        <v>99999</v>
      </c>
      <c r="B2626" s="637" t="s">
        <v>33</v>
      </c>
      <c r="C2626" s="636" t="s">
        <v>2725</v>
      </c>
      <c r="D2626" s="637" t="s">
        <v>1067</v>
      </c>
      <c r="E2626" s="637" t="s">
        <v>1067</v>
      </c>
      <c r="F2626" s="636">
        <v>99999</v>
      </c>
      <c r="G2626" s="637" t="s">
        <v>57</v>
      </c>
      <c r="H2626" s="637" t="s">
        <v>1162</v>
      </c>
      <c r="I2626" s="637" t="s">
        <v>1156</v>
      </c>
      <c r="J2626" s="636">
        <v>99999</v>
      </c>
      <c r="K2626" s="636">
        <v>2</v>
      </c>
      <c r="L2626" s="637" t="s">
        <v>52</v>
      </c>
      <c r="M2626" s="637" t="s">
        <v>38</v>
      </c>
      <c r="N2626" s="637" t="s">
        <v>39</v>
      </c>
      <c r="O2626" s="637" t="s">
        <v>39</v>
      </c>
      <c r="P2626" s="637" t="s">
        <v>1020</v>
      </c>
      <c r="Q2626" s="638">
        <v>421</v>
      </c>
      <c r="R2626" s="638">
        <v>421</v>
      </c>
      <c r="S2626" s="638">
        <v>434</v>
      </c>
      <c r="T2626" s="638">
        <v>434</v>
      </c>
      <c r="U2626" s="638">
        <v>143553.72</v>
      </c>
      <c r="V2626" s="636">
        <v>2022</v>
      </c>
      <c r="W2626" s="640"/>
      <c r="X2626" s="641">
        <f t="shared" si="120"/>
        <v>3.0232584707662051E-3</v>
      </c>
      <c r="Y2626" s="642" t="str">
        <f t="shared" si="121"/>
        <v/>
      </c>
      <c r="Z2626" s="642" t="str">
        <f t="shared" si="122"/>
        <v/>
      </c>
    </row>
    <row r="2627" spans="1:26" s="127" customFormat="1" ht="25">
      <c r="A2627" s="636">
        <v>99999</v>
      </c>
      <c r="B2627" s="637" t="s">
        <v>33</v>
      </c>
      <c r="C2627" s="636" t="s">
        <v>2725</v>
      </c>
      <c r="D2627" s="637" t="s">
        <v>1067</v>
      </c>
      <c r="E2627" s="637" t="s">
        <v>1067</v>
      </c>
      <c r="F2627" s="636">
        <v>99999</v>
      </c>
      <c r="G2627" s="637" t="s">
        <v>41</v>
      </c>
      <c r="H2627" s="637" t="s">
        <v>1163</v>
      </c>
      <c r="I2627" s="637" t="s">
        <v>1156</v>
      </c>
      <c r="J2627" s="636">
        <v>99999</v>
      </c>
      <c r="K2627" s="636">
        <v>2</v>
      </c>
      <c r="L2627" s="637" t="s">
        <v>52</v>
      </c>
      <c r="M2627" s="637" t="s">
        <v>38</v>
      </c>
      <c r="N2627" s="637" t="s">
        <v>39</v>
      </c>
      <c r="O2627" s="637" t="s">
        <v>39</v>
      </c>
      <c r="P2627" s="637" t="s">
        <v>1020</v>
      </c>
      <c r="Q2627" s="638">
        <v>930642</v>
      </c>
      <c r="R2627" s="638">
        <v>930642</v>
      </c>
      <c r="S2627" s="638">
        <v>962284</v>
      </c>
      <c r="T2627" s="638">
        <v>962284</v>
      </c>
      <c r="U2627" s="638">
        <v>86996.346000000005</v>
      </c>
      <c r="V2627" s="636">
        <v>2022</v>
      </c>
      <c r="W2627" s="640"/>
      <c r="X2627" s="641">
        <f t="shared" si="120"/>
        <v>11.061200202592417</v>
      </c>
      <c r="Y2627" s="642" t="str">
        <f t="shared" si="121"/>
        <v/>
      </c>
      <c r="Z2627" s="642" t="str">
        <f t="shared" si="122"/>
        <v/>
      </c>
    </row>
    <row r="2628" spans="1:26" s="127" customFormat="1" ht="25">
      <c r="A2628" s="636">
        <v>99999</v>
      </c>
      <c r="B2628" s="637" t="s">
        <v>33</v>
      </c>
      <c r="C2628" s="636" t="s">
        <v>2725</v>
      </c>
      <c r="D2628" s="637" t="s">
        <v>1067</v>
      </c>
      <c r="E2628" s="637" t="s">
        <v>1067</v>
      </c>
      <c r="F2628" s="636">
        <v>99999</v>
      </c>
      <c r="G2628" s="637" t="s">
        <v>41</v>
      </c>
      <c r="H2628" s="637" t="s">
        <v>1163</v>
      </c>
      <c r="I2628" s="637" t="s">
        <v>1156</v>
      </c>
      <c r="J2628" s="636">
        <v>99999</v>
      </c>
      <c r="K2628" s="636">
        <v>2</v>
      </c>
      <c r="L2628" s="637" t="s">
        <v>52</v>
      </c>
      <c r="M2628" s="637" t="s">
        <v>41</v>
      </c>
      <c r="N2628" s="637" t="s">
        <v>46</v>
      </c>
      <c r="O2628" s="637" t="s">
        <v>46</v>
      </c>
      <c r="P2628" s="637" t="s">
        <v>47</v>
      </c>
      <c r="Q2628" s="638">
        <v>0</v>
      </c>
      <c r="R2628" s="638">
        <v>0</v>
      </c>
      <c r="S2628" s="638">
        <v>0</v>
      </c>
      <c r="T2628" s="638">
        <v>0</v>
      </c>
      <c r="U2628" s="638">
        <v>0</v>
      </c>
      <c r="V2628" s="636">
        <v>2022</v>
      </c>
      <c r="W2628" s="640"/>
      <c r="X2628" s="641" t="str">
        <f t="shared" si="120"/>
        <v/>
      </c>
      <c r="Y2628" s="642" t="str">
        <f t="shared" si="121"/>
        <v/>
      </c>
      <c r="Z2628" s="642" t="str">
        <f t="shared" si="122"/>
        <v/>
      </c>
    </row>
    <row r="2629" spans="1:26" s="127" customFormat="1" ht="25">
      <c r="A2629" s="636">
        <v>99999</v>
      </c>
      <c r="B2629" s="637" t="s">
        <v>33</v>
      </c>
      <c r="C2629" s="636" t="s">
        <v>2725</v>
      </c>
      <c r="D2629" s="637" t="s">
        <v>1067</v>
      </c>
      <c r="E2629" s="637" t="s">
        <v>1067</v>
      </c>
      <c r="F2629" s="636">
        <v>99999</v>
      </c>
      <c r="G2629" s="637" t="s">
        <v>57</v>
      </c>
      <c r="H2629" s="637" t="s">
        <v>1162</v>
      </c>
      <c r="I2629" s="637" t="s">
        <v>1156</v>
      </c>
      <c r="J2629" s="636">
        <v>99999</v>
      </c>
      <c r="K2629" s="636">
        <v>2</v>
      </c>
      <c r="L2629" s="637" t="s">
        <v>52</v>
      </c>
      <c r="M2629" s="637" t="s">
        <v>41</v>
      </c>
      <c r="N2629" s="637" t="s">
        <v>76</v>
      </c>
      <c r="O2629" s="637" t="s">
        <v>67</v>
      </c>
      <c r="P2629" s="637" t="s">
        <v>47</v>
      </c>
      <c r="Q2629" s="638">
        <v>0</v>
      </c>
      <c r="R2629" s="638">
        <v>0</v>
      </c>
      <c r="S2629" s="638">
        <v>0</v>
      </c>
      <c r="T2629" s="638">
        <v>0</v>
      </c>
      <c r="U2629" s="638">
        <v>0</v>
      </c>
      <c r="V2629" s="636">
        <v>2022</v>
      </c>
      <c r="W2629" s="640"/>
      <c r="X2629" s="641" t="str">
        <f t="shared" si="120"/>
        <v/>
      </c>
      <c r="Y2629" s="642" t="str">
        <f t="shared" si="121"/>
        <v/>
      </c>
      <c r="Z2629" s="642" t="str">
        <f t="shared" si="122"/>
        <v/>
      </c>
    </row>
    <row r="2630" spans="1:26" s="127" customFormat="1" ht="25">
      <c r="A2630" s="636">
        <v>99999</v>
      </c>
      <c r="B2630" s="637" t="s">
        <v>33</v>
      </c>
      <c r="C2630" s="636" t="s">
        <v>2725</v>
      </c>
      <c r="D2630" s="637" t="s">
        <v>1067</v>
      </c>
      <c r="E2630" s="637" t="s">
        <v>1067</v>
      </c>
      <c r="F2630" s="636">
        <v>99999</v>
      </c>
      <c r="G2630" s="637" t="s">
        <v>41</v>
      </c>
      <c r="H2630" s="637" t="s">
        <v>1163</v>
      </c>
      <c r="I2630" s="637" t="s">
        <v>1156</v>
      </c>
      <c r="J2630" s="636">
        <v>99999</v>
      </c>
      <c r="K2630" s="636">
        <v>2</v>
      </c>
      <c r="L2630" s="637" t="s">
        <v>52</v>
      </c>
      <c r="M2630" s="637" t="s">
        <v>41</v>
      </c>
      <c r="N2630" s="637" t="s">
        <v>76</v>
      </c>
      <c r="O2630" s="637" t="s">
        <v>67</v>
      </c>
      <c r="P2630" s="637" t="s">
        <v>47</v>
      </c>
      <c r="Q2630" s="638">
        <v>0</v>
      </c>
      <c r="R2630" s="638">
        <v>0</v>
      </c>
      <c r="S2630" s="638">
        <v>0</v>
      </c>
      <c r="T2630" s="638">
        <v>0</v>
      </c>
      <c r="U2630" s="638">
        <v>0</v>
      </c>
      <c r="V2630" s="636">
        <v>2022</v>
      </c>
      <c r="W2630" s="640"/>
      <c r="X2630" s="641" t="str">
        <f t="shared" si="120"/>
        <v/>
      </c>
      <c r="Y2630" s="642" t="str">
        <f t="shared" si="121"/>
        <v/>
      </c>
      <c r="Z2630" s="642" t="str">
        <f t="shared" si="122"/>
        <v/>
      </c>
    </row>
    <row r="2631" spans="1:26" s="127" customFormat="1" ht="25">
      <c r="A2631" s="636">
        <v>99999</v>
      </c>
      <c r="B2631" s="637" t="s">
        <v>33</v>
      </c>
      <c r="C2631" s="636" t="s">
        <v>2725</v>
      </c>
      <c r="D2631" s="637" t="s">
        <v>1067</v>
      </c>
      <c r="E2631" s="637" t="s">
        <v>1067</v>
      </c>
      <c r="F2631" s="636">
        <v>99999</v>
      </c>
      <c r="G2631" s="637" t="s">
        <v>57</v>
      </c>
      <c r="H2631" s="637" t="s">
        <v>1162</v>
      </c>
      <c r="I2631" s="637" t="s">
        <v>1156</v>
      </c>
      <c r="J2631" s="636">
        <v>99999</v>
      </c>
      <c r="K2631" s="636">
        <v>2</v>
      </c>
      <c r="L2631" s="637" t="s">
        <v>52</v>
      </c>
      <c r="M2631" s="637" t="s">
        <v>41</v>
      </c>
      <c r="N2631" s="637" t="s">
        <v>39</v>
      </c>
      <c r="O2631" s="637" t="s">
        <v>39</v>
      </c>
      <c r="P2631" s="637" t="s">
        <v>1020</v>
      </c>
      <c r="Q2631" s="638">
        <v>5587546</v>
      </c>
      <c r="R2631" s="638">
        <v>5587546</v>
      </c>
      <c r="S2631" s="638">
        <v>5766347</v>
      </c>
      <c r="T2631" s="638">
        <v>5766347</v>
      </c>
      <c r="U2631" s="638">
        <v>537600.52</v>
      </c>
      <c r="V2631" s="636">
        <v>2022</v>
      </c>
      <c r="W2631" s="640"/>
      <c r="X2631" s="641">
        <f t="shared" si="120"/>
        <v>10.726081514950915</v>
      </c>
      <c r="Y2631" s="642" t="str">
        <f t="shared" si="121"/>
        <v/>
      </c>
      <c r="Z2631" s="642" t="str">
        <f t="shared" si="122"/>
        <v/>
      </c>
    </row>
    <row r="2632" spans="1:26" s="127" customFormat="1" ht="25">
      <c r="A2632" s="636">
        <v>99999</v>
      </c>
      <c r="B2632" s="637" t="s">
        <v>33</v>
      </c>
      <c r="C2632" s="636" t="s">
        <v>2725</v>
      </c>
      <c r="D2632" s="637" t="s">
        <v>1067</v>
      </c>
      <c r="E2632" s="637" t="s">
        <v>1067</v>
      </c>
      <c r="F2632" s="636">
        <v>99999</v>
      </c>
      <c r="G2632" s="637" t="s">
        <v>41</v>
      </c>
      <c r="H2632" s="637" t="s">
        <v>1163</v>
      </c>
      <c r="I2632" s="637" t="s">
        <v>1156</v>
      </c>
      <c r="J2632" s="636">
        <v>99999</v>
      </c>
      <c r="K2632" s="636">
        <v>2</v>
      </c>
      <c r="L2632" s="637" t="s">
        <v>52</v>
      </c>
      <c r="M2632" s="637" t="s">
        <v>41</v>
      </c>
      <c r="N2632" s="637" t="s">
        <v>39</v>
      </c>
      <c r="O2632" s="637" t="s">
        <v>39</v>
      </c>
      <c r="P2632" s="637" t="s">
        <v>1020</v>
      </c>
      <c r="Q2632" s="638">
        <v>882268</v>
      </c>
      <c r="R2632" s="638">
        <v>882268</v>
      </c>
      <c r="S2632" s="638">
        <v>912265</v>
      </c>
      <c r="T2632" s="638">
        <v>912265</v>
      </c>
      <c r="U2632" s="638">
        <v>193365.38</v>
      </c>
      <c r="V2632" s="636">
        <v>2022</v>
      </c>
      <c r="W2632" s="640"/>
      <c r="X2632" s="641">
        <f t="shared" ref="X2632:X2662" si="123">IF(OR(K2632&gt;3,T2632=0,NOT(U2632&gt;0)),"",T2632/U2632)</f>
        <v>4.7178300479641182</v>
      </c>
      <c r="Y2632" s="642" t="str">
        <f t="shared" ref="Y2632:Y2662" si="124">IF(AND($M2632=$Y$2,$N2632=$Y$3,NOT($Q2632=$R2632),NOT($U2632=0)),IF($K2632=5,$S2632/($U2632+(8/5)*$U2632),IF($K2632=7,$S2632/($U2632+(29/25)*$U2632),"")),"")</f>
        <v/>
      </c>
      <c r="Z2632" s="642" t="str">
        <f t="shared" si="122"/>
        <v/>
      </c>
    </row>
    <row r="2633" spans="1:26" s="127" customFormat="1" ht="25">
      <c r="A2633" s="636">
        <v>99999</v>
      </c>
      <c r="B2633" s="637" t="s">
        <v>33</v>
      </c>
      <c r="C2633" s="636" t="s">
        <v>2725</v>
      </c>
      <c r="D2633" s="637" t="s">
        <v>1067</v>
      </c>
      <c r="E2633" s="637" t="s">
        <v>1067</v>
      </c>
      <c r="F2633" s="636">
        <v>99999</v>
      </c>
      <c r="G2633" s="637" t="s">
        <v>41</v>
      </c>
      <c r="H2633" s="637" t="s">
        <v>1163</v>
      </c>
      <c r="I2633" s="637" t="s">
        <v>1156</v>
      </c>
      <c r="J2633" s="636">
        <v>99999</v>
      </c>
      <c r="K2633" s="636">
        <v>2</v>
      </c>
      <c r="L2633" s="637" t="s">
        <v>52</v>
      </c>
      <c r="M2633" s="637" t="s">
        <v>41</v>
      </c>
      <c r="N2633" s="637" t="s">
        <v>61</v>
      </c>
      <c r="O2633" s="637" t="s">
        <v>61</v>
      </c>
      <c r="P2633" s="637" t="s">
        <v>47</v>
      </c>
      <c r="Q2633" s="638">
        <v>0</v>
      </c>
      <c r="R2633" s="638">
        <v>0</v>
      </c>
      <c r="S2633" s="638">
        <v>0</v>
      </c>
      <c r="T2633" s="638">
        <v>0</v>
      </c>
      <c r="U2633" s="638">
        <v>0</v>
      </c>
      <c r="V2633" s="636">
        <v>2022</v>
      </c>
      <c r="W2633" s="640"/>
      <c r="X2633" s="641" t="str">
        <f t="shared" si="123"/>
        <v/>
      </c>
      <c r="Y2633" s="642" t="str">
        <f t="shared" si="124"/>
        <v/>
      </c>
      <c r="Z2633" s="642" t="str">
        <f t="shared" si="122"/>
        <v/>
      </c>
    </row>
    <row r="2634" spans="1:26" s="127" customFormat="1" ht="25">
      <c r="A2634" s="636">
        <v>99999</v>
      </c>
      <c r="B2634" s="637" t="s">
        <v>33</v>
      </c>
      <c r="C2634" s="636" t="s">
        <v>2725</v>
      </c>
      <c r="D2634" s="637" t="s">
        <v>1067</v>
      </c>
      <c r="E2634" s="637" t="s">
        <v>1067</v>
      </c>
      <c r="F2634" s="636">
        <v>99999</v>
      </c>
      <c r="G2634" s="637" t="s">
        <v>41</v>
      </c>
      <c r="H2634" s="637" t="s">
        <v>1163</v>
      </c>
      <c r="I2634" s="637" t="s">
        <v>1156</v>
      </c>
      <c r="J2634" s="636">
        <v>99999</v>
      </c>
      <c r="K2634" s="636">
        <v>2</v>
      </c>
      <c r="L2634" s="637" t="s">
        <v>52</v>
      </c>
      <c r="M2634" s="637" t="s">
        <v>41</v>
      </c>
      <c r="N2634" s="637" t="s">
        <v>48</v>
      </c>
      <c r="O2634" s="637" t="s">
        <v>44</v>
      </c>
      <c r="P2634" s="637" t="s">
        <v>45</v>
      </c>
      <c r="Q2634" s="638">
        <v>0</v>
      </c>
      <c r="R2634" s="638">
        <v>0</v>
      </c>
      <c r="S2634" s="638">
        <v>0</v>
      </c>
      <c r="T2634" s="638">
        <v>0</v>
      </c>
      <c r="U2634" s="638">
        <v>0</v>
      </c>
      <c r="V2634" s="636">
        <v>2022</v>
      </c>
      <c r="W2634" s="640"/>
      <c r="X2634" s="641" t="str">
        <f t="shared" si="123"/>
        <v/>
      </c>
      <c r="Y2634" s="642" t="str">
        <f t="shared" si="124"/>
        <v/>
      </c>
      <c r="Z2634" s="642" t="str">
        <f t="shared" si="122"/>
        <v/>
      </c>
    </row>
    <row r="2635" spans="1:26" s="127" customFormat="1" ht="25">
      <c r="A2635" s="636">
        <v>99999</v>
      </c>
      <c r="B2635" s="637" t="s">
        <v>33</v>
      </c>
      <c r="C2635" s="636" t="s">
        <v>2725</v>
      </c>
      <c r="D2635" s="637" t="s">
        <v>1067</v>
      </c>
      <c r="E2635" s="637" t="s">
        <v>1067</v>
      </c>
      <c r="F2635" s="636">
        <v>99999</v>
      </c>
      <c r="G2635" s="637" t="s">
        <v>57</v>
      </c>
      <c r="H2635" s="637" t="s">
        <v>1162</v>
      </c>
      <c r="I2635" s="637" t="s">
        <v>1156</v>
      </c>
      <c r="J2635" s="636">
        <v>99999</v>
      </c>
      <c r="K2635" s="636">
        <v>1</v>
      </c>
      <c r="L2635" s="637" t="s">
        <v>34</v>
      </c>
      <c r="M2635" s="637" t="s">
        <v>50</v>
      </c>
      <c r="N2635" s="637" t="s">
        <v>46</v>
      </c>
      <c r="O2635" s="637" t="s">
        <v>46</v>
      </c>
      <c r="P2635" s="637" t="s">
        <v>47</v>
      </c>
      <c r="Q2635" s="638">
        <v>2767</v>
      </c>
      <c r="R2635" s="638">
        <v>2767</v>
      </c>
      <c r="S2635" s="638">
        <v>16077</v>
      </c>
      <c r="T2635" s="638">
        <v>16077</v>
      </c>
      <c r="U2635" s="638">
        <v>1204.5350000000001</v>
      </c>
      <c r="V2635" s="636">
        <v>2022</v>
      </c>
      <c r="W2635" s="640"/>
      <c r="X2635" s="641">
        <f t="shared" si="123"/>
        <v>13.347059238627352</v>
      </c>
      <c r="Y2635" s="642" t="str">
        <f t="shared" si="124"/>
        <v/>
      </c>
      <c r="Z2635" s="642" t="str">
        <f t="shared" si="122"/>
        <v/>
      </c>
    </row>
    <row r="2636" spans="1:26" s="127" customFormat="1" ht="25">
      <c r="A2636" s="636">
        <v>99999</v>
      </c>
      <c r="B2636" s="637" t="s">
        <v>33</v>
      </c>
      <c r="C2636" s="636" t="s">
        <v>2725</v>
      </c>
      <c r="D2636" s="637" t="s">
        <v>1067</v>
      </c>
      <c r="E2636" s="637" t="s">
        <v>1067</v>
      </c>
      <c r="F2636" s="636">
        <v>99999</v>
      </c>
      <c r="G2636" s="637" t="s">
        <v>41</v>
      </c>
      <c r="H2636" s="637" t="s">
        <v>1163</v>
      </c>
      <c r="I2636" s="637" t="s">
        <v>1156</v>
      </c>
      <c r="J2636" s="636">
        <v>99999</v>
      </c>
      <c r="K2636" s="636">
        <v>2</v>
      </c>
      <c r="L2636" s="637" t="s">
        <v>52</v>
      </c>
      <c r="M2636" s="637" t="s">
        <v>50</v>
      </c>
      <c r="N2636" s="637" t="s">
        <v>76</v>
      </c>
      <c r="O2636" s="637" t="s">
        <v>67</v>
      </c>
      <c r="P2636" s="637" t="s">
        <v>47</v>
      </c>
      <c r="Q2636" s="638">
        <v>835</v>
      </c>
      <c r="R2636" s="638">
        <v>835</v>
      </c>
      <c r="S2636" s="638">
        <v>4788</v>
      </c>
      <c r="T2636" s="638">
        <v>4788</v>
      </c>
      <c r="U2636" s="638">
        <v>466.12799999999999</v>
      </c>
      <c r="V2636" s="636">
        <v>2022</v>
      </c>
      <c r="W2636" s="640"/>
      <c r="X2636" s="641">
        <f t="shared" si="123"/>
        <v>10.271856657398827</v>
      </c>
      <c r="Y2636" s="642" t="str">
        <f t="shared" si="124"/>
        <v/>
      </c>
      <c r="Z2636" s="642" t="str">
        <f t="shared" si="122"/>
        <v/>
      </c>
    </row>
    <row r="2637" spans="1:26" s="127" customFormat="1" ht="25">
      <c r="A2637" s="636">
        <v>99999</v>
      </c>
      <c r="B2637" s="637" t="s">
        <v>33</v>
      </c>
      <c r="C2637" s="636" t="s">
        <v>2725</v>
      </c>
      <c r="D2637" s="637" t="s">
        <v>1067</v>
      </c>
      <c r="E2637" s="637" t="s">
        <v>1067</v>
      </c>
      <c r="F2637" s="636">
        <v>99999</v>
      </c>
      <c r="G2637" s="637" t="s">
        <v>41</v>
      </c>
      <c r="H2637" s="637" t="s">
        <v>1163</v>
      </c>
      <c r="I2637" s="637" t="s">
        <v>1156</v>
      </c>
      <c r="J2637" s="636">
        <v>99999</v>
      </c>
      <c r="K2637" s="636">
        <v>2</v>
      </c>
      <c r="L2637" s="637" t="s">
        <v>52</v>
      </c>
      <c r="M2637" s="637" t="s">
        <v>50</v>
      </c>
      <c r="N2637" s="637" t="s">
        <v>39</v>
      </c>
      <c r="O2637" s="637" t="s">
        <v>39</v>
      </c>
      <c r="P2637" s="637" t="s">
        <v>1020</v>
      </c>
      <c r="Q2637" s="638">
        <v>0</v>
      </c>
      <c r="R2637" s="638">
        <v>0</v>
      </c>
      <c r="S2637" s="638">
        <v>0</v>
      </c>
      <c r="T2637" s="638">
        <v>0</v>
      </c>
      <c r="U2637" s="638">
        <v>0</v>
      </c>
      <c r="V2637" s="636">
        <v>2022</v>
      </c>
      <c r="W2637" s="640"/>
      <c r="X2637" s="641" t="str">
        <f t="shared" si="123"/>
        <v/>
      </c>
      <c r="Y2637" s="642" t="str">
        <f t="shared" si="124"/>
        <v/>
      </c>
      <c r="Z2637" s="642" t="str">
        <f t="shared" si="122"/>
        <v/>
      </c>
    </row>
    <row r="2638" spans="1:26" s="127" customFormat="1" ht="37.5" hidden="1">
      <c r="A2638" s="636">
        <v>99999</v>
      </c>
      <c r="B2638" s="637" t="s">
        <v>54</v>
      </c>
      <c r="C2638" s="636" t="s">
        <v>2725</v>
      </c>
      <c r="D2638" s="637" t="s">
        <v>1067</v>
      </c>
      <c r="E2638" s="637" t="s">
        <v>1067</v>
      </c>
      <c r="F2638" s="636">
        <v>99999</v>
      </c>
      <c r="G2638" s="637" t="s">
        <v>96</v>
      </c>
      <c r="H2638" s="637" t="s">
        <v>1163</v>
      </c>
      <c r="I2638" s="637" t="s">
        <v>1156</v>
      </c>
      <c r="J2638" s="636">
        <v>99999</v>
      </c>
      <c r="K2638" s="636">
        <v>5</v>
      </c>
      <c r="L2638" s="637" t="s">
        <v>407</v>
      </c>
      <c r="M2638" s="637" t="s">
        <v>51</v>
      </c>
      <c r="N2638" s="637" t="s">
        <v>46</v>
      </c>
      <c r="O2638" s="637" t="s">
        <v>46</v>
      </c>
      <c r="P2638" s="637" t="s">
        <v>47</v>
      </c>
      <c r="Q2638" s="638">
        <v>59</v>
      </c>
      <c r="R2638" s="638">
        <v>16</v>
      </c>
      <c r="S2638" s="638">
        <v>341</v>
      </c>
      <c r="T2638" s="638">
        <v>101</v>
      </c>
      <c r="U2638" s="638">
        <v>23.076000000000001</v>
      </c>
      <c r="V2638" s="636">
        <v>2022</v>
      </c>
      <c r="W2638" s="640"/>
      <c r="X2638" s="641" t="str">
        <f t="shared" si="123"/>
        <v/>
      </c>
      <c r="Y2638" s="642" t="str">
        <f t="shared" si="124"/>
        <v/>
      </c>
      <c r="Z2638" s="642" t="str">
        <f t="shared" si="122"/>
        <v/>
      </c>
    </row>
    <row r="2639" spans="1:26" s="127" customFormat="1" ht="37.5" hidden="1">
      <c r="A2639" s="636">
        <v>99999</v>
      </c>
      <c r="B2639" s="637" t="s">
        <v>33</v>
      </c>
      <c r="C2639" s="636" t="s">
        <v>2725</v>
      </c>
      <c r="D2639" s="637" t="s">
        <v>1067</v>
      </c>
      <c r="E2639" s="637" t="s">
        <v>1067</v>
      </c>
      <c r="F2639" s="636">
        <v>99999</v>
      </c>
      <c r="G2639" s="637" t="s">
        <v>57</v>
      </c>
      <c r="H2639" s="637" t="s">
        <v>1162</v>
      </c>
      <c r="I2639" s="637" t="s">
        <v>1156</v>
      </c>
      <c r="J2639" s="636">
        <v>99999</v>
      </c>
      <c r="K2639" s="636">
        <v>4</v>
      </c>
      <c r="L2639" s="637" t="s">
        <v>406</v>
      </c>
      <c r="M2639" s="637" t="s">
        <v>51</v>
      </c>
      <c r="N2639" s="637" t="s">
        <v>46</v>
      </c>
      <c r="O2639" s="637" t="s">
        <v>46</v>
      </c>
      <c r="P2639" s="637" t="s">
        <v>47</v>
      </c>
      <c r="Q2639" s="638">
        <v>23</v>
      </c>
      <c r="R2639" s="638">
        <v>23</v>
      </c>
      <c r="S2639" s="638">
        <v>138</v>
      </c>
      <c r="T2639" s="638">
        <v>138</v>
      </c>
      <c r="U2639" s="638">
        <v>13.705</v>
      </c>
      <c r="V2639" s="636">
        <v>2022</v>
      </c>
      <c r="W2639" s="640"/>
      <c r="X2639" s="641" t="str">
        <f t="shared" si="123"/>
        <v/>
      </c>
      <c r="Y2639" s="642" t="str">
        <f t="shared" si="124"/>
        <v/>
      </c>
      <c r="Z2639" s="642" t="str">
        <f t="shared" si="122"/>
        <v/>
      </c>
    </row>
    <row r="2640" spans="1:26" s="127" customFormat="1" ht="37.5" hidden="1">
      <c r="A2640" s="636">
        <v>99999</v>
      </c>
      <c r="B2640" s="637" t="s">
        <v>33</v>
      </c>
      <c r="C2640" s="636" t="s">
        <v>2725</v>
      </c>
      <c r="D2640" s="637" t="s">
        <v>1067</v>
      </c>
      <c r="E2640" s="637" t="s">
        <v>1067</v>
      </c>
      <c r="F2640" s="636">
        <v>99999</v>
      </c>
      <c r="G2640" s="637" t="s">
        <v>57</v>
      </c>
      <c r="H2640" s="637" t="s">
        <v>1162</v>
      </c>
      <c r="I2640" s="637" t="s">
        <v>1156</v>
      </c>
      <c r="J2640" s="636">
        <v>99999</v>
      </c>
      <c r="K2640" s="636">
        <v>4</v>
      </c>
      <c r="L2640" s="637" t="s">
        <v>406</v>
      </c>
      <c r="M2640" s="637" t="s">
        <v>51</v>
      </c>
      <c r="N2640" s="637" t="s">
        <v>39</v>
      </c>
      <c r="O2640" s="637" t="s">
        <v>39</v>
      </c>
      <c r="P2640" s="637" t="s">
        <v>1020</v>
      </c>
      <c r="Q2640" s="638">
        <v>4704</v>
      </c>
      <c r="R2640" s="638">
        <v>4704</v>
      </c>
      <c r="S2640" s="638">
        <v>4849</v>
      </c>
      <c r="T2640" s="638">
        <v>4849</v>
      </c>
      <c r="U2640" s="638">
        <v>584.96400000000006</v>
      </c>
      <c r="V2640" s="636">
        <v>2022</v>
      </c>
      <c r="W2640" s="640"/>
      <c r="X2640" s="641" t="str">
        <f t="shared" si="123"/>
        <v/>
      </c>
      <c r="Y2640" s="642" t="str">
        <f t="shared" si="124"/>
        <v/>
      </c>
      <c r="Z2640" s="642" t="str">
        <f t="shared" ref="Z2640:Z2662" si="125">IF(AND($M2640=$Y$2,$N2640=$Y$4,NOT($Q2640=$R2640),NOT($U2640=0)),IF($K2640=5,$S2640/($U2640+(8/5)*$U2640),IF($K2640=7,$S2640/($U2640+(29/25)*$U2640),"")),"")</f>
        <v/>
      </c>
    </row>
    <row r="2641" spans="1:26" s="127" customFormat="1" ht="37.5" hidden="1">
      <c r="A2641" s="636">
        <v>99999</v>
      </c>
      <c r="B2641" s="637" t="s">
        <v>33</v>
      </c>
      <c r="C2641" s="636" t="s">
        <v>2725</v>
      </c>
      <c r="D2641" s="637" t="s">
        <v>1067</v>
      </c>
      <c r="E2641" s="637" t="s">
        <v>1067</v>
      </c>
      <c r="F2641" s="636">
        <v>99999</v>
      </c>
      <c r="G2641" s="637" t="s">
        <v>41</v>
      </c>
      <c r="H2641" s="637" t="s">
        <v>1163</v>
      </c>
      <c r="I2641" s="637" t="s">
        <v>1156</v>
      </c>
      <c r="J2641" s="636">
        <v>99999</v>
      </c>
      <c r="K2641" s="636">
        <v>4</v>
      </c>
      <c r="L2641" s="637" t="s">
        <v>406</v>
      </c>
      <c r="M2641" s="637" t="s">
        <v>441</v>
      </c>
      <c r="N2641" s="637" t="s">
        <v>442</v>
      </c>
      <c r="O2641" s="637" t="s">
        <v>442</v>
      </c>
      <c r="P2641" s="637" t="s">
        <v>1156</v>
      </c>
      <c r="Q2641" s="638">
        <v>0</v>
      </c>
      <c r="R2641" s="638">
        <v>0</v>
      </c>
      <c r="S2641" s="638">
        <v>12555</v>
      </c>
      <c r="T2641" s="638">
        <v>12555</v>
      </c>
      <c r="U2641" s="638">
        <v>3679.6030000000001</v>
      </c>
      <c r="V2641" s="636">
        <v>2022</v>
      </c>
      <c r="W2641" s="640"/>
      <c r="X2641" s="641" t="str">
        <f t="shared" si="123"/>
        <v/>
      </c>
      <c r="Y2641" s="642" t="str">
        <f t="shared" si="124"/>
        <v/>
      </c>
      <c r="Z2641" s="642" t="str">
        <f t="shared" si="125"/>
        <v/>
      </c>
    </row>
    <row r="2642" spans="1:26" s="127" customFormat="1" ht="25">
      <c r="A2642" s="636">
        <v>99999</v>
      </c>
      <c r="B2642" s="637" t="s">
        <v>33</v>
      </c>
      <c r="C2642" s="636" t="s">
        <v>2725</v>
      </c>
      <c r="D2642" s="637" t="s">
        <v>1067</v>
      </c>
      <c r="E2642" s="637" t="s">
        <v>1067</v>
      </c>
      <c r="F2642" s="636">
        <v>99999</v>
      </c>
      <c r="G2642" s="637" t="s">
        <v>89</v>
      </c>
      <c r="H2642" s="637" t="s">
        <v>1163</v>
      </c>
      <c r="I2642" s="637" t="s">
        <v>1156</v>
      </c>
      <c r="J2642" s="636">
        <v>99999</v>
      </c>
      <c r="K2642" s="636">
        <v>2</v>
      </c>
      <c r="L2642" s="637" t="s">
        <v>52</v>
      </c>
      <c r="M2642" s="637" t="s">
        <v>441</v>
      </c>
      <c r="N2642" s="637" t="s">
        <v>442</v>
      </c>
      <c r="O2642" s="637" t="s">
        <v>442</v>
      </c>
      <c r="P2642" s="637" t="s">
        <v>1156</v>
      </c>
      <c r="Q2642" s="638">
        <v>0</v>
      </c>
      <c r="R2642" s="638">
        <v>0</v>
      </c>
      <c r="S2642" s="638">
        <v>4067</v>
      </c>
      <c r="T2642" s="638">
        <v>4067</v>
      </c>
      <c r="U2642" s="638">
        <v>1191.55</v>
      </c>
      <c r="V2642" s="636">
        <v>2022</v>
      </c>
      <c r="W2642" s="640"/>
      <c r="X2642" s="641">
        <f t="shared" si="123"/>
        <v>3.4132012924342243</v>
      </c>
      <c r="Y2642" s="642" t="str">
        <f t="shared" si="124"/>
        <v/>
      </c>
      <c r="Z2642" s="642" t="str">
        <f t="shared" si="125"/>
        <v/>
      </c>
    </row>
    <row r="2643" spans="1:26" s="127" customFormat="1" ht="25">
      <c r="A2643" s="636">
        <v>99999</v>
      </c>
      <c r="B2643" s="637" t="s">
        <v>33</v>
      </c>
      <c r="C2643" s="636" t="s">
        <v>2725</v>
      </c>
      <c r="D2643" s="637" t="s">
        <v>1067</v>
      </c>
      <c r="E2643" s="637" t="s">
        <v>1067</v>
      </c>
      <c r="F2643" s="636">
        <v>99999</v>
      </c>
      <c r="G2643" s="637" t="s">
        <v>57</v>
      </c>
      <c r="H2643" s="637" t="s">
        <v>1162</v>
      </c>
      <c r="I2643" s="637" t="s">
        <v>1156</v>
      </c>
      <c r="J2643" s="636">
        <v>99999</v>
      </c>
      <c r="K2643" s="636">
        <v>2</v>
      </c>
      <c r="L2643" s="637" t="s">
        <v>52</v>
      </c>
      <c r="M2643" s="637" t="s">
        <v>441</v>
      </c>
      <c r="N2643" s="637" t="s">
        <v>442</v>
      </c>
      <c r="O2643" s="637" t="s">
        <v>442</v>
      </c>
      <c r="P2643" s="637" t="s">
        <v>1156</v>
      </c>
      <c r="Q2643" s="638">
        <v>0</v>
      </c>
      <c r="R2643" s="638">
        <v>0</v>
      </c>
      <c r="S2643" s="638">
        <v>14356</v>
      </c>
      <c r="T2643" s="638">
        <v>14356</v>
      </c>
      <c r="U2643" s="638">
        <v>4207.5039999999999</v>
      </c>
      <c r="V2643" s="636">
        <v>2022</v>
      </c>
      <c r="W2643" s="640"/>
      <c r="X2643" s="641">
        <f t="shared" si="123"/>
        <v>3.4119991329776513</v>
      </c>
      <c r="Y2643" s="642" t="str">
        <f t="shared" si="124"/>
        <v/>
      </c>
      <c r="Z2643" s="642" t="str">
        <f t="shared" si="125"/>
        <v/>
      </c>
    </row>
    <row r="2644" spans="1:26" s="127" customFormat="1" ht="25">
      <c r="A2644" s="636">
        <v>99999</v>
      </c>
      <c r="B2644" s="637" t="s">
        <v>33</v>
      </c>
      <c r="C2644" s="636" t="s">
        <v>2725</v>
      </c>
      <c r="D2644" s="637" t="s">
        <v>1067</v>
      </c>
      <c r="E2644" s="637" t="s">
        <v>1067</v>
      </c>
      <c r="F2644" s="636">
        <v>99999</v>
      </c>
      <c r="G2644" s="637" t="s">
        <v>81</v>
      </c>
      <c r="H2644" s="637" t="s">
        <v>1163</v>
      </c>
      <c r="I2644" s="637" t="s">
        <v>1156</v>
      </c>
      <c r="J2644" s="636">
        <v>99999</v>
      </c>
      <c r="K2644" s="636">
        <v>2</v>
      </c>
      <c r="L2644" s="637" t="s">
        <v>52</v>
      </c>
      <c r="M2644" s="637" t="s">
        <v>441</v>
      </c>
      <c r="N2644" s="637" t="s">
        <v>442</v>
      </c>
      <c r="O2644" s="637" t="s">
        <v>442</v>
      </c>
      <c r="P2644" s="637" t="s">
        <v>1156</v>
      </c>
      <c r="Q2644" s="638">
        <v>0</v>
      </c>
      <c r="R2644" s="638">
        <v>0</v>
      </c>
      <c r="S2644" s="638">
        <v>3566</v>
      </c>
      <c r="T2644" s="638">
        <v>3566</v>
      </c>
      <c r="U2644" s="638">
        <v>1045.027</v>
      </c>
      <c r="V2644" s="636">
        <v>2022</v>
      </c>
      <c r="W2644" s="640"/>
      <c r="X2644" s="641">
        <f t="shared" si="123"/>
        <v>3.4123520253543687</v>
      </c>
      <c r="Y2644" s="642" t="str">
        <f t="shared" si="124"/>
        <v/>
      </c>
      <c r="Z2644" s="642" t="str">
        <f t="shared" si="125"/>
        <v/>
      </c>
    </row>
    <row r="2645" spans="1:26" s="127" customFormat="1" ht="25">
      <c r="A2645" s="636">
        <v>99999</v>
      </c>
      <c r="B2645" s="637" t="s">
        <v>33</v>
      </c>
      <c r="C2645" s="636" t="s">
        <v>2725</v>
      </c>
      <c r="D2645" s="637" t="s">
        <v>1067</v>
      </c>
      <c r="E2645" s="637" t="s">
        <v>1067</v>
      </c>
      <c r="F2645" s="636">
        <v>99999</v>
      </c>
      <c r="G2645" s="637" t="s">
        <v>41</v>
      </c>
      <c r="H2645" s="637" t="s">
        <v>1163</v>
      </c>
      <c r="I2645" s="637" t="s">
        <v>1156</v>
      </c>
      <c r="J2645" s="636">
        <v>99999</v>
      </c>
      <c r="K2645" s="636">
        <v>2</v>
      </c>
      <c r="L2645" s="637" t="s">
        <v>52</v>
      </c>
      <c r="M2645" s="637" t="s">
        <v>441</v>
      </c>
      <c r="N2645" s="637" t="s">
        <v>442</v>
      </c>
      <c r="O2645" s="637" t="s">
        <v>442</v>
      </c>
      <c r="P2645" s="637" t="s">
        <v>1156</v>
      </c>
      <c r="Q2645" s="638">
        <v>0</v>
      </c>
      <c r="R2645" s="638">
        <v>0</v>
      </c>
      <c r="S2645" s="638">
        <v>5554</v>
      </c>
      <c r="T2645" s="638">
        <v>5554</v>
      </c>
      <c r="U2645" s="638">
        <v>1627.829</v>
      </c>
      <c r="V2645" s="636">
        <v>2022</v>
      </c>
      <c r="W2645" s="640"/>
      <c r="X2645" s="641">
        <f t="shared" si="123"/>
        <v>3.4119062874540265</v>
      </c>
      <c r="Y2645" s="642" t="str">
        <f t="shared" si="124"/>
        <v/>
      </c>
      <c r="Z2645" s="642" t="str">
        <f t="shared" si="125"/>
        <v/>
      </c>
    </row>
    <row r="2646" spans="1:26" s="127" customFormat="1" ht="37.5" hidden="1">
      <c r="A2646" s="636">
        <v>99999</v>
      </c>
      <c r="B2646" s="637" t="s">
        <v>54</v>
      </c>
      <c r="C2646" s="636" t="s">
        <v>2725</v>
      </c>
      <c r="D2646" s="637" t="s">
        <v>1067</v>
      </c>
      <c r="E2646" s="637" t="s">
        <v>1067</v>
      </c>
      <c r="F2646" s="636">
        <v>99999</v>
      </c>
      <c r="G2646" s="637" t="s">
        <v>41</v>
      </c>
      <c r="H2646" s="637" t="s">
        <v>1163</v>
      </c>
      <c r="I2646" s="637" t="s">
        <v>1156</v>
      </c>
      <c r="J2646" s="636">
        <v>99999</v>
      </c>
      <c r="K2646" s="636">
        <v>7</v>
      </c>
      <c r="L2646" s="637" t="s">
        <v>403</v>
      </c>
      <c r="M2646" s="637" t="s">
        <v>42</v>
      </c>
      <c r="N2646" s="637" t="s">
        <v>46</v>
      </c>
      <c r="O2646" s="637" t="s">
        <v>46</v>
      </c>
      <c r="P2646" s="637" t="s">
        <v>47</v>
      </c>
      <c r="Q2646" s="638">
        <v>0</v>
      </c>
      <c r="R2646" s="638">
        <v>0</v>
      </c>
      <c r="S2646" s="638">
        <v>0</v>
      </c>
      <c r="T2646" s="638">
        <v>0</v>
      </c>
      <c r="U2646" s="638">
        <v>0</v>
      </c>
      <c r="V2646" s="636">
        <v>2022</v>
      </c>
      <c r="W2646" s="640"/>
      <c r="X2646" s="641" t="str">
        <f t="shared" si="123"/>
        <v/>
      </c>
      <c r="Y2646" s="642" t="str">
        <f t="shared" si="124"/>
        <v/>
      </c>
      <c r="Z2646" s="642" t="str">
        <f t="shared" si="125"/>
        <v/>
      </c>
    </row>
    <row r="2647" spans="1:26" s="127" customFormat="1" ht="25">
      <c r="A2647" s="636">
        <v>99999</v>
      </c>
      <c r="B2647" s="637" t="s">
        <v>33</v>
      </c>
      <c r="C2647" s="636" t="s">
        <v>2725</v>
      </c>
      <c r="D2647" s="637" t="s">
        <v>1067</v>
      </c>
      <c r="E2647" s="637" t="s">
        <v>1067</v>
      </c>
      <c r="F2647" s="636">
        <v>99999</v>
      </c>
      <c r="G2647" s="637" t="s">
        <v>57</v>
      </c>
      <c r="H2647" s="637" t="s">
        <v>1162</v>
      </c>
      <c r="I2647" s="637" t="s">
        <v>1156</v>
      </c>
      <c r="J2647" s="636">
        <v>99999</v>
      </c>
      <c r="K2647" s="636">
        <v>2</v>
      </c>
      <c r="L2647" s="637" t="s">
        <v>52</v>
      </c>
      <c r="M2647" s="637" t="s">
        <v>42</v>
      </c>
      <c r="N2647" s="637" t="s">
        <v>46</v>
      </c>
      <c r="O2647" s="637" t="s">
        <v>46</v>
      </c>
      <c r="P2647" s="637" t="s">
        <v>47</v>
      </c>
      <c r="Q2647" s="638">
        <v>0</v>
      </c>
      <c r="R2647" s="638">
        <v>0</v>
      </c>
      <c r="S2647" s="638">
        <v>0</v>
      </c>
      <c r="T2647" s="638">
        <v>0</v>
      </c>
      <c r="U2647" s="638">
        <v>0</v>
      </c>
      <c r="V2647" s="636">
        <v>2022</v>
      </c>
      <c r="W2647" s="640"/>
      <c r="X2647" s="641" t="str">
        <f t="shared" si="123"/>
        <v/>
      </c>
      <c r="Y2647" s="642" t="str">
        <f t="shared" si="124"/>
        <v/>
      </c>
      <c r="Z2647" s="642" t="str">
        <f t="shared" si="125"/>
        <v/>
      </c>
    </row>
    <row r="2648" spans="1:26" s="127" customFormat="1" ht="25">
      <c r="A2648" s="636">
        <v>99999</v>
      </c>
      <c r="B2648" s="637" t="s">
        <v>33</v>
      </c>
      <c r="C2648" s="636" t="s">
        <v>2725</v>
      </c>
      <c r="D2648" s="637" t="s">
        <v>1067</v>
      </c>
      <c r="E2648" s="637" t="s">
        <v>1067</v>
      </c>
      <c r="F2648" s="636">
        <v>99999</v>
      </c>
      <c r="G2648" s="637" t="s">
        <v>81</v>
      </c>
      <c r="H2648" s="637" t="s">
        <v>1163</v>
      </c>
      <c r="I2648" s="637" t="s">
        <v>1156</v>
      </c>
      <c r="J2648" s="636">
        <v>99999</v>
      </c>
      <c r="K2648" s="636">
        <v>2</v>
      </c>
      <c r="L2648" s="637" t="s">
        <v>52</v>
      </c>
      <c r="M2648" s="637" t="s">
        <v>42</v>
      </c>
      <c r="N2648" s="637" t="s">
        <v>46</v>
      </c>
      <c r="O2648" s="637" t="s">
        <v>46</v>
      </c>
      <c r="P2648" s="637" t="s">
        <v>47</v>
      </c>
      <c r="Q2648" s="638">
        <v>0</v>
      </c>
      <c r="R2648" s="638">
        <v>0</v>
      </c>
      <c r="S2648" s="638">
        <v>0</v>
      </c>
      <c r="T2648" s="638">
        <v>0</v>
      </c>
      <c r="U2648" s="638">
        <v>0</v>
      </c>
      <c r="V2648" s="636">
        <v>2022</v>
      </c>
      <c r="W2648" s="640"/>
      <c r="X2648" s="641" t="str">
        <f t="shared" si="123"/>
        <v/>
      </c>
      <c r="Y2648" s="642" t="str">
        <f t="shared" si="124"/>
        <v/>
      </c>
      <c r="Z2648" s="642" t="str">
        <f t="shared" si="125"/>
        <v/>
      </c>
    </row>
    <row r="2649" spans="1:26" s="127" customFormat="1" ht="25">
      <c r="A2649" s="636">
        <v>99999</v>
      </c>
      <c r="B2649" s="637" t="s">
        <v>33</v>
      </c>
      <c r="C2649" s="636" t="s">
        <v>2725</v>
      </c>
      <c r="D2649" s="637" t="s">
        <v>1067</v>
      </c>
      <c r="E2649" s="637" t="s">
        <v>1067</v>
      </c>
      <c r="F2649" s="636">
        <v>99999</v>
      </c>
      <c r="G2649" s="637" t="s">
        <v>41</v>
      </c>
      <c r="H2649" s="637" t="s">
        <v>1163</v>
      </c>
      <c r="I2649" s="637" t="s">
        <v>1156</v>
      </c>
      <c r="J2649" s="636">
        <v>99999</v>
      </c>
      <c r="K2649" s="636">
        <v>2</v>
      </c>
      <c r="L2649" s="637" t="s">
        <v>52</v>
      </c>
      <c r="M2649" s="637" t="s">
        <v>42</v>
      </c>
      <c r="N2649" s="637" t="s">
        <v>46</v>
      </c>
      <c r="O2649" s="637" t="s">
        <v>46</v>
      </c>
      <c r="P2649" s="637" t="s">
        <v>47</v>
      </c>
      <c r="Q2649" s="638">
        <v>573</v>
      </c>
      <c r="R2649" s="638">
        <v>573</v>
      </c>
      <c r="S2649" s="638">
        <v>3336</v>
      </c>
      <c r="T2649" s="638">
        <v>3336</v>
      </c>
      <c r="U2649" s="638">
        <v>140.50899999999999</v>
      </c>
      <c r="V2649" s="636">
        <v>2022</v>
      </c>
      <c r="W2649" s="640"/>
      <c r="X2649" s="641">
        <f t="shared" si="123"/>
        <v>23.742251386032216</v>
      </c>
      <c r="Y2649" s="642" t="str">
        <f t="shared" si="124"/>
        <v/>
      </c>
      <c r="Z2649" s="642" t="str">
        <f t="shared" si="125"/>
        <v/>
      </c>
    </row>
    <row r="2650" spans="1:26" s="127" customFormat="1" ht="25">
      <c r="A2650" s="636">
        <v>99999</v>
      </c>
      <c r="B2650" s="637" t="s">
        <v>33</v>
      </c>
      <c r="C2650" s="636" t="s">
        <v>2725</v>
      </c>
      <c r="D2650" s="637" t="s">
        <v>1067</v>
      </c>
      <c r="E2650" s="637" t="s">
        <v>1067</v>
      </c>
      <c r="F2650" s="636">
        <v>99999</v>
      </c>
      <c r="G2650" s="637" t="s">
        <v>81</v>
      </c>
      <c r="H2650" s="637" t="s">
        <v>1163</v>
      </c>
      <c r="I2650" s="637" t="s">
        <v>1156</v>
      </c>
      <c r="J2650" s="636">
        <v>99999</v>
      </c>
      <c r="K2650" s="636">
        <v>2</v>
      </c>
      <c r="L2650" s="637" t="s">
        <v>52</v>
      </c>
      <c r="M2650" s="637" t="s">
        <v>42</v>
      </c>
      <c r="N2650" s="637" t="s">
        <v>76</v>
      </c>
      <c r="O2650" s="637" t="s">
        <v>67</v>
      </c>
      <c r="P2650" s="637" t="s">
        <v>47</v>
      </c>
      <c r="Q2650" s="638">
        <v>0</v>
      </c>
      <c r="R2650" s="638">
        <v>0</v>
      </c>
      <c r="S2650" s="638">
        <v>0</v>
      </c>
      <c r="T2650" s="638">
        <v>0</v>
      </c>
      <c r="U2650" s="638">
        <v>0</v>
      </c>
      <c r="V2650" s="636">
        <v>2022</v>
      </c>
      <c r="W2650" s="640"/>
      <c r="X2650" s="641" t="str">
        <f t="shared" si="123"/>
        <v/>
      </c>
      <c r="Y2650" s="642" t="str">
        <f t="shared" si="124"/>
        <v/>
      </c>
      <c r="Z2650" s="642" t="str">
        <f t="shared" si="125"/>
        <v/>
      </c>
    </row>
    <row r="2651" spans="1:26" s="127" customFormat="1" ht="25">
      <c r="A2651" s="636">
        <v>99999</v>
      </c>
      <c r="B2651" s="637" t="s">
        <v>33</v>
      </c>
      <c r="C2651" s="636" t="s">
        <v>2725</v>
      </c>
      <c r="D2651" s="637" t="s">
        <v>1067</v>
      </c>
      <c r="E2651" s="637" t="s">
        <v>1067</v>
      </c>
      <c r="F2651" s="636">
        <v>99999</v>
      </c>
      <c r="G2651" s="637" t="s">
        <v>57</v>
      </c>
      <c r="H2651" s="637" t="s">
        <v>1162</v>
      </c>
      <c r="I2651" s="637" t="s">
        <v>1156</v>
      </c>
      <c r="J2651" s="636">
        <v>99999</v>
      </c>
      <c r="K2651" s="636">
        <v>1</v>
      </c>
      <c r="L2651" s="637" t="s">
        <v>34</v>
      </c>
      <c r="M2651" s="637" t="s">
        <v>42</v>
      </c>
      <c r="N2651" s="637" t="s">
        <v>76</v>
      </c>
      <c r="O2651" s="637" t="s">
        <v>67</v>
      </c>
      <c r="P2651" s="637" t="s">
        <v>47</v>
      </c>
      <c r="Q2651" s="638">
        <v>0</v>
      </c>
      <c r="R2651" s="638">
        <v>0</v>
      </c>
      <c r="S2651" s="638">
        <v>0</v>
      </c>
      <c r="T2651" s="638">
        <v>0</v>
      </c>
      <c r="U2651" s="638">
        <v>0</v>
      </c>
      <c r="V2651" s="636">
        <v>2022</v>
      </c>
      <c r="W2651" s="640"/>
      <c r="X2651" s="641" t="str">
        <f t="shared" si="123"/>
        <v/>
      </c>
      <c r="Y2651" s="642" t="str">
        <f t="shared" si="124"/>
        <v/>
      </c>
      <c r="Z2651" s="642" t="str">
        <f t="shared" si="125"/>
        <v/>
      </c>
    </row>
    <row r="2652" spans="1:26" s="127" customFormat="1" ht="37.5" hidden="1">
      <c r="A2652" s="636">
        <v>99999</v>
      </c>
      <c r="B2652" s="637" t="s">
        <v>33</v>
      </c>
      <c r="C2652" s="636" t="s">
        <v>2725</v>
      </c>
      <c r="D2652" s="637" t="s">
        <v>1067</v>
      </c>
      <c r="E2652" s="637" t="s">
        <v>1067</v>
      </c>
      <c r="F2652" s="636">
        <v>99999</v>
      </c>
      <c r="G2652" s="637" t="s">
        <v>81</v>
      </c>
      <c r="H2652" s="637" t="s">
        <v>1163</v>
      </c>
      <c r="I2652" s="637" t="s">
        <v>1156</v>
      </c>
      <c r="J2652" s="636">
        <v>99999</v>
      </c>
      <c r="K2652" s="636">
        <v>4</v>
      </c>
      <c r="L2652" s="637" t="s">
        <v>406</v>
      </c>
      <c r="M2652" s="637" t="s">
        <v>42</v>
      </c>
      <c r="N2652" s="637" t="s">
        <v>39</v>
      </c>
      <c r="O2652" s="637" t="s">
        <v>39</v>
      </c>
      <c r="P2652" s="637" t="s">
        <v>1020</v>
      </c>
      <c r="Q2652" s="638">
        <v>0</v>
      </c>
      <c r="R2652" s="638">
        <v>0</v>
      </c>
      <c r="S2652" s="638">
        <v>0</v>
      </c>
      <c r="T2652" s="638">
        <v>0</v>
      </c>
      <c r="U2652" s="638">
        <v>0</v>
      </c>
      <c r="V2652" s="636">
        <v>2022</v>
      </c>
      <c r="W2652" s="640"/>
      <c r="X2652" s="641" t="str">
        <f t="shared" si="123"/>
        <v/>
      </c>
      <c r="Y2652" s="642" t="str">
        <f t="shared" si="124"/>
        <v/>
      </c>
      <c r="Z2652" s="642" t="str">
        <f t="shared" si="125"/>
        <v/>
      </c>
    </row>
    <row r="2653" spans="1:26" s="127" customFormat="1" ht="37.5" hidden="1">
      <c r="A2653" s="636">
        <v>99999</v>
      </c>
      <c r="B2653" s="637" t="s">
        <v>54</v>
      </c>
      <c r="C2653" s="636" t="s">
        <v>2725</v>
      </c>
      <c r="D2653" s="637" t="s">
        <v>1067</v>
      </c>
      <c r="E2653" s="637" t="s">
        <v>1067</v>
      </c>
      <c r="F2653" s="636">
        <v>99999</v>
      </c>
      <c r="G2653" s="637" t="s">
        <v>130</v>
      </c>
      <c r="H2653" s="637" t="s">
        <v>1163</v>
      </c>
      <c r="I2653" s="637" t="s">
        <v>1156</v>
      </c>
      <c r="J2653" s="636">
        <v>99999</v>
      </c>
      <c r="K2653" s="636">
        <v>5</v>
      </c>
      <c r="L2653" s="637" t="s">
        <v>407</v>
      </c>
      <c r="M2653" s="637" t="s">
        <v>42</v>
      </c>
      <c r="N2653" s="637" t="s">
        <v>39</v>
      </c>
      <c r="O2653" s="637" t="s">
        <v>39</v>
      </c>
      <c r="P2653" s="637" t="s">
        <v>1020</v>
      </c>
      <c r="Q2653" s="638">
        <v>221625</v>
      </c>
      <c r="R2653" s="638">
        <v>26582</v>
      </c>
      <c r="S2653" s="638">
        <v>228063</v>
      </c>
      <c r="T2653" s="638">
        <v>27356</v>
      </c>
      <c r="U2653" s="638">
        <v>5055.1329999999998</v>
      </c>
      <c r="V2653" s="636">
        <v>2022</v>
      </c>
      <c r="W2653" s="640"/>
      <c r="X2653" s="641" t="str">
        <f t="shared" si="123"/>
        <v/>
      </c>
      <c r="Y2653" s="642" t="str">
        <f t="shared" si="124"/>
        <v/>
      </c>
      <c r="Z2653" s="642" t="str">
        <f t="shared" si="125"/>
        <v/>
      </c>
    </row>
    <row r="2654" spans="1:26" s="127" customFormat="1" ht="37.5" hidden="1">
      <c r="A2654" s="636">
        <v>99999</v>
      </c>
      <c r="B2654" s="637" t="s">
        <v>54</v>
      </c>
      <c r="C2654" s="636" t="s">
        <v>2725</v>
      </c>
      <c r="D2654" s="637" t="s">
        <v>1067</v>
      </c>
      <c r="E2654" s="637" t="s">
        <v>1067</v>
      </c>
      <c r="F2654" s="636">
        <v>99999</v>
      </c>
      <c r="G2654" s="637" t="s">
        <v>41</v>
      </c>
      <c r="H2654" s="637" t="s">
        <v>1163</v>
      </c>
      <c r="I2654" s="637" t="s">
        <v>1156</v>
      </c>
      <c r="J2654" s="636">
        <v>99999</v>
      </c>
      <c r="K2654" s="636">
        <v>7</v>
      </c>
      <c r="L2654" s="637" t="s">
        <v>403</v>
      </c>
      <c r="M2654" s="637" t="s">
        <v>42</v>
      </c>
      <c r="N2654" s="637" t="s">
        <v>39</v>
      </c>
      <c r="O2654" s="637" t="s">
        <v>39</v>
      </c>
      <c r="P2654" s="637" t="s">
        <v>1020</v>
      </c>
      <c r="Q2654" s="638">
        <v>0</v>
      </c>
      <c r="R2654" s="638">
        <v>0</v>
      </c>
      <c r="S2654" s="638">
        <v>0</v>
      </c>
      <c r="T2654" s="638">
        <v>0</v>
      </c>
      <c r="U2654" s="638">
        <v>0</v>
      </c>
      <c r="V2654" s="636">
        <v>2022</v>
      </c>
      <c r="W2654" s="640"/>
      <c r="X2654" s="641" t="str">
        <f t="shared" si="123"/>
        <v/>
      </c>
      <c r="Y2654" s="642" t="str">
        <f t="shared" si="124"/>
        <v/>
      </c>
      <c r="Z2654" s="642" t="str">
        <f t="shared" si="125"/>
        <v/>
      </c>
    </row>
    <row r="2655" spans="1:26" s="127" customFormat="1" ht="25">
      <c r="A2655" s="636">
        <v>99999</v>
      </c>
      <c r="B2655" s="637" t="s">
        <v>33</v>
      </c>
      <c r="C2655" s="636" t="s">
        <v>2725</v>
      </c>
      <c r="D2655" s="637" t="s">
        <v>1067</v>
      </c>
      <c r="E2655" s="637" t="s">
        <v>1067</v>
      </c>
      <c r="F2655" s="636">
        <v>99999</v>
      </c>
      <c r="G2655" s="637" t="s">
        <v>57</v>
      </c>
      <c r="H2655" s="637" t="s">
        <v>1162</v>
      </c>
      <c r="I2655" s="637" t="s">
        <v>1156</v>
      </c>
      <c r="J2655" s="636">
        <v>99999</v>
      </c>
      <c r="K2655" s="636">
        <v>2</v>
      </c>
      <c r="L2655" s="637" t="s">
        <v>52</v>
      </c>
      <c r="M2655" s="637" t="s">
        <v>42</v>
      </c>
      <c r="N2655" s="637" t="s">
        <v>39</v>
      </c>
      <c r="O2655" s="637" t="s">
        <v>39</v>
      </c>
      <c r="P2655" s="637" t="s">
        <v>1020</v>
      </c>
      <c r="Q2655" s="638">
        <v>10613</v>
      </c>
      <c r="R2655" s="638">
        <v>10613</v>
      </c>
      <c r="S2655" s="638">
        <v>10942</v>
      </c>
      <c r="T2655" s="638">
        <v>10942</v>
      </c>
      <c r="U2655" s="638">
        <v>448.47500000000002</v>
      </c>
      <c r="V2655" s="636">
        <v>2022</v>
      </c>
      <c r="W2655" s="640"/>
      <c r="X2655" s="641">
        <f t="shared" si="123"/>
        <v>24.398238474831373</v>
      </c>
      <c r="Y2655" s="642" t="str">
        <f t="shared" si="124"/>
        <v/>
      </c>
      <c r="Z2655" s="642" t="str">
        <f t="shared" si="125"/>
        <v/>
      </c>
    </row>
    <row r="2656" spans="1:26" s="127" customFormat="1" ht="25">
      <c r="A2656" s="636">
        <v>99999</v>
      </c>
      <c r="B2656" s="637" t="s">
        <v>33</v>
      </c>
      <c r="C2656" s="636" t="s">
        <v>2725</v>
      </c>
      <c r="D2656" s="637" t="s">
        <v>1067</v>
      </c>
      <c r="E2656" s="637" t="s">
        <v>1067</v>
      </c>
      <c r="F2656" s="636">
        <v>99999</v>
      </c>
      <c r="G2656" s="637" t="s">
        <v>81</v>
      </c>
      <c r="H2656" s="637" t="s">
        <v>1163</v>
      </c>
      <c r="I2656" s="637" t="s">
        <v>1156</v>
      </c>
      <c r="J2656" s="636">
        <v>99999</v>
      </c>
      <c r="K2656" s="636">
        <v>2</v>
      </c>
      <c r="L2656" s="637" t="s">
        <v>52</v>
      </c>
      <c r="M2656" s="637" t="s">
        <v>42</v>
      </c>
      <c r="N2656" s="637" t="s">
        <v>39</v>
      </c>
      <c r="O2656" s="637" t="s">
        <v>39</v>
      </c>
      <c r="P2656" s="637" t="s">
        <v>1020</v>
      </c>
      <c r="Q2656" s="638">
        <v>0</v>
      </c>
      <c r="R2656" s="638">
        <v>0</v>
      </c>
      <c r="S2656" s="638">
        <v>0</v>
      </c>
      <c r="T2656" s="638">
        <v>0</v>
      </c>
      <c r="U2656" s="638">
        <v>0</v>
      </c>
      <c r="V2656" s="636">
        <v>2022</v>
      </c>
      <c r="W2656" s="640"/>
      <c r="X2656" s="641" t="str">
        <f t="shared" si="123"/>
        <v/>
      </c>
      <c r="Y2656" s="642" t="str">
        <f t="shared" si="124"/>
        <v/>
      </c>
      <c r="Z2656" s="642" t="str">
        <f t="shared" si="125"/>
        <v/>
      </c>
    </row>
    <row r="2657" spans="1:29" s="127" customFormat="1" ht="25">
      <c r="A2657" s="636">
        <v>99999</v>
      </c>
      <c r="B2657" s="637" t="s">
        <v>33</v>
      </c>
      <c r="C2657" s="636" t="s">
        <v>2725</v>
      </c>
      <c r="D2657" s="637" t="s">
        <v>1067</v>
      </c>
      <c r="E2657" s="637" t="s">
        <v>1067</v>
      </c>
      <c r="F2657" s="636">
        <v>99999</v>
      </c>
      <c r="G2657" s="637" t="s">
        <v>41</v>
      </c>
      <c r="H2657" s="637" t="s">
        <v>1163</v>
      </c>
      <c r="I2657" s="637" t="s">
        <v>1156</v>
      </c>
      <c r="J2657" s="636">
        <v>99999</v>
      </c>
      <c r="K2657" s="636">
        <v>2</v>
      </c>
      <c r="L2657" s="637" t="s">
        <v>52</v>
      </c>
      <c r="M2657" s="637" t="s">
        <v>42</v>
      </c>
      <c r="N2657" s="637" t="s">
        <v>39</v>
      </c>
      <c r="O2657" s="637" t="s">
        <v>39</v>
      </c>
      <c r="P2657" s="637" t="s">
        <v>1020</v>
      </c>
      <c r="Q2657" s="638">
        <v>38051</v>
      </c>
      <c r="R2657" s="638">
        <v>38051</v>
      </c>
      <c r="S2657" s="638">
        <v>39200</v>
      </c>
      <c r="T2657" s="638">
        <v>39200</v>
      </c>
      <c r="U2657" s="638">
        <v>4383.2150000000001</v>
      </c>
      <c r="V2657" s="636">
        <v>2022</v>
      </c>
      <c r="W2657" s="640"/>
      <c r="X2657" s="641">
        <f t="shared" si="123"/>
        <v>8.9432072120578159</v>
      </c>
      <c r="Y2657" s="642" t="str">
        <f t="shared" si="124"/>
        <v/>
      </c>
      <c r="Z2657" s="642" t="str">
        <f t="shared" si="125"/>
        <v/>
      </c>
    </row>
    <row r="2658" spans="1:29" s="127" customFormat="1" ht="37.5" hidden="1">
      <c r="A2658" s="636">
        <v>99999</v>
      </c>
      <c r="B2658" s="637" t="s">
        <v>54</v>
      </c>
      <c r="C2658" s="636" t="s">
        <v>2725</v>
      </c>
      <c r="D2658" s="637" t="s">
        <v>1067</v>
      </c>
      <c r="E2658" s="637" t="s">
        <v>1067</v>
      </c>
      <c r="F2658" s="636">
        <v>99999</v>
      </c>
      <c r="G2658" s="637" t="s">
        <v>130</v>
      </c>
      <c r="H2658" s="637" t="s">
        <v>1163</v>
      </c>
      <c r="I2658" s="637" t="s">
        <v>1156</v>
      </c>
      <c r="J2658" s="636">
        <v>99999</v>
      </c>
      <c r="K2658" s="636">
        <v>5</v>
      </c>
      <c r="L2658" s="637" t="s">
        <v>407</v>
      </c>
      <c r="M2658" s="637" t="s">
        <v>42</v>
      </c>
      <c r="N2658" s="637" t="s">
        <v>61</v>
      </c>
      <c r="O2658" s="637" t="s">
        <v>61</v>
      </c>
      <c r="P2658" s="637" t="s">
        <v>47</v>
      </c>
      <c r="Q2658" s="638">
        <v>4340</v>
      </c>
      <c r="R2658" s="638">
        <v>423</v>
      </c>
      <c r="S2658" s="638">
        <v>26694</v>
      </c>
      <c r="T2658" s="638">
        <v>2600</v>
      </c>
      <c r="U2658" s="638">
        <v>480.327</v>
      </c>
      <c r="V2658" s="636">
        <v>2022</v>
      </c>
      <c r="W2658" s="640"/>
      <c r="X2658" s="641" t="str">
        <f t="shared" si="123"/>
        <v/>
      </c>
      <c r="Y2658" s="642" t="str">
        <f t="shared" si="124"/>
        <v/>
      </c>
      <c r="Z2658" s="642" t="str">
        <f t="shared" si="125"/>
        <v/>
      </c>
    </row>
    <row r="2659" spans="1:29" s="127" customFormat="1" ht="25">
      <c r="A2659" s="636">
        <v>99999</v>
      </c>
      <c r="B2659" s="637" t="s">
        <v>33</v>
      </c>
      <c r="C2659" s="636" t="s">
        <v>2725</v>
      </c>
      <c r="D2659" s="637" t="s">
        <v>1067</v>
      </c>
      <c r="E2659" s="637" t="s">
        <v>1067</v>
      </c>
      <c r="F2659" s="636">
        <v>99999</v>
      </c>
      <c r="G2659" s="637" t="s">
        <v>57</v>
      </c>
      <c r="H2659" s="637" t="s">
        <v>1162</v>
      </c>
      <c r="I2659" s="637" t="s">
        <v>1156</v>
      </c>
      <c r="J2659" s="636">
        <v>99999</v>
      </c>
      <c r="K2659" s="636">
        <v>2</v>
      </c>
      <c r="L2659" s="637" t="s">
        <v>52</v>
      </c>
      <c r="M2659" s="637" t="s">
        <v>42</v>
      </c>
      <c r="N2659" s="637" t="s">
        <v>61</v>
      </c>
      <c r="O2659" s="637" t="s">
        <v>61</v>
      </c>
      <c r="P2659" s="637" t="s">
        <v>47</v>
      </c>
      <c r="Q2659" s="638">
        <v>39835</v>
      </c>
      <c r="R2659" s="638">
        <v>39835</v>
      </c>
      <c r="S2659" s="638">
        <v>251956</v>
      </c>
      <c r="T2659" s="638">
        <v>251956</v>
      </c>
      <c r="U2659" s="638">
        <v>24139.644</v>
      </c>
      <c r="V2659" s="636">
        <v>2022</v>
      </c>
      <c r="W2659" s="640"/>
      <c r="X2659" s="641">
        <f t="shared" si="123"/>
        <v>10.437436442724673</v>
      </c>
      <c r="Y2659" s="642" t="str">
        <f t="shared" si="124"/>
        <v/>
      </c>
      <c r="Z2659" s="642" t="str">
        <f t="shared" si="125"/>
        <v/>
      </c>
    </row>
    <row r="2660" spans="1:29" s="127" customFormat="1" ht="25">
      <c r="A2660" s="636">
        <v>99999</v>
      </c>
      <c r="B2660" s="637" t="s">
        <v>33</v>
      </c>
      <c r="C2660" s="636" t="s">
        <v>2725</v>
      </c>
      <c r="D2660" s="637" t="s">
        <v>1067</v>
      </c>
      <c r="E2660" s="637" t="s">
        <v>1067</v>
      </c>
      <c r="F2660" s="636">
        <v>99999</v>
      </c>
      <c r="G2660" s="637" t="s">
        <v>81</v>
      </c>
      <c r="H2660" s="637" t="s">
        <v>1163</v>
      </c>
      <c r="I2660" s="637" t="s">
        <v>1156</v>
      </c>
      <c r="J2660" s="636">
        <v>99999</v>
      </c>
      <c r="K2660" s="636">
        <v>2</v>
      </c>
      <c r="L2660" s="637" t="s">
        <v>52</v>
      </c>
      <c r="M2660" s="637" t="s">
        <v>42</v>
      </c>
      <c r="N2660" s="637" t="s">
        <v>61</v>
      </c>
      <c r="O2660" s="637" t="s">
        <v>61</v>
      </c>
      <c r="P2660" s="637" t="s">
        <v>47</v>
      </c>
      <c r="Q2660" s="638">
        <v>0</v>
      </c>
      <c r="R2660" s="638">
        <v>0</v>
      </c>
      <c r="S2660" s="638">
        <v>0</v>
      </c>
      <c r="T2660" s="638">
        <v>0</v>
      </c>
      <c r="U2660" s="638">
        <v>0</v>
      </c>
      <c r="V2660" s="636">
        <v>2022</v>
      </c>
      <c r="W2660" s="640"/>
      <c r="X2660" s="641" t="str">
        <f t="shared" si="123"/>
        <v/>
      </c>
      <c r="Y2660" s="642" t="str">
        <f t="shared" si="124"/>
        <v/>
      </c>
      <c r="Z2660" s="642" t="str">
        <f t="shared" si="125"/>
        <v/>
      </c>
    </row>
    <row r="2661" spans="1:29" s="127" customFormat="1" ht="25">
      <c r="A2661" s="636">
        <v>99999</v>
      </c>
      <c r="B2661" s="637" t="s">
        <v>33</v>
      </c>
      <c r="C2661" s="636" t="s">
        <v>2725</v>
      </c>
      <c r="D2661" s="637" t="s">
        <v>1067</v>
      </c>
      <c r="E2661" s="637" t="s">
        <v>1067</v>
      </c>
      <c r="F2661" s="636">
        <v>99999</v>
      </c>
      <c r="G2661" s="637" t="s">
        <v>41</v>
      </c>
      <c r="H2661" s="637" t="s">
        <v>1163</v>
      </c>
      <c r="I2661" s="637" t="s">
        <v>1156</v>
      </c>
      <c r="J2661" s="636">
        <v>99999</v>
      </c>
      <c r="K2661" s="636">
        <v>2</v>
      </c>
      <c r="L2661" s="637" t="s">
        <v>52</v>
      </c>
      <c r="M2661" s="637" t="s">
        <v>42</v>
      </c>
      <c r="N2661" s="637" t="s">
        <v>61</v>
      </c>
      <c r="O2661" s="637" t="s">
        <v>61</v>
      </c>
      <c r="P2661" s="637" t="s">
        <v>47</v>
      </c>
      <c r="Q2661" s="638">
        <v>1117</v>
      </c>
      <c r="R2661" s="638">
        <v>1117</v>
      </c>
      <c r="S2661" s="638">
        <v>6881</v>
      </c>
      <c r="T2661" s="638">
        <v>6881</v>
      </c>
      <c r="U2661" s="638">
        <v>588.55399999999997</v>
      </c>
      <c r="V2661" s="636">
        <v>2022</v>
      </c>
      <c r="W2661" s="640"/>
      <c r="X2661" s="641">
        <f t="shared" si="123"/>
        <v>11.69136561810811</v>
      </c>
      <c r="Y2661" s="642" t="str">
        <f t="shared" si="124"/>
        <v/>
      </c>
      <c r="Z2661" s="642" t="str">
        <f t="shared" si="125"/>
        <v/>
      </c>
    </row>
    <row r="2662" spans="1:29" s="127" customFormat="1" ht="25">
      <c r="A2662" s="636">
        <v>99999</v>
      </c>
      <c r="B2662" s="637" t="s">
        <v>33</v>
      </c>
      <c r="C2662" s="636" t="s">
        <v>2725</v>
      </c>
      <c r="D2662" s="637" t="s">
        <v>1067</v>
      </c>
      <c r="E2662" s="637" t="s">
        <v>1067</v>
      </c>
      <c r="F2662" s="636">
        <v>99999</v>
      </c>
      <c r="G2662" s="637" t="s">
        <v>41</v>
      </c>
      <c r="H2662" s="637" t="s">
        <v>1163</v>
      </c>
      <c r="I2662" s="637" t="s">
        <v>1156</v>
      </c>
      <c r="J2662" s="636">
        <v>99999</v>
      </c>
      <c r="K2662" s="636">
        <v>2</v>
      </c>
      <c r="L2662" s="637" t="s">
        <v>52</v>
      </c>
      <c r="M2662" s="637" t="s">
        <v>71</v>
      </c>
      <c r="N2662" s="637" t="s">
        <v>72</v>
      </c>
      <c r="O2662" s="637" t="s">
        <v>72</v>
      </c>
      <c r="P2662" s="637" t="s">
        <v>1156</v>
      </c>
      <c r="Q2662" s="638">
        <v>0</v>
      </c>
      <c r="R2662" s="638">
        <v>0</v>
      </c>
      <c r="S2662" s="638">
        <v>5057</v>
      </c>
      <c r="T2662" s="638">
        <v>5057</v>
      </c>
      <c r="U2662" s="638">
        <v>1482.08</v>
      </c>
      <c r="V2662" s="636">
        <v>2022</v>
      </c>
      <c r="W2662" s="640"/>
      <c r="X2662" s="641">
        <f t="shared" si="123"/>
        <v>3.4120965130087448</v>
      </c>
      <c r="Y2662" s="642" t="str">
        <f t="shared" si="124"/>
        <v/>
      </c>
      <c r="Z2662" s="642" t="str">
        <f t="shared" si="125"/>
        <v/>
      </c>
    </row>
    <row r="2663" spans="1:29">
      <c r="Q2663"/>
      <c r="V2663" s="1"/>
      <c r="W2663" s="1"/>
      <c r="X2663" s="1"/>
      <c r="Y2663" s="1"/>
      <c r="Z2663" s="1"/>
      <c r="AC2663" s="28"/>
    </row>
    <row r="2664" spans="1:29">
      <c r="Q2664"/>
      <c r="V2664" s="1"/>
      <c r="W2664" s="1"/>
      <c r="X2664" s="1"/>
      <c r="Y2664" s="1"/>
      <c r="Z2664" s="1"/>
      <c r="AC2664" s="28"/>
    </row>
    <row r="2665" spans="1:29">
      <c r="Q2665"/>
      <c r="V2665" s="145"/>
      <c r="W2665" s="146"/>
      <c r="X2665" s="58" t="s">
        <v>1261</v>
      </c>
      <c r="Y2665" s="59">
        <f>AVERAGE(Y7:Y2662)</f>
        <v>6.4719335068802621</v>
      </c>
    </row>
    <row r="2666" spans="1:29">
      <c r="Q2666"/>
      <c r="V2666" s="145"/>
      <c r="W2666" s="146"/>
      <c r="X2666" s="58" t="s">
        <v>1262</v>
      </c>
      <c r="Y2666" s="59">
        <f>AVERAGE(Z7:Z2662)</f>
        <v>5.7230861321322601</v>
      </c>
    </row>
    <row r="2667" spans="1:29">
      <c r="Q2667" s="31" t="s">
        <v>1153</v>
      </c>
      <c r="R2667" s="32"/>
      <c r="S2667" s="32"/>
      <c r="T2667" s="32"/>
      <c r="U2667" s="32"/>
      <c r="V2667" s="145"/>
      <c r="W2667" s="146"/>
      <c r="X2667" s="58" t="s">
        <v>1382</v>
      </c>
      <c r="Y2667" s="59">
        <f>SUM(T2687,T2712,T2737,T2762,T2787,T2812,T2837)/SUM(U2687,U2712,U2737,U2762,U2787,U2812,U2837)</f>
        <v>14.571068383198986</v>
      </c>
    </row>
    <row r="2668" spans="1:29" ht="13" thickBot="1">
      <c r="G2668" s="25"/>
      <c r="Q2668" s="30">
        <f>SUBTOTAL(9,Q7:Q2662)</f>
        <v>906346731</v>
      </c>
      <c r="R2668" s="30">
        <f>SUBTOTAL(9,R7:R2662)</f>
        <v>877263907</v>
      </c>
      <c r="S2668" s="30">
        <f>SUBTOTAL(9,S7:S2662)</f>
        <v>1190027712</v>
      </c>
      <c r="T2668" s="131">
        <f>SUBTOTAL(9,T7:T2662)</f>
        <v>1148239183</v>
      </c>
      <c r="U2668" s="144">
        <f>SUBTOTAL(9,U7:U2662)</f>
        <v>222916435.94900018</v>
      </c>
      <c r="V2668" s="145"/>
      <c r="W2668" s="146"/>
      <c r="X2668" s="58" t="s">
        <v>1383</v>
      </c>
      <c r="Y2668" s="59">
        <f>SUM(T2684,T2709,T2734,T2759,T2784,T2809,T2834)/SUM(U2684,U2709,U2734,U2759,U2784,U2809,U2834)</f>
        <v>11.557010995686529</v>
      </c>
    </row>
    <row r="2669" spans="1:29" ht="91.5" thickBot="1">
      <c r="G2669" s="16"/>
      <c r="H2669" s="16"/>
      <c r="I2669" s="16"/>
      <c r="J2669" s="16"/>
      <c r="K2669" s="16"/>
      <c r="L2669" s="16"/>
      <c r="M2669" s="16"/>
      <c r="N2669" s="16"/>
      <c r="O2669" s="16"/>
      <c r="P2669" s="16"/>
      <c r="Q2669" s="17"/>
      <c r="R2669" s="17"/>
      <c r="S2669" s="17"/>
      <c r="T2669" s="132" t="s">
        <v>2240</v>
      </c>
      <c r="U2669" s="133">
        <f>T2668/U2668</f>
        <v>5.1509848437676409</v>
      </c>
      <c r="X2669" s="61" t="s">
        <v>1380</v>
      </c>
      <c r="Y2669" s="61" t="s">
        <v>1379</v>
      </c>
      <c r="Z2669" s="62" t="s">
        <v>2682</v>
      </c>
      <c r="AB2669" s="28"/>
      <c r="AC2669" s="20"/>
    </row>
    <row r="2670" spans="1:29">
      <c r="G2670" s="4" t="s">
        <v>81</v>
      </c>
      <c r="H2670" s="5" t="s">
        <v>392</v>
      </c>
      <c r="I2670" s="5"/>
      <c r="J2670" s="5"/>
      <c r="K2670" s="5"/>
      <c r="L2670" s="5"/>
      <c r="M2670" s="6" t="s">
        <v>386</v>
      </c>
      <c r="N2670" s="7" t="s">
        <v>43</v>
      </c>
      <c r="O2670" s="7" t="s">
        <v>44</v>
      </c>
      <c r="P2670" s="5"/>
      <c r="Q2670" s="49">
        <f t="shared" ref="Q2670:T2672" si="126">SUMIFS(Q$7:Q$2662,$K$7:$K$2662, "&lt;4",$G$7:$G$2662,$G$2670,$N$7:$N$2662,$N2670)</f>
        <v>0</v>
      </c>
      <c r="R2670" s="49">
        <f t="shared" si="126"/>
        <v>0</v>
      </c>
      <c r="S2670" s="49">
        <f t="shared" si="126"/>
        <v>0</v>
      </c>
      <c r="T2670" s="52">
        <f t="shared" si="126"/>
        <v>0</v>
      </c>
      <c r="U2670" s="52">
        <f>SUMIFS(U$7:U$2663,$K$7:$K$2663, "&lt;4",$G$7:$G$2663,$G$2670,$N$7:$N$2663,$N2670)</f>
        <v>0</v>
      </c>
      <c r="V2670" s="5"/>
      <c r="W2670" s="158">
        <f t="shared" ref="W2670:W2682" si="127">SUMIFS(T$7:T$2662,$K$7:$K$2662, "&lt;4",$G$7:$G$2662,$G$2670,$N$7:$N$2662,$N2670, $W$7:$W$2662, "=x")</f>
        <v>0</v>
      </c>
      <c r="X2670" s="50">
        <f>SUMIFS(T$7:T$2662,U$7:U$2662, "&gt;0",$K$7:$K$2662, "&lt;4",$G$7:$G$2662,$G$2670,$N$7:$N$2662,$N2670)</f>
        <v>0</v>
      </c>
      <c r="Y2670" s="50">
        <f>SUMIFS(U$7:U$2662,U$7:U$2662, "&gt;0",$K$7:$K$2662, "&lt;4",$G$7:$G$2662,$G$2670,$N$7:$N$2662,$N2670)</f>
        <v>0</v>
      </c>
      <c r="Z2670" s="51" t="e">
        <f t="shared" ref="Z2670:Z2682" si="128">X2670/Y2670</f>
        <v>#DIV/0!</v>
      </c>
      <c r="AB2670" s="28"/>
    </row>
    <row r="2671" spans="1:29">
      <c r="G2671" s="8"/>
      <c r="M2671" s="2" t="s">
        <v>387</v>
      </c>
      <c r="N2671" s="3" t="s">
        <v>48</v>
      </c>
      <c r="O2671" s="3" t="s">
        <v>44</v>
      </c>
      <c r="Q2671" s="52">
        <f t="shared" si="126"/>
        <v>0</v>
      </c>
      <c r="R2671" s="52">
        <f t="shared" si="126"/>
        <v>0</v>
      </c>
      <c r="S2671" s="52">
        <f t="shared" si="126"/>
        <v>0</v>
      </c>
      <c r="T2671" s="52">
        <f t="shared" si="126"/>
        <v>0</v>
      </c>
      <c r="U2671" s="52">
        <f>SUMIFS(U$7:U$2662,$K$7:$K$2662, "&lt;4",$G$7:$G$2662,$G$2670,$N$7:$N$2662,$N2671)</f>
        <v>0</v>
      </c>
      <c r="W2671" s="159">
        <f t="shared" si="127"/>
        <v>0</v>
      </c>
      <c r="X2671" s="53">
        <f>SUMIFS(T$7:T$2662,U$7:U$2662, "&gt;0",$K$7:$K$2662, "&lt;4",$G$7:$G$2662,$G$2670,$N$7:$N$2662,$N2671)</f>
        <v>0</v>
      </c>
      <c r="Y2671" s="53">
        <f>SUMIFS(U$7:U$2662,U$7:U$2662, "&gt;0",$K$7:$K$2662, "&lt;4",$G$7:$G$2662,$G$2670,$N$7:$N$2662,$N2671)</f>
        <v>0</v>
      </c>
      <c r="Z2671" s="54" t="e">
        <f t="shared" si="128"/>
        <v>#DIV/0!</v>
      </c>
      <c r="AB2671" s="28"/>
    </row>
    <row r="2672" spans="1:29" s="20" customFormat="1">
      <c r="G2672" s="120"/>
      <c r="M2672" s="116" t="s">
        <v>375</v>
      </c>
      <c r="N2672" s="117" t="s">
        <v>46</v>
      </c>
      <c r="O2672" s="117" t="s">
        <v>46</v>
      </c>
      <c r="Q2672" s="121">
        <f t="shared" si="126"/>
        <v>680622</v>
      </c>
      <c r="R2672" s="121">
        <f t="shared" si="126"/>
        <v>662694</v>
      </c>
      <c r="S2672" s="121">
        <f t="shared" si="126"/>
        <v>3945383</v>
      </c>
      <c r="T2672" s="160">
        <f t="shared" si="126"/>
        <v>3841398</v>
      </c>
      <c r="U2672" s="121">
        <f>SUMIFS(U$7:U$2662,$K$7:$K$2662, "&lt;4",$G$7:$G$2662,$G$2670,$N$7:$N$2662,$N2672)</f>
        <v>455910.64900000003</v>
      </c>
      <c r="W2672" s="159">
        <f t="shared" si="127"/>
        <v>3566791</v>
      </c>
      <c r="X2672" s="122">
        <f>SUMIFS(T$7:T$2662,U$7:U$2662, "&gt;0",$K$7:$K$2662, "&lt;4",$G$7:$G$2662,$G$2670,$N$7:$N$2662,$N2672)</f>
        <v>3841051</v>
      </c>
      <c r="Y2672" s="53">
        <f>SUMIFS(U$7:U$2662,U$7:U$2662, "&gt;0",$K$7:$K$2662, "&lt;4",$G$7:$G$2662,$G$2670,$N$7:$N$2662,$N2672)</f>
        <v>456207.64900000003</v>
      </c>
      <c r="Z2672" s="54">
        <f t="shared" si="128"/>
        <v>8.4195234525758682</v>
      </c>
      <c r="AA2672" s="15"/>
      <c r="AB2672" s="28"/>
    </row>
    <row r="2673" spans="1:28">
      <c r="G2673" s="8"/>
      <c r="K2673" s="592"/>
      <c r="L2673" s="592"/>
      <c r="M2673" s="607" t="s">
        <v>3002</v>
      </c>
      <c r="N2673" s="3" t="s">
        <v>39</v>
      </c>
      <c r="O2673" s="3" t="s">
        <v>39</v>
      </c>
      <c r="Q2673" s="52">
        <f>SUMIFS(Q$7:Q$2662,$K$7:$K$2662, "&lt;4",$G$7:$G$2662,$G$2670,$N$7:$N$2662,$N2673)-Q2846</f>
        <v>115122743</v>
      </c>
      <c r="R2673" s="52">
        <f>SUMIFS(R$7:R$2662,$K$7:$K$2662, "&lt;4",$G$7:$G$2662,$G$2670,$N$7:$N$2662,$N2673)-R2846</f>
        <v>109955498</v>
      </c>
      <c r="S2673" s="52">
        <f>SUMIFS(S$7:S$2662,$K$7:$K$2662, "&lt;4",$G$7:$G$2662,$G$2670,$N$7:$N$2662,$N2673)-S2846</f>
        <v>118567367</v>
      </c>
      <c r="T2673" s="159">
        <f>SUMIFS(T$7:T$2662,$K$7:$K$2662, "&lt;4",$G$7:$G$2662,$G$2670,$N$7:$N$2662,$N2673)-T2846</f>
        <v>113255432</v>
      </c>
      <c r="U2673" s="52">
        <f>SUMIFS(U$7:U$2662,$K$7:$K$2662, "&lt;4",$G$7:$G$2662,$G$2670,$N$7:$N$2662,$N2673)-U2846</f>
        <v>14859781.745000001</v>
      </c>
      <c r="V2673" s="592"/>
      <c r="W2673" s="159">
        <f t="shared" si="127"/>
        <v>103419182</v>
      </c>
      <c r="X2673" s="608">
        <f>SUMIFS(T$7:T$2662,U$7:U$2662, "&gt;0",$K$7:$K$2662, "&lt;4",$G$7:$G$2662,$G$2670,$N$7:$N$2662,$N2673)-X2846</f>
        <v>113247323</v>
      </c>
      <c r="Y2673" s="608">
        <f>SUMIFS(U$7:U$2662,U$7:U$2662, "&gt;0",$K$7:$K$2662, "&lt;4",$G$7:$G$2662,$G$2670,$N$7:$N$2662,$N2673)-Y2846</f>
        <v>14862477.818999998</v>
      </c>
      <c r="Z2673" s="609">
        <f t="shared" si="128"/>
        <v>7.6196798662485534</v>
      </c>
    </row>
    <row r="2674" spans="1:28" ht="13">
      <c r="A2674" s="25"/>
      <c r="B2674" s="20"/>
      <c r="C2674" s="682" t="s">
        <v>3932</v>
      </c>
      <c r="D2674" s="116" t="s">
        <v>1258</v>
      </c>
      <c r="E2674" s="118">
        <f>T2674/(T2674+T2685)</f>
        <v>0.55000304119098931</v>
      </c>
      <c r="G2674" s="8"/>
      <c r="J2674" s="655"/>
      <c r="K2674" s="655"/>
      <c r="L2674" s="655"/>
      <c r="M2674" s="682" t="s">
        <v>388</v>
      </c>
      <c r="N2674" s="117" t="s">
        <v>17</v>
      </c>
      <c r="O2674" s="3" t="s">
        <v>82</v>
      </c>
      <c r="Q2674" s="690">
        <f>SUMIFS(Q$7:Q$2662,$G$7:$G$2662,$G$2670,$N$7:$N$2662,$N2674)</f>
        <v>1168524</v>
      </c>
      <c r="R2674" s="690">
        <f>SUMIFS(R$7:R$2662,$G$7:$G$2662,$G$2670,$N$7:$N$2662,$N2674)</f>
        <v>1168524</v>
      </c>
      <c r="S2674" s="690">
        <f>SUMIFS(S$7:S$2662,$G$7:$G$2662,$G$2670,$N$7:$N$2662,$N2674)</f>
        <v>16421289</v>
      </c>
      <c r="T2674" s="690">
        <f>SUMIFS(T$7:T$2662,$G$7:$G$2662,$G$2670,$N$7:$N$2662,$N2674)</f>
        <v>16421289</v>
      </c>
      <c r="U2674" s="690">
        <f>SUMIFS(U$7:U$2662,$G$7:$G$2662,$G$2670,$N$7:$N$2662,$N2674)</f>
        <v>935126.48100000003</v>
      </c>
      <c r="W2674" s="159">
        <f t="shared" si="127"/>
        <v>0</v>
      </c>
      <c r="X2674" s="53">
        <f t="shared" ref="X2674:X2682" si="129">SUMIFS(T$7:T$2662,U$7:U$2662, "&gt;0",$K$7:$K$2662, "&lt;4",$G$7:$G$2662,$G$2670,$N$7:$N$2662,$N2674)</f>
        <v>7519405</v>
      </c>
      <c r="Y2674" s="53">
        <f t="shared" ref="Y2674:Y2682" si="130">SUMIFS(U$7:U$2662,U$7:U$2662, "&gt;0",$K$7:$K$2662, "&lt;4",$G$7:$G$2662,$G$2670,$N$7:$N$2662,$N2674)</f>
        <v>419038.31</v>
      </c>
      <c r="Z2674" s="54">
        <f t="shared" si="128"/>
        <v>17.94443329059818</v>
      </c>
    </row>
    <row r="2675" spans="1:28">
      <c r="A2675" s="25"/>
      <c r="B2675" s="20"/>
      <c r="C2675" s="116"/>
      <c r="D2675" s="116" t="s">
        <v>1259</v>
      </c>
      <c r="E2675" s="118">
        <f>T2685/(T2674+T2685)</f>
        <v>0.44999695880901064</v>
      </c>
      <c r="G2675" s="8"/>
      <c r="L2675" s="20"/>
      <c r="M2675" s="116" t="s">
        <v>389</v>
      </c>
      <c r="N2675" s="117" t="s">
        <v>82</v>
      </c>
      <c r="O2675" s="117" t="s">
        <v>82</v>
      </c>
      <c r="P2675" s="20"/>
      <c r="Q2675" s="52">
        <f>SUMIFS(Q$7:Q$2662,$K$7:$K$2662, "&lt;4",$G$7:$G$2662,$G$2670,$N$7:$N$2662,$N2675)</f>
        <v>0</v>
      </c>
      <c r="R2675" s="52">
        <f t="shared" ref="Q2675:U2682" si="131">SUMIFS(R$7:R$2662,$K$7:$K$2662, "&lt;4",$G$7:$G$2662,$G$2670,$N$7:$N$2662,$N2675)</f>
        <v>0</v>
      </c>
      <c r="S2675" s="52">
        <f t="shared" si="131"/>
        <v>0</v>
      </c>
      <c r="T2675" s="52">
        <f t="shared" si="131"/>
        <v>0</v>
      </c>
      <c r="U2675" s="52">
        <f t="shared" si="131"/>
        <v>0</v>
      </c>
      <c r="W2675" s="159">
        <f t="shared" si="127"/>
        <v>0</v>
      </c>
      <c r="X2675" s="53">
        <f t="shared" si="129"/>
        <v>0</v>
      </c>
      <c r="Y2675" s="53">
        <f t="shared" si="130"/>
        <v>0</v>
      </c>
      <c r="Z2675" s="54" t="e">
        <f t="shared" si="128"/>
        <v>#DIV/0!</v>
      </c>
    </row>
    <row r="2676" spans="1:28">
      <c r="B2676" s="20"/>
      <c r="C2676" s="20"/>
      <c r="D2676" s="20"/>
      <c r="E2676" s="20"/>
      <c r="G2676" s="8"/>
      <c r="L2676" s="20"/>
      <c r="M2676" s="116" t="s">
        <v>384</v>
      </c>
      <c r="N2676" s="117" t="s">
        <v>396</v>
      </c>
      <c r="O2676" s="117" t="s">
        <v>82</v>
      </c>
      <c r="P2676" s="20"/>
      <c r="Q2676" s="52">
        <f t="shared" si="131"/>
        <v>0</v>
      </c>
      <c r="R2676" s="52">
        <f t="shared" si="131"/>
        <v>0</v>
      </c>
      <c r="S2676" s="52">
        <f t="shared" si="131"/>
        <v>0</v>
      </c>
      <c r="T2676" s="52">
        <f t="shared" si="131"/>
        <v>0</v>
      </c>
      <c r="U2676" s="52">
        <f t="shared" si="131"/>
        <v>0</v>
      </c>
      <c r="W2676" s="159">
        <f t="shared" si="127"/>
        <v>0</v>
      </c>
      <c r="X2676" s="53">
        <f t="shared" si="129"/>
        <v>0</v>
      </c>
      <c r="Y2676" s="53">
        <f t="shared" si="130"/>
        <v>0</v>
      </c>
      <c r="Z2676" s="54" t="e">
        <f t="shared" si="128"/>
        <v>#DIV/0!</v>
      </c>
      <c r="AB2676" s="1"/>
    </row>
    <row r="2677" spans="1:28">
      <c r="G2677" s="8"/>
      <c r="L2677" s="20"/>
      <c r="M2677" s="116" t="s">
        <v>377</v>
      </c>
      <c r="N2677" s="117" t="s">
        <v>65</v>
      </c>
      <c r="O2677" s="117" t="s">
        <v>65</v>
      </c>
      <c r="P2677" s="20"/>
      <c r="Q2677" s="52">
        <f t="shared" si="131"/>
        <v>0</v>
      </c>
      <c r="R2677" s="52">
        <f t="shared" si="131"/>
        <v>0</v>
      </c>
      <c r="S2677" s="52">
        <f t="shared" si="131"/>
        <v>0</v>
      </c>
      <c r="T2677" s="52">
        <f t="shared" si="131"/>
        <v>0</v>
      </c>
      <c r="U2677" s="52">
        <f t="shared" si="131"/>
        <v>0</v>
      </c>
      <c r="W2677" s="159">
        <f t="shared" si="127"/>
        <v>0</v>
      </c>
      <c r="X2677" s="53">
        <f t="shared" si="129"/>
        <v>0</v>
      </c>
      <c r="Y2677" s="53">
        <f t="shared" si="130"/>
        <v>0</v>
      </c>
      <c r="Z2677" s="54" t="e">
        <f t="shared" si="128"/>
        <v>#DIV/0!</v>
      </c>
      <c r="AB2677" s="1"/>
    </row>
    <row r="2678" spans="1:28">
      <c r="G2678" s="8"/>
      <c r="L2678" s="20"/>
      <c r="M2678" s="116" t="s">
        <v>376</v>
      </c>
      <c r="N2678" s="117" t="s">
        <v>61</v>
      </c>
      <c r="O2678" s="117" t="s">
        <v>61</v>
      </c>
      <c r="P2678" s="20"/>
      <c r="Q2678" s="52">
        <f t="shared" si="131"/>
        <v>471377</v>
      </c>
      <c r="R2678" s="52">
        <f t="shared" si="131"/>
        <v>471377</v>
      </c>
      <c r="S2678" s="52">
        <f t="shared" si="131"/>
        <v>2969676</v>
      </c>
      <c r="T2678" s="159">
        <f t="shared" si="131"/>
        <v>2969676</v>
      </c>
      <c r="U2678" s="52">
        <f t="shared" si="131"/>
        <v>273645.27</v>
      </c>
      <c r="W2678" s="159">
        <f t="shared" si="127"/>
        <v>2969676</v>
      </c>
      <c r="X2678" s="53">
        <f t="shared" si="129"/>
        <v>2969676</v>
      </c>
      <c r="Y2678" s="53">
        <f t="shared" si="130"/>
        <v>273645.27</v>
      </c>
      <c r="Z2678" s="54">
        <f t="shared" si="128"/>
        <v>10.852283322858092</v>
      </c>
      <c r="AB2678" s="1"/>
    </row>
    <row r="2679" spans="1:28">
      <c r="G2679" s="8"/>
      <c r="L2679" s="20"/>
      <c r="M2679" s="116" t="s">
        <v>378</v>
      </c>
      <c r="N2679" s="117" t="s">
        <v>66</v>
      </c>
      <c r="O2679" s="117" t="s">
        <v>67</v>
      </c>
      <c r="P2679" s="20"/>
      <c r="Q2679" s="52">
        <f t="shared" si="131"/>
        <v>0</v>
      </c>
      <c r="R2679" s="52">
        <f t="shared" si="131"/>
        <v>0</v>
      </c>
      <c r="S2679" s="52">
        <f t="shared" si="131"/>
        <v>0</v>
      </c>
      <c r="T2679" s="52">
        <f t="shared" si="131"/>
        <v>0</v>
      </c>
      <c r="U2679" s="52">
        <f t="shared" si="131"/>
        <v>0</v>
      </c>
      <c r="W2679" s="159">
        <f t="shared" si="127"/>
        <v>0</v>
      </c>
      <c r="X2679" s="53">
        <f t="shared" si="129"/>
        <v>0</v>
      </c>
      <c r="Y2679" s="53">
        <f t="shared" si="130"/>
        <v>0</v>
      </c>
      <c r="Z2679" s="54" t="e">
        <f t="shared" si="128"/>
        <v>#DIV/0!</v>
      </c>
      <c r="AB2679" s="1"/>
    </row>
    <row r="2680" spans="1:28">
      <c r="G2680" s="8"/>
      <c r="L2680" s="20"/>
      <c r="M2680" s="116" t="s">
        <v>379</v>
      </c>
      <c r="N2680" s="117" t="s">
        <v>76</v>
      </c>
      <c r="O2680" s="117" t="s">
        <v>67</v>
      </c>
      <c r="P2680" s="20"/>
      <c r="Q2680" s="52">
        <f t="shared" si="131"/>
        <v>30294</v>
      </c>
      <c r="R2680" s="52">
        <f t="shared" si="131"/>
        <v>30294</v>
      </c>
      <c r="S2680" s="52">
        <f t="shared" si="131"/>
        <v>172420</v>
      </c>
      <c r="T2680" s="159">
        <f t="shared" si="131"/>
        <v>172420</v>
      </c>
      <c r="U2680" s="52">
        <f t="shared" si="131"/>
        <v>16326.593999999999</v>
      </c>
      <c r="W2680" s="159">
        <f t="shared" si="127"/>
        <v>171708</v>
      </c>
      <c r="X2680" s="53">
        <f t="shared" si="129"/>
        <v>172420</v>
      </c>
      <c r="Y2680" s="53">
        <f t="shared" si="130"/>
        <v>16326.593999999999</v>
      </c>
      <c r="Z2680" s="54">
        <f t="shared" si="128"/>
        <v>10.560683998144377</v>
      </c>
      <c r="AB2680" s="1"/>
    </row>
    <row r="2681" spans="1:28">
      <c r="G2681" s="8"/>
      <c r="L2681" s="20"/>
      <c r="M2681" s="116" t="s">
        <v>380</v>
      </c>
      <c r="N2681" s="117" t="s">
        <v>73</v>
      </c>
      <c r="O2681" s="117" t="s">
        <v>67</v>
      </c>
      <c r="P2681" s="20"/>
      <c r="Q2681" s="52">
        <f t="shared" si="131"/>
        <v>0</v>
      </c>
      <c r="R2681" s="52">
        <f t="shared" si="131"/>
        <v>0</v>
      </c>
      <c r="S2681" s="52">
        <f t="shared" si="131"/>
        <v>0</v>
      </c>
      <c r="T2681" s="52">
        <f t="shared" si="131"/>
        <v>0</v>
      </c>
      <c r="U2681" s="52">
        <f t="shared" si="131"/>
        <v>0</v>
      </c>
      <c r="W2681" s="159">
        <f t="shared" si="127"/>
        <v>0</v>
      </c>
      <c r="X2681" s="53">
        <f t="shared" si="129"/>
        <v>0</v>
      </c>
      <c r="Y2681" s="53">
        <f t="shared" si="130"/>
        <v>0</v>
      </c>
      <c r="Z2681" s="54" t="e">
        <f t="shared" si="128"/>
        <v>#DIV/0!</v>
      </c>
      <c r="AB2681" s="1"/>
    </row>
    <row r="2682" spans="1:28">
      <c r="G2682" s="8"/>
      <c r="L2682" s="20"/>
      <c r="M2682" s="116" t="s">
        <v>429</v>
      </c>
      <c r="N2682" s="117" t="s">
        <v>420</v>
      </c>
      <c r="O2682" s="117" t="s">
        <v>421</v>
      </c>
      <c r="P2682" s="20"/>
      <c r="Q2682" s="52">
        <f t="shared" si="131"/>
        <v>0</v>
      </c>
      <c r="R2682" s="52">
        <f t="shared" si="131"/>
        <v>0</v>
      </c>
      <c r="S2682" s="52">
        <f t="shared" si="131"/>
        <v>0</v>
      </c>
      <c r="T2682" s="52">
        <f t="shared" si="131"/>
        <v>0</v>
      </c>
      <c r="U2682" s="52">
        <f t="shared" si="131"/>
        <v>0</v>
      </c>
      <c r="W2682" s="159">
        <f t="shared" si="127"/>
        <v>0</v>
      </c>
      <c r="X2682" s="53">
        <f t="shared" si="129"/>
        <v>0</v>
      </c>
      <c r="Y2682" s="53">
        <f t="shared" si="130"/>
        <v>0</v>
      </c>
      <c r="Z2682" s="54" t="e">
        <f t="shared" si="128"/>
        <v>#DIV/0!</v>
      </c>
      <c r="AB2682" s="1"/>
    </row>
    <row r="2683" spans="1:28">
      <c r="G2683" s="8"/>
      <c r="L2683" s="20"/>
      <c r="M2683" s="20"/>
      <c r="N2683" s="20"/>
      <c r="O2683" s="20"/>
      <c r="P2683" s="20"/>
      <c r="Q2683"/>
      <c r="R2683"/>
      <c r="S2683"/>
      <c r="T2683"/>
      <c r="U2683"/>
      <c r="W2683" s="1"/>
      <c r="Z2683" s="57"/>
      <c r="AB2683" s="1"/>
    </row>
    <row r="2684" spans="1:28">
      <c r="G2684" s="8"/>
      <c r="H2684" t="s">
        <v>391</v>
      </c>
      <c r="L2684" s="20"/>
      <c r="M2684" s="116" t="s">
        <v>382</v>
      </c>
      <c r="N2684" s="117" t="s">
        <v>63</v>
      </c>
      <c r="O2684" s="117" t="s">
        <v>64</v>
      </c>
      <c r="P2684" s="20"/>
      <c r="Q2684" s="52">
        <f t="shared" ref="Q2684:U2691" si="132">SUMIFS(Q$7:Q$2662,$K$7:$K$2662, "&lt;4",$G$7:$G$2662,$G$2670,$N$7:$N$2662,$N2684)</f>
        <v>2545707</v>
      </c>
      <c r="R2684" s="52">
        <f t="shared" si="132"/>
        <v>2545707</v>
      </c>
      <c r="S2684" s="52">
        <f t="shared" si="132"/>
        <v>1255520</v>
      </c>
      <c r="T2684" s="52">
        <f t="shared" si="132"/>
        <v>1255520</v>
      </c>
      <c r="U2684" s="52">
        <f t="shared" si="132"/>
        <v>101305</v>
      </c>
      <c r="W2684" s="159">
        <f t="shared" ref="W2684:W2691" si="133">SUMIFS(T$7:T$2662,$K$7:$K$2662, "&lt;4",$G$7:$G$2662,$G$2670,$N$7:$N$2662,$N2684, $W$7:$W$2662, "=x")</f>
        <v>0</v>
      </c>
      <c r="X2684" s="53">
        <f t="shared" ref="X2684:X2691" si="134">SUMIFS(T$7:T$2662,U$7:U$2662, "&gt;0",$K$7:$K$2662, "&lt;4",$G$7:$G$2662,$G$2670,$N$7:$N$2662,$N2684)</f>
        <v>1255520</v>
      </c>
      <c r="Y2684" s="53">
        <f t="shared" ref="Y2684:Y2691" si="135">SUMIFS(U$7:U$2662,U$7:U$2662, "&gt;0",$K$7:$K$2662, "&lt;4",$G$7:$G$2662,$G$2670,$N$7:$N$2662,$N2684)</f>
        <v>101305</v>
      </c>
      <c r="Z2684" s="54">
        <f t="shared" ref="Z2684:Z2691" si="136">X2684/Y2684</f>
        <v>12.393465278120527</v>
      </c>
      <c r="AB2684" s="1"/>
    </row>
    <row r="2685" spans="1:28" ht="13">
      <c r="G2685" s="8"/>
      <c r="L2685" s="20"/>
      <c r="M2685" s="116" t="s">
        <v>385</v>
      </c>
      <c r="N2685" s="117" t="s">
        <v>16</v>
      </c>
      <c r="O2685" s="117" t="s">
        <v>64</v>
      </c>
      <c r="P2685" s="20"/>
      <c r="Q2685" s="690">
        <f>SUMIFS(Q$7:Q$2662,$G$7:$G$2662,$G$2670,$N$7:$N$2662,$N2685)</f>
        <v>1827699</v>
      </c>
      <c r="R2685" s="690">
        <f>SUMIFS(R$7:R$2662,$G$7:$G$2662,$G$2670,$N$7:$N$2662,$N2685)</f>
        <v>1827699</v>
      </c>
      <c r="S2685" s="690">
        <f>SUMIFS(S$7:S$2662,$G$7:$G$2662,$G$2670,$N$7:$N$2662,$N2685)</f>
        <v>13435435</v>
      </c>
      <c r="T2685" s="690">
        <f>SUMIFS(T$7:T$2662,$G$7:$G$2662,$G$2670,$N$7:$N$2662,$N2685)</f>
        <v>13435435</v>
      </c>
      <c r="U2685" s="690">
        <f>SUMIFS(U$7:U$2662,$G$7:$G$2662,$G$2670,$N$7:$N$2662,$N2685)</f>
        <v>765094.25900000008</v>
      </c>
      <c r="W2685" s="159">
        <f t="shared" si="133"/>
        <v>0</v>
      </c>
      <c r="X2685" s="53">
        <f t="shared" si="134"/>
        <v>6152189</v>
      </c>
      <c r="Y2685" s="53">
        <f t="shared" si="135"/>
        <v>342846.69400000002</v>
      </c>
      <c r="Z2685" s="54">
        <f t="shared" si="136"/>
        <v>17.944431454835613</v>
      </c>
      <c r="AB2685" s="1"/>
    </row>
    <row r="2686" spans="1:28">
      <c r="G2686" s="8"/>
      <c r="L2686" s="20"/>
      <c r="M2686" s="116" t="s">
        <v>381</v>
      </c>
      <c r="N2686" s="117" t="s">
        <v>151</v>
      </c>
      <c r="O2686" s="117" t="s">
        <v>70</v>
      </c>
      <c r="P2686" s="20"/>
      <c r="Q2686" s="52">
        <f t="shared" si="132"/>
        <v>0</v>
      </c>
      <c r="R2686" s="52">
        <f t="shared" si="132"/>
        <v>0</v>
      </c>
      <c r="S2686" s="52">
        <f t="shared" si="132"/>
        <v>0</v>
      </c>
      <c r="T2686" s="52">
        <f t="shared" si="132"/>
        <v>0</v>
      </c>
      <c r="U2686" s="52">
        <f t="shared" si="132"/>
        <v>0</v>
      </c>
      <c r="W2686" s="159">
        <f t="shared" si="133"/>
        <v>0</v>
      </c>
      <c r="X2686" s="53">
        <f t="shared" si="134"/>
        <v>0</v>
      </c>
      <c r="Y2686" s="53">
        <f t="shared" si="135"/>
        <v>0</v>
      </c>
      <c r="Z2686" s="54" t="e">
        <f t="shared" si="136"/>
        <v>#DIV/0!</v>
      </c>
      <c r="AB2686" s="1"/>
    </row>
    <row r="2687" spans="1:28">
      <c r="G2687" s="8"/>
      <c r="L2687" s="20"/>
      <c r="M2687" s="116" t="s">
        <v>390</v>
      </c>
      <c r="N2687" s="117" t="s">
        <v>69</v>
      </c>
      <c r="O2687" s="117" t="s">
        <v>70</v>
      </c>
      <c r="P2687" s="20"/>
      <c r="Q2687" s="52">
        <f t="shared" si="132"/>
        <v>96089</v>
      </c>
      <c r="R2687" s="52">
        <f t="shared" si="132"/>
        <v>96089</v>
      </c>
      <c r="S2687" s="52">
        <f t="shared" si="132"/>
        <v>877293</v>
      </c>
      <c r="T2687" s="52">
        <f t="shared" si="132"/>
        <v>877293</v>
      </c>
      <c r="U2687" s="52">
        <f t="shared" si="132"/>
        <v>45030.8</v>
      </c>
      <c r="W2687" s="159">
        <f t="shared" si="133"/>
        <v>0</v>
      </c>
      <c r="X2687" s="53">
        <f t="shared" si="134"/>
        <v>877293</v>
      </c>
      <c r="Y2687" s="53">
        <f t="shared" si="135"/>
        <v>45030.8</v>
      </c>
      <c r="Z2687" s="54">
        <f t="shared" si="136"/>
        <v>19.482065608428009</v>
      </c>
      <c r="AB2687" s="1"/>
    </row>
    <row r="2688" spans="1:28">
      <c r="G2688" s="8"/>
      <c r="L2688" s="20"/>
      <c r="M2688" s="116" t="s">
        <v>383</v>
      </c>
      <c r="N2688" s="117" t="s">
        <v>152</v>
      </c>
      <c r="O2688" s="117" t="s">
        <v>49</v>
      </c>
      <c r="P2688" s="20"/>
      <c r="Q2688" s="52">
        <f t="shared" si="132"/>
        <v>0</v>
      </c>
      <c r="R2688" s="52">
        <f t="shared" si="132"/>
        <v>0</v>
      </c>
      <c r="S2688" s="52">
        <f t="shared" si="132"/>
        <v>0</v>
      </c>
      <c r="T2688" s="52">
        <f t="shared" si="132"/>
        <v>0</v>
      </c>
      <c r="U2688" s="52">
        <f t="shared" si="132"/>
        <v>0</v>
      </c>
      <c r="W2688" s="159">
        <f t="shared" si="133"/>
        <v>0</v>
      </c>
      <c r="X2688" s="53">
        <f t="shared" si="134"/>
        <v>0</v>
      </c>
      <c r="Y2688" s="53">
        <f t="shared" si="135"/>
        <v>0</v>
      </c>
      <c r="Z2688" s="54" t="e">
        <f t="shared" si="136"/>
        <v>#DIV/0!</v>
      </c>
      <c r="AB2688" s="1"/>
    </row>
    <row r="2689" spans="5:28">
      <c r="G2689" s="8"/>
      <c r="L2689" s="20"/>
      <c r="M2689" s="116" t="s">
        <v>431</v>
      </c>
      <c r="N2689" s="117" t="s">
        <v>413</v>
      </c>
      <c r="O2689" s="117" t="s">
        <v>49</v>
      </c>
      <c r="P2689" s="20"/>
      <c r="Q2689" s="52">
        <f t="shared" si="132"/>
        <v>0</v>
      </c>
      <c r="R2689" s="52">
        <f t="shared" si="132"/>
        <v>0</v>
      </c>
      <c r="S2689" s="52">
        <f t="shared" si="132"/>
        <v>0</v>
      </c>
      <c r="T2689" s="52">
        <f t="shared" si="132"/>
        <v>0</v>
      </c>
      <c r="U2689" s="52">
        <f t="shared" si="132"/>
        <v>0</v>
      </c>
      <c r="W2689" s="159">
        <f t="shared" si="133"/>
        <v>0</v>
      </c>
      <c r="X2689" s="53">
        <f t="shared" si="134"/>
        <v>0</v>
      </c>
      <c r="Y2689" s="53">
        <f t="shared" si="135"/>
        <v>0</v>
      </c>
      <c r="Z2689" s="54" t="e">
        <f t="shared" si="136"/>
        <v>#DIV/0!</v>
      </c>
      <c r="AB2689" s="1"/>
    </row>
    <row r="2690" spans="5:28">
      <c r="G2690" s="8"/>
      <c r="L2690" s="20"/>
      <c r="M2690" s="116" t="s">
        <v>2456</v>
      </c>
      <c r="N2690" s="117" t="s">
        <v>418</v>
      </c>
      <c r="O2690" s="117" t="s">
        <v>49</v>
      </c>
      <c r="P2690" s="20"/>
      <c r="Q2690" s="52">
        <f t="shared" si="132"/>
        <v>0</v>
      </c>
      <c r="R2690" s="52">
        <f t="shared" si="132"/>
        <v>0</v>
      </c>
      <c r="S2690" s="52">
        <f t="shared" si="132"/>
        <v>0</v>
      </c>
      <c r="T2690" s="52">
        <f t="shared" si="132"/>
        <v>0</v>
      </c>
      <c r="U2690" s="52">
        <f t="shared" si="132"/>
        <v>0</v>
      </c>
      <c r="W2690" s="159">
        <f t="shared" si="133"/>
        <v>0</v>
      </c>
      <c r="X2690" s="53">
        <f t="shared" si="134"/>
        <v>0</v>
      </c>
      <c r="Y2690" s="53">
        <f t="shared" si="135"/>
        <v>0</v>
      </c>
      <c r="Z2690" s="54" t="e">
        <f t="shared" si="136"/>
        <v>#DIV/0!</v>
      </c>
      <c r="AB2690" s="1"/>
    </row>
    <row r="2691" spans="5:28">
      <c r="G2691" s="8"/>
      <c r="L2691" s="20"/>
      <c r="M2691" s="116" t="s">
        <v>430</v>
      </c>
      <c r="N2691" s="117" t="s">
        <v>68</v>
      </c>
      <c r="O2691" s="117" t="s">
        <v>49</v>
      </c>
      <c r="P2691" s="20"/>
      <c r="Q2691" s="52">
        <f t="shared" si="132"/>
        <v>0</v>
      </c>
      <c r="R2691" s="52">
        <f t="shared" si="132"/>
        <v>0</v>
      </c>
      <c r="S2691" s="52">
        <f t="shared" si="132"/>
        <v>0</v>
      </c>
      <c r="T2691" s="52">
        <f t="shared" si="132"/>
        <v>0</v>
      </c>
      <c r="U2691" s="52">
        <f t="shared" si="132"/>
        <v>0</v>
      </c>
      <c r="W2691" s="159">
        <f t="shared" si="133"/>
        <v>0</v>
      </c>
      <c r="X2691" s="53">
        <f t="shared" si="134"/>
        <v>0</v>
      </c>
      <c r="Y2691" s="53">
        <f t="shared" si="135"/>
        <v>0</v>
      </c>
      <c r="Z2691" s="54" t="e">
        <f t="shared" si="136"/>
        <v>#DIV/0!</v>
      </c>
      <c r="AB2691" s="1"/>
    </row>
    <row r="2692" spans="5:28" ht="13">
      <c r="G2692" s="9"/>
      <c r="H2692" s="10"/>
      <c r="I2692" s="10"/>
      <c r="J2692" s="10"/>
      <c r="K2692" s="10"/>
      <c r="L2692" s="147"/>
      <c r="M2692" s="147"/>
      <c r="N2692" s="147"/>
      <c r="O2692" s="148"/>
      <c r="P2692" s="147"/>
      <c r="Q2692" s="26">
        <f>SUM(Q2670:Q2691)</f>
        <v>121943055</v>
      </c>
      <c r="R2692" s="26">
        <f>SUM(R2670:R2691)</f>
        <v>116757882</v>
      </c>
      <c r="S2692" s="26">
        <f>SUM(S2670:S2691)</f>
        <v>157644383</v>
      </c>
      <c r="T2692" s="26">
        <f>SUM(T2670:T2691)</f>
        <v>152228463</v>
      </c>
      <c r="U2692" s="26">
        <f>SUM(U2670:U2691)</f>
        <v>17452220.798000004</v>
      </c>
      <c r="V2692" s="10"/>
      <c r="W2692" s="10"/>
      <c r="X2692" s="55"/>
      <c r="Y2692" s="55"/>
      <c r="Z2692" s="56"/>
      <c r="AB2692" s="1"/>
    </row>
    <row r="2693" spans="5:28">
      <c r="L2693" s="20"/>
      <c r="M2693" s="20"/>
      <c r="N2693" s="20"/>
      <c r="O2693" s="20"/>
      <c r="P2693" s="20"/>
      <c r="AB2693" s="1"/>
    </row>
    <row r="2694" spans="5:28">
      <c r="X2694" s="1"/>
      <c r="Y2694" s="1"/>
      <c r="Z2694" s="1"/>
    </row>
    <row r="2695" spans="5:28">
      <c r="G2695" s="4" t="s">
        <v>41</v>
      </c>
      <c r="H2695" s="5" t="s">
        <v>392</v>
      </c>
      <c r="I2695" s="5"/>
      <c r="J2695" s="5"/>
      <c r="K2695" s="5"/>
      <c r="L2695" s="5"/>
      <c r="M2695" s="6" t="s">
        <v>386</v>
      </c>
      <c r="N2695" s="7" t="s">
        <v>43</v>
      </c>
      <c r="O2695" s="7" t="s">
        <v>44</v>
      </c>
      <c r="P2695" s="5"/>
      <c r="Q2695" s="49">
        <f t="shared" ref="Q2695:U2697" si="137">SUMIFS(Q$7:Q$2662,$K$7:$K$2662, "&lt;4",$G$7:$G$2662,$G$2695,$N$7:$N$2662,$N2695)</f>
        <v>0</v>
      </c>
      <c r="R2695" s="49">
        <f t="shared" si="137"/>
        <v>0</v>
      </c>
      <c r="S2695" s="49">
        <f t="shared" si="137"/>
        <v>0</v>
      </c>
      <c r="T2695" s="49">
        <f t="shared" si="137"/>
        <v>0</v>
      </c>
      <c r="U2695" s="49">
        <f t="shared" si="137"/>
        <v>0</v>
      </c>
      <c r="V2695" s="5"/>
      <c r="W2695" s="158">
        <f t="shared" ref="W2695:W2707" si="138">SUMIFS(T$7:T$2662,$K$7:$K$2662, "&lt;4",$G$7:$G$2662,$G$2695,$N$7:$N$2662,$N2695, $W$7:$W$2662, "=x")</f>
        <v>0</v>
      </c>
      <c r="X2695" s="50">
        <f>SUMIFS(T$7:T$2662,U$7:U$2662, "&gt;0",$K$7:$K$2662, "&lt;4",$G$7:$G$2662,$G$2695,$N$7:$N$2662,$N2695)</f>
        <v>0</v>
      </c>
      <c r="Y2695" s="50">
        <f>SUMIFS(U$7:U$2662,U$7:U$2662, "&gt;0",$K$7:$K$2662, "&lt;4",$G$7:$G$2662,$G$2695,$N$7:$N$2662,$N2695)</f>
        <v>0</v>
      </c>
      <c r="Z2695" s="51" t="e">
        <f t="shared" ref="Z2695:Z2707" si="139">X2695/Y2695</f>
        <v>#DIV/0!</v>
      </c>
    </row>
    <row r="2696" spans="5:28">
      <c r="G2696" s="8"/>
      <c r="M2696" s="2" t="s">
        <v>387</v>
      </c>
      <c r="N2696" s="3" t="s">
        <v>48</v>
      </c>
      <c r="O2696" s="3" t="s">
        <v>44</v>
      </c>
      <c r="Q2696" s="52">
        <f t="shared" si="137"/>
        <v>0</v>
      </c>
      <c r="R2696" s="52">
        <f t="shared" si="137"/>
        <v>0</v>
      </c>
      <c r="S2696" s="52">
        <f t="shared" si="137"/>
        <v>0</v>
      </c>
      <c r="T2696" s="159">
        <f t="shared" si="137"/>
        <v>0</v>
      </c>
      <c r="U2696" s="52">
        <f t="shared" si="137"/>
        <v>0</v>
      </c>
      <c r="W2696" s="159">
        <f t="shared" si="138"/>
        <v>0</v>
      </c>
      <c r="X2696" s="53">
        <f>SUMIFS(T$7:T$2662,U$7:U$2662, "&gt;0",$K$7:$K$2662, "&lt;4",$G$7:$G$2662,$G$2695,$N$7:$N$2662,$N2696)</f>
        <v>0</v>
      </c>
      <c r="Y2696" s="53">
        <f>SUMIFS(U$7:U$2662,U$7:U$2662, "&gt;0",$K$7:$K$2662, "&lt;4",$G$7:$G$2662,$G$2695,$N$7:$N$2662,$N2696)</f>
        <v>0</v>
      </c>
      <c r="Z2696" s="54" t="e">
        <f t="shared" si="139"/>
        <v>#DIV/0!</v>
      </c>
    </row>
    <row r="2697" spans="5:28">
      <c r="G2697" s="8"/>
      <c r="M2697" s="2" t="s">
        <v>375</v>
      </c>
      <c r="N2697" s="3" t="s">
        <v>46</v>
      </c>
      <c r="O2697" s="3" t="s">
        <v>46</v>
      </c>
      <c r="Q2697" s="52">
        <f t="shared" si="137"/>
        <v>80494</v>
      </c>
      <c r="R2697" s="52">
        <f t="shared" si="137"/>
        <v>77092</v>
      </c>
      <c r="S2697" s="52">
        <f t="shared" si="137"/>
        <v>467963</v>
      </c>
      <c r="T2697" s="159">
        <f t="shared" si="137"/>
        <v>448473</v>
      </c>
      <c r="U2697" s="52">
        <f t="shared" si="137"/>
        <v>40179.661</v>
      </c>
      <c r="W2697" s="159">
        <f t="shared" si="138"/>
        <v>209727</v>
      </c>
      <c r="X2697" s="53">
        <f>SUMIFS(T$7:T$2662,U$7:U$2662, "&gt;0",$K$7:$K$2662, "&lt;4",$G$7:$G$2662,$G$2695,$N$7:$N$2662,$N2697)</f>
        <v>448473</v>
      </c>
      <c r="Y2697" s="53">
        <f>SUMIFS(U$7:U$2662,U$7:U$2662, "&gt;0",$K$7:$K$2662, "&lt;4",$G$7:$G$2662,$G$2695,$N$7:$N$2662,$N2697)</f>
        <v>40179.661</v>
      </c>
      <c r="Z2697" s="54">
        <f t="shared" si="139"/>
        <v>11.161691981423138</v>
      </c>
    </row>
    <row r="2698" spans="5:28">
      <c r="G2698" s="8"/>
      <c r="K2698" s="592"/>
      <c r="L2698" s="592"/>
      <c r="M2698" s="607" t="s">
        <v>3002</v>
      </c>
      <c r="N2698" s="3" t="s">
        <v>39</v>
      </c>
      <c r="O2698" s="3" t="s">
        <v>39</v>
      </c>
      <c r="Q2698" s="52">
        <f>SUMIFS(Q$7:Q$2662,$K$7:$K$2662, "&lt;4",$G$7:$G$2662,$G$2695,$N$7:$N$2662,$N2698)-Q2847</f>
        <v>160974612</v>
      </c>
      <c r="R2698" s="52">
        <f>SUMIFS(R$7:R$2662,$K$7:$K$2662, "&lt;4",$G$7:$G$2662,$G$2695,$N$7:$N$2662,$N2698)-R2847</f>
        <v>160238079</v>
      </c>
      <c r="S2698" s="52">
        <f>SUMIFS(S$7:S$2662,$K$7:$K$2662, "&lt;4",$G$7:$G$2662,$G$2695,$N$7:$N$2662,$N2698)-S2847</f>
        <v>165905593</v>
      </c>
      <c r="T2698" s="159">
        <f>SUMIFS(T$7:T$2662,$K$7:$K$2662, "&lt;4",$G$7:$G$2662,$G$2695,$N$7:$N$2662,$N2698)-T2847</f>
        <v>165148480</v>
      </c>
      <c r="U2698" s="52">
        <f>SUMIFS(U$7:U$2662,$K$7:$K$2662, "&lt;4",$G$7:$G$2662,$G$2695,$N$7:$N$2662,$N2698)-U2847</f>
        <v>23167128.200000003</v>
      </c>
      <c r="V2698" s="592"/>
      <c r="W2698" s="159">
        <f t="shared" si="138"/>
        <v>162460420</v>
      </c>
      <c r="X2698" s="608">
        <f>SUMIFS(T$7:T$2662,U$7:U$2662, "&gt;0",$K$7:$K$2662, "&lt;4",$G$7:$G$2662,$G$2695,$N$7:$N$2662,$N2698)-X2847</f>
        <v>165147391</v>
      </c>
      <c r="Y2698" s="608">
        <f>SUMIFS(U$7:U$2662,U$7:U$2662, "&gt;0",$K$7:$K$2662, "&lt;4",$G$7:$G$2662,$G$2695,$N$7:$N$2662,$N2698)-Y2847</f>
        <v>23167133.689000003</v>
      </c>
      <c r="Z2698" s="609">
        <f t="shared" si="139"/>
        <v>7.1285206541719797</v>
      </c>
    </row>
    <row r="2699" spans="5:28">
      <c r="E2699" s="34">
        <f>T2699/(T2699+T2710)</f>
        <v>0.55000226133503061</v>
      </c>
      <c r="G2699" s="8"/>
      <c r="L2699" s="20"/>
      <c r="M2699" s="116" t="s">
        <v>388</v>
      </c>
      <c r="N2699" s="117" t="s">
        <v>17</v>
      </c>
      <c r="O2699" s="117" t="s">
        <v>82</v>
      </c>
      <c r="Q2699" s="52">
        <f t="shared" ref="Q2699:U2707" si="140">SUMIFS(Q$7:Q$2662,$K$7:$K$2662, "&lt;4",$G$7:$G$2662,$G$2695,$N$7:$N$2662,$N2699)</f>
        <v>621403</v>
      </c>
      <c r="R2699" s="52">
        <f t="shared" si="140"/>
        <v>621403</v>
      </c>
      <c r="S2699" s="52">
        <f t="shared" si="140"/>
        <v>9291010</v>
      </c>
      <c r="T2699" s="52">
        <f t="shared" si="140"/>
        <v>9291010</v>
      </c>
      <c r="U2699" s="52">
        <f t="shared" si="140"/>
        <v>491818.35399999999</v>
      </c>
      <c r="W2699" s="159">
        <f t="shared" si="138"/>
        <v>0</v>
      </c>
      <c r="X2699" s="53">
        <f t="shared" ref="X2699:X2707" si="141">SUMIFS(T$7:T$2662,U$7:U$2662, "&gt;0",$K$7:$K$2662, "&lt;4",$G$7:$G$2662,$G$2695,$N$7:$N$2662,$N2699)</f>
        <v>9291010</v>
      </c>
      <c r="Y2699" s="53">
        <f t="shared" ref="Y2699:Y2707" si="142">SUMIFS(U$7:U$2662,U$7:U$2662, "&gt;0",$K$7:$K$2662, "&lt;4",$G$7:$G$2662,$G$2695,$N$7:$N$2662,$N2699)</f>
        <v>491818.35399999999</v>
      </c>
      <c r="Z2699" s="54">
        <f t="shared" si="139"/>
        <v>18.891141260661453</v>
      </c>
    </row>
    <row r="2700" spans="5:28">
      <c r="E2700" s="34">
        <f>T2710/(T2699+T2710)</f>
        <v>0.44999773866496934</v>
      </c>
      <c r="G2700" s="8"/>
      <c r="L2700" s="20"/>
      <c r="M2700" s="116" t="s">
        <v>389</v>
      </c>
      <c r="N2700" s="117" t="s">
        <v>82</v>
      </c>
      <c r="O2700" s="117" t="s">
        <v>82</v>
      </c>
      <c r="Q2700" s="52">
        <f t="shared" si="140"/>
        <v>0</v>
      </c>
      <c r="R2700" s="52">
        <f t="shared" si="140"/>
        <v>0</v>
      </c>
      <c r="S2700" s="52">
        <f t="shared" si="140"/>
        <v>0</v>
      </c>
      <c r="T2700" s="52">
        <f t="shared" si="140"/>
        <v>0</v>
      </c>
      <c r="U2700" s="52">
        <f t="shared" si="140"/>
        <v>0</v>
      </c>
      <c r="W2700" s="159">
        <f t="shared" si="138"/>
        <v>0</v>
      </c>
      <c r="X2700" s="53">
        <f t="shared" si="141"/>
        <v>0</v>
      </c>
      <c r="Y2700" s="53">
        <f t="shared" si="142"/>
        <v>0</v>
      </c>
      <c r="Z2700" s="54" t="e">
        <f t="shared" si="139"/>
        <v>#DIV/0!</v>
      </c>
    </row>
    <row r="2701" spans="5:28">
      <c r="G2701" s="8"/>
      <c r="L2701" s="20"/>
      <c r="M2701" s="116" t="s">
        <v>384</v>
      </c>
      <c r="N2701" s="117" t="s">
        <v>396</v>
      </c>
      <c r="O2701" s="117" t="s">
        <v>82</v>
      </c>
      <c r="Q2701" s="52">
        <f t="shared" si="140"/>
        <v>0</v>
      </c>
      <c r="R2701" s="52">
        <f t="shared" si="140"/>
        <v>0</v>
      </c>
      <c r="S2701" s="52">
        <f t="shared" si="140"/>
        <v>0</v>
      </c>
      <c r="T2701" s="52">
        <f t="shared" si="140"/>
        <v>0</v>
      </c>
      <c r="U2701" s="52">
        <f t="shared" si="140"/>
        <v>0</v>
      </c>
      <c r="W2701" s="159">
        <f t="shared" si="138"/>
        <v>0</v>
      </c>
      <c r="X2701" s="53">
        <f t="shared" si="141"/>
        <v>0</v>
      </c>
      <c r="Y2701" s="53">
        <f t="shared" si="142"/>
        <v>0</v>
      </c>
      <c r="Z2701" s="54" t="e">
        <f t="shared" si="139"/>
        <v>#DIV/0!</v>
      </c>
    </row>
    <row r="2702" spans="5:28">
      <c r="G2702" s="8"/>
      <c r="L2702" s="20"/>
      <c r="M2702" s="116" t="s">
        <v>377</v>
      </c>
      <c r="N2702" s="117" t="s">
        <v>65</v>
      </c>
      <c r="O2702" s="117" t="s">
        <v>65</v>
      </c>
      <c r="Q2702" s="52">
        <f t="shared" si="140"/>
        <v>0</v>
      </c>
      <c r="R2702" s="52">
        <f t="shared" si="140"/>
        <v>0</v>
      </c>
      <c r="S2702" s="52">
        <f t="shared" si="140"/>
        <v>0</v>
      </c>
      <c r="T2702" s="52">
        <f t="shared" si="140"/>
        <v>0</v>
      </c>
      <c r="U2702" s="52">
        <f t="shared" si="140"/>
        <v>0</v>
      </c>
      <c r="W2702" s="159">
        <f t="shared" si="138"/>
        <v>0</v>
      </c>
      <c r="X2702" s="53">
        <f t="shared" si="141"/>
        <v>0</v>
      </c>
      <c r="Y2702" s="53">
        <f t="shared" si="142"/>
        <v>0</v>
      </c>
      <c r="Z2702" s="54" t="e">
        <f t="shared" si="139"/>
        <v>#DIV/0!</v>
      </c>
    </row>
    <row r="2703" spans="5:28">
      <c r="G2703" s="8"/>
      <c r="L2703" s="20"/>
      <c r="M2703" s="116" t="s">
        <v>376</v>
      </c>
      <c r="N2703" s="117" t="s">
        <v>61</v>
      </c>
      <c r="O2703" s="117" t="s">
        <v>61</v>
      </c>
      <c r="Q2703" s="52">
        <f t="shared" si="140"/>
        <v>496649</v>
      </c>
      <c r="R2703" s="52">
        <f t="shared" si="140"/>
        <v>496649</v>
      </c>
      <c r="S2703" s="52">
        <f t="shared" si="140"/>
        <v>3062008</v>
      </c>
      <c r="T2703" s="159">
        <f t="shared" si="140"/>
        <v>3062008</v>
      </c>
      <c r="U2703" s="52">
        <f t="shared" si="140"/>
        <v>249770.58500000002</v>
      </c>
      <c r="W2703" s="159">
        <f t="shared" si="138"/>
        <v>3055127</v>
      </c>
      <c r="X2703" s="53">
        <f t="shared" si="141"/>
        <v>3062008</v>
      </c>
      <c r="Y2703" s="53">
        <f t="shared" si="142"/>
        <v>249770.58500000002</v>
      </c>
      <c r="Z2703" s="54">
        <f t="shared" si="139"/>
        <v>12.259281852584841</v>
      </c>
    </row>
    <row r="2704" spans="5:28">
      <c r="G2704" s="8"/>
      <c r="L2704" s="20"/>
      <c r="M2704" s="116" t="s">
        <v>378</v>
      </c>
      <c r="N2704" s="117" t="s">
        <v>66</v>
      </c>
      <c r="O2704" s="117" t="s">
        <v>67</v>
      </c>
      <c r="Q2704" s="52">
        <f t="shared" si="140"/>
        <v>380</v>
      </c>
      <c r="R2704" s="52">
        <f t="shared" si="140"/>
        <v>380</v>
      </c>
      <c r="S2704" s="52">
        <f t="shared" si="140"/>
        <v>2280</v>
      </c>
      <c r="T2704" s="52">
        <f t="shared" si="140"/>
        <v>2280</v>
      </c>
      <c r="U2704" s="52">
        <f t="shared" si="140"/>
        <v>149</v>
      </c>
      <c r="W2704" s="159">
        <f t="shared" si="138"/>
        <v>0</v>
      </c>
      <c r="X2704" s="53">
        <f t="shared" si="141"/>
        <v>2280</v>
      </c>
      <c r="Y2704" s="53">
        <f t="shared" si="142"/>
        <v>149</v>
      </c>
      <c r="Z2704" s="54">
        <f t="shared" si="139"/>
        <v>15.302013422818792</v>
      </c>
    </row>
    <row r="2705" spans="7:26">
      <c r="G2705" s="8"/>
      <c r="L2705" s="20"/>
      <c r="M2705" s="116" t="s">
        <v>379</v>
      </c>
      <c r="N2705" s="117" t="s">
        <v>76</v>
      </c>
      <c r="O2705" s="117" t="s">
        <v>67</v>
      </c>
      <c r="Q2705" s="52">
        <f t="shared" si="140"/>
        <v>55221</v>
      </c>
      <c r="R2705" s="52">
        <f t="shared" si="140"/>
        <v>55221</v>
      </c>
      <c r="S2705" s="52">
        <f t="shared" si="140"/>
        <v>310897</v>
      </c>
      <c r="T2705" s="159">
        <f t="shared" si="140"/>
        <v>310897</v>
      </c>
      <c r="U2705" s="52">
        <f t="shared" si="140"/>
        <v>17692.368000000002</v>
      </c>
      <c r="W2705" s="159">
        <f t="shared" si="138"/>
        <v>158823</v>
      </c>
      <c r="X2705" s="53">
        <f t="shared" si="141"/>
        <v>257785</v>
      </c>
      <c r="Y2705" s="53">
        <f t="shared" si="142"/>
        <v>17959.879000000001</v>
      </c>
      <c r="Z2705" s="54">
        <f t="shared" si="139"/>
        <v>14.353381779465217</v>
      </c>
    </row>
    <row r="2706" spans="7:26">
      <c r="G2706" s="8"/>
      <c r="L2706" s="20"/>
      <c r="M2706" s="116" t="s">
        <v>380</v>
      </c>
      <c r="N2706" s="117" t="s">
        <v>73</v>
      </c>
      <c r="O2706" s="117" t="s">
        <v>67</v>
      </c>
      <c r="Q2706" s="52">
        <f t="shared" si="140"/>
        <v>0</v>
      </c>
      <c r="R2706" s="52">
        <f t="shared" si="140"/>
        <v>0</v>
      </c>
      <c r="S2706" s="52">
        <f t="shared" si="140"/>
        <v>0</v>
      </c>
      <c r="T2706" s="52">
        <f t="shared" si="140"/>
        <v>0</v>
      </c>
      <c r="U2706" s="52">
        <f t="shared" si="140"/>
        <v>0</v>
      </c>
      <c r="W2706" s="159">
        <f t="shared" si="138"/>
        <v>0</v>
      </c>
      <c r="X2706" s="53">
        <f t="shared" si="141"/>
        <v>0</v>
      </c>
      <c r="Y2706" s="53">
        <f t="shared" si="142"/>
        <v>0</v>
      </c>
      <c r="Z2706" s="54" t="e">
        <f t="shared" si="139"/>
        <v>#DIV/0!</v>
      </c>
    </row>
    <row r="2707" spans="7:26">
      <c r="G2707" s="8"/>
      <c r="L2707" s="20"/>
      <c r="M2707" s="116" t="s">
        <v>429</v>
      </c>
      <c r="N2707" s="117" t="s">
        <v>420</v>
      </c>
      <c r="O2707" s="117" t="s">
        <v>421</v>
      </c>
      <c r="Q2707" s="52">
        <f t="shared" si="140"/>
        <v>0</v>
      </c>
      <c r="R2707" s="52">
        <f t="shared" si="140"/>
        <v>0</v>
      </c>
      <c r="S2707" s="52">
        <f t="shared" si="140"/>
        <v>0</v>
      </c>
      <c r="T2707" s="52">
        <f t="shared" si="140"/>
        <v>0</v>
      </c>
      <c r="U2707" s="52">
        <f t="shared" si="140"/>
        <v>0</v>
      </c>
      <c r="W2707" s="159">
        <f t="shared" si="138"/>
        <v>0</v>
      </c>
      <c r="X2707" s="53">
        <f t="shared" si="141"/>
        <v>0</v>
      </c>
      <c r="Y2707" s="53">
        <f t="shared" si="142"/>
        <v>0</v>
      </c>
      <c r="Z2707" s="54" t="e">
        <f t="shared" si="139"/>
        <v>#DIV/0!</v>
      </c>
    </row>
    <row r="2708" spans="7:26">
      <c r="G2708" s="8"/>
      <c r="L2708" s="20"/>
      <c r="M2708" s="20"/>
      <c r="N2708" s="20"/>
      <c r="O2708" s="20"/>
      <c r="Q2708"/>
      <c r="R2708"/>
      <c r="S2708"/>
      <c r="T2708"/>
      <c r="U2708"/>
      <c r="Z2708" s="57"/>
    </row>
    <row r="2709" spans="7:26">
      <c r="G2709" s="8"/>
      <c r="H2709" t="s">
        <v>391</v>
      </c>
      <c r="L2709" s="20"/>
      <c r="M2709" s="116" t="s">
        <v>382</v>
      </c>
      <c r="N2709" s="117" t="s">
        <v>63</v>
      </c>
      <c r="O2709" s="117" t="s">
        <v>64</v>
      </c>
      <c r="Q2709" s="52">
        <f t="shared" ref="Q2709:U2716" si="143">SUMIFS(Q$7:Q$2662,$K$7:$K$2662, "&lt;4",$G$7:$G$2662,$G$2695,$N$7:$N$2662,$N2709)</f>
        <v>149551</v>
      </c>
      <c r="R2709" s="52">
        <f t="shared" si="143"/>
        <v>149551</v>
      </c>
      <c r="S2709" s="52">
        <f t="shared" si="143"/>
        <v>71934</v>
      </c>
      <c r="T2709" s="52">
        <f t="shared" si="143"/>
        <v>71934</v>
      </c>
      <c r="U2709" s="52">
        <f t="shared" si="143"/>
        <v>5708</v>
      </c>
      <c r="W2709" s="159">
        <f t="shared" ref="W2709:W2716" si="144">SUMIFS(T$7:T$2662,$K$7:$K$2662, "&lt;4",$G$7:$G$2662,$G$2695,$N$7:$N$2662,$N2709, $W$7:$W$2662, "=x")</f>
        <v>0</v>
      </c>
      <c r="X2709" s="53">
        <f t="shared" ref="X2709:X2716" si="145">SUMIFS(T$7:T$2662,U$7:U$2662, "&gt;0",$K$7:$K$2662, "&lt;4",$G$7:$G$2662,$G$2695,$N$7:$N$2662,$N2709)</f>
        <v>71934</v>
      </c>
      <c r="Y2709" s="53">
        <f t="shared" ref="Y2709:Y2716" si="146">SUMIFS(U$7:U$2662,U$7:U$2662, "&gt;0",$K$7:$K$2662, "&lt;4",$G$7:$G$2662,$G$2695,$N$7:$N$2662,$N2709)</f>
        <v>5708</v>
      </c>
      <c r="Z2709" s="54">
        <f t="shared" ref="Z2709:Z2716" si="147">X2709/Y2709</f>
        <v>12.602312543798178</v>
      </c>
    </row>
    <row r="2710" spans="7:26">
      <c r="G2710" s="8"/>
      <c r="L2710" s="20"/>
      <c r="M2710" s="116" t="s">
        <v>385</v>
      </c>
      <c r="N2710" s="117" t="s">
        <v>16</v>
      </c>
      <c r="O2710" s="117" t="s">
        <v>64</v>
      </c>
      <c r="Q2710" s="52">
        <f t="shared" si="143"/>
        <v>971932</v>
      </c>
      <c r="R2710" s="52">
        <f t="shared" si="143"/>
        <v>971932</v>
      </c>
      <c r="S2710" s="52">
        <f t="shared" si="143"/>
        <v>7601666</v>
      </c>
      <c r="T2710" s="52">
        <f t="shared" si="143"/>
        <v>7601666</v>
      </c>
      <c r="U2710" s="52">
        <f t="shared" si="143"/>
        <v>402392.93000000005</v>
      </c>
      <c r="W2710" s="159">
        <f t="shared" si="144"/>
        <v>0</v>
      </c>
      <c r="X2710" s="53">
        <f t="shared" si="145"/>
        <v>7601666</v>
      </c>
      <c r="Y2710" s="53">
        <f t="shared" si="146"/>
        <v>402392.93000000005</v>
      </c>
      <c r="Z2710" s="54">
        <f t="shared" si="147"/>
        <v>18.891151989176347</v>
      </c>
    </row>
    <row r="2711" spans="7:26">
      <c r="G2711" s="8"/>
      <c r="L2711" s="20"/>
      <c r="M2711" s="116" t="s">
        <v>381</v>
      </c>
      <c r="N2711" s="117" t="s">
        <v>151</v>
      </c>
      <c r="O2711" s="117" t="s">
        <v>70</v>
      </c>
      <c r="Q2711" s="52">
        <f t="shared" si="143"/>
        <v>0</v>
      </c>
      <c r="R2711" s="52">
        <f t="shared" si="143"/>
        <v>0</v>
      </c>
      <c r="S2711" s="52">
        <f t="shared" si="143"/>
        <v>0</v>
      </c>
      <c r="T2711" s="52">
        <f t="shared" si="143"/>
        <v>0</v>
      </c>
      <c r="U2711" s="52">
        <f t="shared" si="143"/>
        <v>0</v>
      </c>
      <c r="W2711" s="159">
        <f t="shared" si="144"/>
        <v>0</v>
      </c>
      <c r="X2711" s="53">
        <f t="shared" si="145"/>
        <v>0</v>
      </c>
      <c r="Y2711" s="53">
        <f t="shared" si="146"/>
        <v>0</v>
      </c>
      <c r="Z2711" s="54" t="e">
        <f t="shared" si="147"/>
        <v>#DIV/0!</v>
      </c>
    </row>
    <row r="2712" spans="7:26">
      <c r="G2712" s="8"/>
      <c r="L2712" s="20"/>
      <c r="M2712" s="116" t="s">
        <v>390</v>
      </c>
      <c r="N2712" s="117" t="s">
        <v>69</v>
      </c>
      <c r="O2712" s="117" t="s">
        <v>70</v>
      </c>
      <c r="Q2712" s="52">
        <f t="shared" si="143"/>
        <v>146218</v>
      </c>
      <c r="R2712" s="52">
        <f t="shared" si="143"/>
        <v>146218</v>
      </c>
      <c r="S2712" s="52">
        <f t="shared" si="143"/>
        <v>1345206</v>
      </c>
      <c r="T2712" s="52">
        <f t="shared" si="143"/>
        <v>1345206</v>
      </c>
      <c r="U2712" s="52">
        <f t="shared" si="143"/>
        <v>105270.05</v>
      </c>
      <c r="W2712" s="159">
        <f t="shared" si="144"/>
        <v>0</v>
      </c>
      <c r="X2712" s="53">
        <f t="shared" si="145"/>
        <v>1345206</v>
      </c>
      <c r="Y2712" s="53">
        <f t="shared" si="146"/>
        <v>105270.05</v>
      </c>
      <c r="Z2712" s="54">
        <f t="shared" si="147"/>
        <v>12.778620319834559</v>
      </c>
    </row>
    <row r="2713" spans="7:26">
      <c r="G2713" s="8"/>
      <c r="L2713" s="20"/>
      <c r="M2713" s="116" t="s">
        <v>383</v>
      </c>
      <c r="N2713" s="117" t="s">
        <v>152</v>
      </c>
      <c r="O2713" s="117" t="s">
        <v>49</v>
      </c>
      <c r="Q2713" s="52">
        <f t="shared" si="143"/>
        <v>0</v>
      </c>
      <c r="R2713" s="52">
        <f t="shared" si="143"/>
        <v>0</v>
      </c>
      <c r="S2713" s="52">
        <f t="shared" si="143"/>
        <v>0</v>
      </c>
      <c r="T2713" s="52">
        <f t="shared" si="143"/>
        <v>0</v>
      </c>
      <c r="U2713" s="52">
        <f t="shared" si="143"/>
        <v>0</v>
      </c>
      <c r="W2713" s="159">
        <f t="shared" si="144"/>
        <v>0</v>
      </c>
      <c r="X2713" s="53">
        <f t="shared" si="145"/>
        <v>0</v>
      </c>
      <c r="Y2713" s="53">
        <f t="shared" si="146"/>
        <v>0</v>
      </c>
      <c r="Z2713" s="54" t="e">
        <f t="shared" si="147"/>
        <v>#DIV/0!</v>
      </c>
    </row>
    <row r="2714" spans="7:26">
      <c r="G2714" s="8"/>
      <c r="L2714" s="20"/>
      <c r="M2714" s="116" t="s">
        <v>431</v>
      </c>
      <c r="N2714" s="117" t="s">
        <v>413</v>
      </c>
      <c r="O2714" s="117" t="s">
        <v>49</v>
      </c>
      <c r="Q2714" s="52">
        <f t="shared" si="143"/>
        <v>0</v>
      </c>
      <c r="R2714" s="52">
        <f t="shared" si="143"/>
        <v>0</v>
      </c>
      <c r="S2714" s="52">
        <f t="shared" si="143"/>
        <v>0</v>
      </c>
      <c r="T2714" s="52">
        <f t="shared" si="143"/>
        <v>0</v>
      </c>
      <c r="U2714" s="52">
        <f t="shared" si="143"/>
        <v>0</v>
      </c>
      <c r="W2714" s="159">
        <f t="shared" si="144"/>
        <v>0</v>
      </c>
      <c r="X2714" s="53">
        <f t="shared" si="145"/>
        <v>0</v>
      </c>
      <c r="Y2714" s="53">
        <f t="shared" si="146"/>
        <v>0</v>
      </c>
      <c r="Z2714" s="54" t="e">
        <f t="shared" si="147"/>
        <v>#DIV/0!</v>
      </c>
    </row>
    <row r="2715" spans="7:26">
      <c r="G2715" s="8"/>
      <c r="L2715" s="20"/>
      <c r="M2715" s="116" t="s">
        <v>2456</v>
      </c>
      <c r="N2715" s="117" t="s">
        <v>418</v>
      </c>
      <c r="O2715" s="117" t="s">
        <v>49</v>
      </c>
      <c r="Q2715" s="52">
        <f t="shared" si="143"/>
        <v>1547</v>
      </c>
      <c r="R2715" s="52">
        <f t="shared" si="143"/>
        <v>1547</v>
      </c>
      <c r="S2715" s="52">
        <f t="shared" si="143"/>
        <v>8353</v>
      </c>
      <c r="T2715" s="52">
        <f t="shared" si="143"/>
        <v>8353</v>
      </c>
      <c r="U2715" s="52">
        <f t="shared" si="143"/>
        <v>613.947</v>
      </c>
      <c r="W2715" s="159">
        <f t="shared" si="144"/>
        <v>0</v>
      </c>
      <c r="X2715" s="53">
        <f t="shared" si="145"/>
        <v>8353</v>
      </c>
      <c r="Y2715" s="53">
        <f t="shared" si="146"/>
        <v>613.947</v>
      </c>
      <c r="Z2715" s="54">
        <f t="shared" si="147"/>
        <v>13.605408935950498</v>
      </c>
    </row>
    <row r="2716" spans="7:26">
      <c r="G2716" s="8"/>
      <c r="L2716" s="20"/>
      <c r="M2716" s="116" t="s">
        <v>430</v>
      </c>
      <c r="N2716" s="117" t="s">
        <v>68</v>
      </c>
      <c r="O2716" s="117" t="s">
        <v>49</v>
      </c>
      <c r="Q2716" s="52">
        <f t="shared" si="143"/>
        <v>0</v>
      </c>
      <c r="R2716" s="52">
        <f t="shared" si="143"/>
        <v>0</v>
      </c>
      <c r="S2716" s="52">
        <f t="shared" si="143"/>
        <v>0</v>
      </c>
      <c r="T2716" s="52">
        <f t="shared" si="143"/>
        <v>0</v>
      </c>
      <c r="U2716" s="52">
        <f t="shared" si="143"/>
        <v>0</v>
      </c>
      <c r="W2716" s="159">
        <f t="shared" si="144"/>
        <v>0</v>
      </c>
      <c r="X2716" s="53">
        <f t="shared" si="145"/>
        <v>0</v>
      </c>
      <c r="Y2716" s="53">
        <f t="shared" si="146"/>
        <v>0</v>
      </c>
      <c r="Z2716" s="54" t="e">
        <f t="shared" si="147"/>
        <v>#DIV/0!</v>
      </c>
    </row>
    <row r="2717" spans="7:26" ht="13">
      <c r="G2717" s="9"/>
      <c r="H2717" s="10"/>
      <c r="I2717" s="10"/>
      <c r="J2717" s="10"/>
      <c r="K2717" s="10"/>
      <c r="L2717" s="147"/>
      <c r="M2717" s="147"/>
      <c r="N2717" s="147"/>
      <c r="O2717" s="148"/>
      <c r="P2717" s="10"/>
      <c r="Q2717" s="26">
        <f>SUM(Q2695:Q2716)</f>
        <v>163498007</v>
      </c>
      <c r="R2717" s="26">
        <f>SUM(R2695:R2716)</f>
        <v>162758072</v>
      </c>
      <c r="S2717" s="26">
        <f>SUM(S2695:S2716)</f>
        <v>188066910</v>
      </c>
      <c r="T2717" s="26">
        <f>SUM(T2695:T2716)</f>
        <v>187290307</v>
      </c>
      <c r="U2717" s="26">
        <f>SUM(U2695:U2716)</f>
        <v>24480723.095000003</v>
      </c>
      <c r="V2717" s="10"/>
      <c r="W2717" s="10"/>
      <c r="X2717" s="55"/>
      <c r="Y2717" s="55"/>
      <c r="Z2717" s="56"/>
    </row>
    <row r="2718" spans="7:26">
      <c r="L2718" s="20"/>
      <c r="M2718" s="20"/>
      <c r="N2718" s="20"/>
      <c r="O2718" s="20"/>
    </row>
    <row r="2719" spans="7:26">
      <c r="L2719" s="20"/>
      <c r="M2719" s="20"/>
      <c r="N2719" s="20"/>
      <c r="O2719" s="20"/>
      <c r="X2719" s="1"/>
      <c r="Y2719" s="1"/>
      <c r="Z2719" s="1"/>
    </row>
    <row r="2720" spans="7:26">
      <c r="G2720" s="4" t="s">
        <v>90</v>
      </c>
      <c r="H2720" s="5" t="s">
        <v>392</v>
      </c>
      <c r="I2720" s="5"/>
      <c r="J2720" s="5"/>
      <c r="K2720" s="5"/>
      <c r="L2720" s="149"/>
      <c r="M2720" s="150" t="s">
        <v>386</v>
      </c>
      <c r="N2720" s="151" t="s">
        <v>43</v>
      </c>
      <c r="O2720" s="151" t="s">
        <v>44</v>
      </c>
      <c r="P2720" s="5"/>
      <c r="Q2720" s="49">
        <f t="shared" ref="Q2720:U2732" si="148">SUMIFS(Q$7:Q$2662,$K$7:$K$2662, "&lt;4",$G$7:$G$2662,$G$2720,$N$7:$N$2662,$N2720)</f>
        <v>65391</v>
      </c>
      <c r="R2720" s="49">
        <f t="shared" si="148"/>
        <v>12274</v>
      </c>
      <c r="S2720" s="49">
        <f t="shared" si="148"/>
        <v>1269276</v>
      </c>
      <c r="T2720" s="49">
        <f t="shared" si="148"/>
        <v>238241</v>
      </c>
      <c r="U2720" s="49">
        <f t="shared" si="148"/>
        <v>42442.264999999999</v>
      </c>
      <c r="V2720" s="5"/>
      <c r="W2720" s="158">
        <f t="shared" ref="W2720:W2732" si="149">SUMIFS(T$7:T$2662,$K$7:$K$2662, "&lt;4",$G$7:$G$2662,$G$2720,$N$7:$N$2662,$N2720, $W$7:$W$2662, "=x")</f>
        <v>0</v>
      </c>
      <c r="X2720" s="50">
        <f t="shared" ref="X2720:X2732" si="150">SUMIFS(T$7:T$2662,U$7:U$2662, "&gt;0",$K$7:$K$2662, "&lt;4",$G$7:$G$2662,$G$2720,$N$7:$N$2662,$N2720)</f>
        <v>238241</v>
      </c>
      <c r="Y2720" s="50">
        <f t="shared" ref="Y2720:Y2732" si="151">SUMIFS(U$7:U$2662,U$7:U$2662, "&gt;0",$K$7:$K$2662, "&lt;4",$G$7:$G$2662,$G$2720,$N$7:$N$2662,$N2720)</f>
        <v>42442.264999999999</v>
      </c>
      <c r="Z2720" s="51">
        <f t="shared" ref="Z2720:Z2732" si="152">X2720/Y2720</f>
        <v>5.6132960858710064</v>
      </c>
    </row>
    <row r="2721" spans="5:26">
      <c r="G2721" s="8"/>
      <c r="L2721" s="20"/>
      <c r="M2721" s="116" t="s">
        <v>387</v>
      </c>
      <c r="N2721" s="117" t="s">
        <v>48</v>
      </c>
      <c r="O2721" s="117" t="s">
        <v>44</v>
      </c>
      <c r="Q2721" s="52">
        <f t="shared" si="148"/>
        <v>0</v>
      </c>
      <c r="R2721" s="52">
        <f t="shared" si="148"/>
        <v>0</v>
      </c>
      <c r="S2721" s="52">
        <f t="shared" si="148"/>
        <v>0</v>
      </c>
      <c r="T2721" s="52">
        <f t="shared" si="148"/>
        <v>0</v>
      </c>
      <c r="U2721" s="52">
        <f t="shared" si="148"/>
        <v>0</v>
      </c>
      <c r="W2721" s="159">
        <f t="shared" si="149"/>
        <v>0</v>
      </c>
      <c r="X2721" s="53">
        <f t="shared" si="150"/>
        <v>0</v>
      </c>
      <c r="Y2721" s="53">
        <f t="shared" si="151"/>
        <v>0</v>
      </c>
      <c r="Z2721" s="54" t="e">
        <f t="shared" si="152"/>
        <v>#DIV/0!</v>
      </c>
    </row>
    <row r="2722" spans="5:26">
      <c r="G2722" s="8"/>
      <c r="L2722" s="20"/>
      <c r="M2722" s="116" t="s">
        <v>375</v>
      </c>
      <c r="N2722" s="117" t="s">
        <v>46</v>
      </c>
      <c r="O2722" s="117" t="s">
        <v>46</v>
      </c>
      <c r="P2722" s="20"/>
      <c r="Q2722" s="52">
        <f t="shared" si="148"/>
        <v>8351</v>
      </c>
      <c r="R2722" s="52">
        <f t="shared" si="148"/>
        <v>8351</v>
      </c>
      <c r="S2722" s="52">
        <f t="shared" si="148"/>
        <v>48493</v>
      </c>
      <c r="T2722" s="159">
        <f t="shared" si="148"/>
        <v>48493</v>
      </c>
      <c r="U2722" s="52">
        <f t="shared" si="148"/>
        <v>3472.8380000000002</v>
      </c>
      <c r="W2722" s="159">
        <f t="shared" si="149"/>
        <v>42668</v>
      </c>
      <c r="X2722" s="53">
        <f t="shared" si="150"/>
        <v>48493</v>
      </c>
      <c r="Y2722" s="53">
        <f t="shared" si="151"/>
        <v>3472.8380000000002</v>
      </c>
      <c r="Z2722" s="54">
        <f t="shared" si="152"/>
        <v>13.963507655698306</v>
      </c>
    </row>
    <row r="2723" spans="5:26">
      <c r="G2723" s="8"/>
      <c r="L2723" s="20"/>
      <c r="M2723" s="116" t="s">
        <v>374</v>
      </c>
      <c r="N2723" s="117" t="s">
        <v>39</v>
      </c>
      <c r="O2723" s="117" t="s">
        <v>39</v>
      </c>
      <c r="P2723" s="20"/>
      <c r="Q2723" s="52">
        <f t="shared" si="148"/>
        <v>25027845</v>
      </c>
      <c r="R2723" s="52">
        <f t="shared" si="148"/>
        <v>25027845</v>
      </c>
      <c r="S2723" s="52">
        <f t="shared" si="148"/>
        <v>26076646</v>
      </c>
      <c r="T2723" s="159">
        <f t="shared" si="148"/>
        <v>26076646</v>
      </c>
      <c r="U2723" s="52">
        <f t="shared" si="148"/>
        <v>3566798.1510000001</v>
      </c>
      <c r="W2723" s="159">
        <f t="shared" si="149"/>
        <v>26061496</v>
      </c>
      <c r="X2723" s="53">
        <f t="shared" si="150"/>
        <v>26076646</v>
      </c>
      <c r="Y2723" s="53">
        <f t="shared" si="151"/>
        <v>3566798.1510000001</v>
      </c>
      <c r="Z2723" s="54">
        <f t="shared" si="152"/>
        <v>7.3109396427967361</v>
      </c>
    </row>
    <row r="2724" spans="5:26">
      <c r="E2724" s="34">
        <f>T2724/(T2724+T2735)</f>
        <v>0.55000357736669503</v>
      </c>
      <c r="G2724" s="8"/>
      <c r="L2724" s="20"/>
      <c r="M2724" s="116" t="s">
        <v>388</v>
      </c>
      <c r="N2724" s="117" t="s">
        <v>17</v>
      </c>
      <c r="O2724" s="117" t="s">
        <v>82</v>
      </c>
      <c r="P2724" s="20"/>
      <c r="Q2724" s="52">
        <f t="shared" si="148"/>
        <v>36522</v>
      </c>
      <c r="R2724" s="52">
        <f t="shared" si="148"/>
        <v>36522</v>
      </c>
      <c r="S2724" s="52">
        <f t="shared" si="148"/>
        <v>515047</v>
      </c>
      <c r="T2724" s="52">
        <f t="shared" si="148"/>
        <v>515047</v>
      </c>
      <c r="U2724" s="52">
        <f t="shared" si="148"/>
        <v>21329.087</v>
      </c>
      <c r="W2724" s="159">
        <f t="shared" si="149"/>
        <v>0</v>
      </c>
      <c r="X2724" s="53">
        <f t="shared" si="150"/>
        <v>515047</v>
      </c>
      <c r="Y2724" s="53">
        <f t="shared" si="151"/>
        <v>21329.087</v>
      </c>
      <c r="Z2724" s="54">
        <f t="shared" si="152"/>
        <v>24.147634636212981</v>
      </c>
    </row>
    <row r="2725" spans="5:26">
      <c r="E2725" s="34">
        <f>T2735/(T2724+T2735)</f>
        <v>0.44999642263330497</v>
      </c>
      <c r="G2725" s="8"/>
      <c r="L2725" s="20"/>
      <c r="M2725" s="116" t="s">
        <v>389</v>
      </c>
      <c r="N2725" s="117" t="s">
        <v>82</v>
      </c>
      <c r="O2725" s="117" t="s">
        <v>82</v>
      </c>
      <c r="P2725" s="20"/>
      <c r="Q2725" s="52">
        <f t="shared" si="148"/>
        <v>0</v>
      </c>
      <c r="R2725" s="52">
        <f t="shared" si="148"/>
        <v>0</v>
      </c>
      <c r="S2725" s="52">
        <f t="shared" si="148"/>
        <v>0</v>
      </c>
      <c r="T2725" s="52">
        <f t="shared" si="148"/>
        <v>0</v>
      </c>
      <c r="U2725" s="52">
        <f t="shared" si="148"/>
        <v>0</v>
      </c>
      <c r="W2725" s="159">
        <f t="shared" si="149"/>
        <v>0</v>
      </c>
      <c r="X2725" s="53">
        <f t="shared" si="150"/>
        <v>0</v>
      </c>
      <c r="Y2725" s="53">
        <f t="shared" si="151"/>
        <v>0</v>
      </c>
      <c r="Z2725" s="54" t="e">
        <f t="shared" si="152"/>
        <v>#DIV/0!</v>
      </c>
    </row>
    <row r="2726" spans="5:26">
      <c r="G2726" s="8"/>
      <c r="L2726" s="20"/>
      <c r="M2726" s="116" t="s">
        <v>384</v>
      </c>
      <c r="N2726" s="117" t="s">
        <v>396</v>
      </c>
      <c r="O2726" s="117" t="s">
        <v>82</v>
      </c>
      <c r="P2726" s="20"/>
      <c r="Q2726" s="52">
        <f t="shared" si="148"/>
        <v>77099</v>
      </c>
      <c r="R2726" s="52">
        <f t="shared" si="148"/>
        <v>14694</v>
      </c>
      <c r="S2726" s="52">
        <f t="shared" si="148"/>
        <v>2312970</v>
      </c>
      <c r="T2726" s="52">
        <f t="shared" si="148"/>
        <v>440869</v>
      </c>
      <c r="U2726" s="52">
        <f t="shared" si="148"/>
        <v>78779.656000000003</v>
      </c>
      <c r="W2726" s="159">
        <f t="shared" si="149"/>
        <v>0</v>
      </c>
      <c r="X2726" s="53">
        <f t="shared" si="150"/>
        <v>440869</v>
      </c>
      <c r="Y2726" s="53">
        <f t="shared" si="151"/>
        <v>78779.656000000003</v>
      </c>
      <c r="Z2726" s="54">
        <f t="shared" si="152"/>
        <v>5.5962290569027111</v>
      </c>
    </row>
    <row r="2727" spans="5:26">
      <c r="G2727" s="8"/>
      <c r="L2727" s="20"/>
      <c r="M2727" s="116" t="s">
        <v>377</v>
      </c>
      <c r="N2727" s="117" t="s">
        <v>65</v>
      </c>
      <c r="O2727" s="117" t="s">
        <v>65</v>
      </c>
      <c r="P2727" s="20"/>
      <c r="Q2727" s="52">
        <f t="shared" si="148"/>
        <v>0</v>
      </c>
      <c r="R2727" s="52">
        <f t="shared" si="148"/>
        <v>0</v>
      </c>
      <c r="S2727" s="52">
        <f t="shared" si="148"/>
        <v>0</v>
      </c>
      <c r="T2727" s="52">
        <f t="shared" si="148"/>
        <v>0</v>
      </c>
      <c r="U2727" s="52">
        <f t="shared" si="148"/>
        <v>0</v>
      </c>
      <c r="W2727" s="159">
        <f t="shared" si="149"/>
        <v>0</v>
      </c>
      <c r="X2727" s="53">
        <f t="shared" si="150"/>
        <v>0</v>
      </c>
      <c r="Y2727" s="53">
        <f t="shared" si="151"/>
        <v>0</v>
      </c>
      <c r="Z2727" s="54" t="e">
        <f t="shared" si="152"/>
        <v>#DIV/0!</v>
      </c>
    </row>
    <row r="2728" spans="5:26">
      <c r="G2728" s="8"/>
      <c r="L2728" s="20"/>
      <c r="M2728" s="116" t="s">
        <v>376</v>
      </c>
      <c r="N2728" s="117" t="s">
        <v>61</v>
      </c>
      <c r="O2728" s="117" t="s">
        <v>61</v>
      </c>
      <c r="P2728" s="20"/>
      <c r="Q2728" s="52">
        <f t="shared" si="148"/>
        <v>480940</v>
      </c>
      <c r="R2728" s="52">
        <f t="shared" si="148"/>
        <v>426670</v>
      </c>
      <c r="S2728" s="52">
        <f t="shared" si="148"/>
        <v>2980924</v>
      </c>
      <c r="T2728" s="159">
        <f t="shared" si="148"/>
        <v>2648190</v>
      </c>
      <c r="U2728" s="52">
        <f t="shared" si="148"/>
        <v>248061.95699999999</v>
      </c>
      <c r="W2728" s="159">
        <f t="shared" si="149"/>
        <v>2572901</v>
      </c>
      <c r="X2728" s="53">
        <f t="shared" si="150"/>
        <v>2648190</v>
      </c>
      <c r="Y2728" s="53">
        <f t="shared" si="151"/>
        <v>248061.95699999999</v>
      </c>
      <c r="Z2728" s="54">
        <f t="shared" si="152"/>
        <v>10.675518455254306</v>
      </c>
    </row>
    <row r="2729" spans="5:26">
      <c r="G2729" s="8"/>
      <c r="L2729" s="20"/>
      <c r="M2729" s="116" t="s">
        <v>378</v>
      </c>
      <c r="N2729" s="117" t="s">
        <v>66</v>
      </c>
      <c r="O2729" s="117" t="s">
        <v>67</v>
      </c>
      <c r="P2729" s="20"/>
      <c r="Q2729" s="52">
        <f t="shared" si="148"/>
        <v>0</v>
      </c>
      <c r="R2729" s="52">
        <f t="shared" si="148"/>
        <v>0</v>
      </c>
      <c r="S2729" s="52">
        <f t="shared" si="148"/>
        <v>0</v>
      </c>
      <c r="T2729" s="52">
        <f t="shared" si="148"/>
        <v>0</v>
      </c>
      <c r="U2729" s="52">
        <f t="shared" si="148"/>
        <v>0</v>
      </c>
      <c r="W2729" s="159">
        <f t="shared" si="149"/>
        <v>0</v>
      </c>
      <c r="X2729" s="53">
        <f t="shared" si="150"/>
        <v>0</v>
      </c>
      <c r="Y2729" s="53">
        <f t="shared" si="151"/>
        <v>0</v>
      </c>
      <c r="Z2729" s="54" t="e">
        <f t="shared" si="152"/>
        <v>#DIV/0!</v>
      </c>
    </row>
    <row r="2730" spans="5:26">
      <c r="G2730" s="8"/>
      <c r="L2730" s="20"/>
      <c r="M2730" s="116" t="s">
        <v>379</v>
      </c>
      <c r="N2730" s="117" t="s">
        <v>76</v>
      </c>
      <c r="O2730" s="117" t="s">
        <v>67</v>
      </c>
      <c r="P2730" s="20"/>
      <c r="Q2730" s="52">
        <f t="shared" si="148"/>
        <v>0</v>
      </c>
      <c r="R2730" s="52">
        <f t="shared" si="148"/>
        <v>0</v>
      </c>
      <c r="S2730" s="52">
        <f t="shared" si="148"/>
        <v>0</v>
      </c>
      <c r="T2730" s="52">
        <f t="shared" si="148"/>
        <v>0</v>
      </c>
      <c r="U2730" s="52">
        <f t="shared" si="148"/>
        <v>0</v>
      </c>
      <c r="W2730" s="159">
        <f t="shared" si="149"/>
        <v>0</v>
      </c>
      <c r="X2730" s="53">
        <f t="shared" si="150"/>
        <v>0</v>
      </c>
      <c r="Y2730" s="53">
        <f t="shared" si="151"/>
        <v>0</v>
      </c>
      <c r="Z2730" s="54" t="e">
        <f t="shared" si="152"/>
        <v>#DIV/0!</v>
      </c>
    </row>
    <row r="2731" spans="5:26">
      <c r="G2731" s="8"/>
      <c r="L2731" s="20"/>
      <c r="M2731" s="116" t="s">
        <v>380</v>
      </c>
      <c r="N2731" s="117" t="s">
        <v>73</v>
      </c>
      <c r="O2731" s="117" t="s">
        <v>67</v>
      </c>
      <c r="P2731" s="20"/>
      <c r="Q2731" s="52">
        <f t="shared" si="148"/>
        <v>0</v>
      </c>
      <c r="R2731" s="52">
        <f t="shared" si="148"/>
        <v>0</v>
      </c>
      <c r="S2731" s="52">
        <f t="shared" si="148"/>
        <v>0</v>
      </c>
      <c r="T2731" s="52">
        <f t="shared" si="148"/>
        <v>0</v>
      </c>
      <c r="U2731" s="52">
        <f t="shared" si="148"/>
        <v>0</v>
      </c>
      <c r="W2731" s="159">
        <f t="shared" si="149"/>
        <v>0</v>
      </c>
      <c r="X2731" s="53">
        <f t="shared" si="150"/>
        <v>0</v>
      </c>
      <c r="Y2731" s="53">
        <f t="shared" si="151"/>
        <v>0</v>
      </c>
      <c r="Z2731" s="54" t="e">
        <f t="shared" si="152"/>
        <v>#DIV/0!</v>
      </c>
    </row>
    <row r="2732" spans="5:26">
      <c r="G2732" s="8"/>
      <c r="L2732" s="20"/>
      <c r="M2732" s="116" t="s">
        <v>429</v>
      </c>
      <c r="N2732" s="117" t="s">
        <v>420</v>
      </c>
      <c r="O2732" s="117" t="s">
        <v>421</v>
      </c>
      <c r="P2732" s="20"/>
      <c r="Q2732" s="52">
        <f t="shared" si="148"/>
        <v>2628</v>
      </c>
      <c r="R2732" s="52">
        <f t="shared" si="148"/>
        <v>2628</v>
      </c>
      <c r="S2732" s="52">
        <f t="shared" si="148"/>
        <v>6573</v>
      </c>
      <c r="T2732" s="52">
        <f t="shared" si="148"/>
        <v>6573</v>
      </c>
      <c r="U2732" s="52">
        <f t="shared" si="148"/>
        <v>222.23599999999999</v>
      </c>
      <c r="W2732" s="159">
        <f t="shared" si="149"/>
        <v>0</v>
      </c>
      <c r="X2732" s="53">
        <f t="shared" si="150"/>
        <v>6573</v>
      </c>
      <c r="Y2732" s="53">
        <f t="shared" si="151"/>
        <v>222.23599999999999</v>
      </c>
      <c r="Z2732" s="54">
        <f t="shared" si="152"/>
        <v>29.576666246692707</v>
      </c>
    </row>
    <row r="2733" spans="5:26">
      <c r="G2733" s="8"/>
      <c r="L2733" s="20"/>
      <c r="M2733" s="20"/>
      <c r="N2733" s="20"/>
      <c r="O2733" s="20"/>
      <c r="P2733" s="20"/>
      <c r="Q2733"/>
      <c r="R2733"/>
      <c r="S2733"/>
      <c r="T2733"/>
      <c r="U2733"/>
      <c r="Z2733" s="57"/>
    </row>
    <row r="2734" spans="5:26">
      <c r="G2734" s="8"/>
      <c r="H2734" t="s">
        <v>391</v>
      </c>
      <c r="L2734" s="20"/>
      <c r="M2734" s="116" t="s">
        <v>382</v>
      </c>
      <c r="N2734" s="117" t="s">
        <v>63</v>
      </c>
      <c r="O2734" s="117" t="s">
        <v>64</v>
      </c>
      <c r="P2734" s="20"/>
      <c r="Q2734" s="52">
        <f t="shared" ref="Q2734:U2741" si="153">SUMIFS(Q$7:Q$2662,$K$7:$K$2662, "&lt;4",$G$7:$G$2662,$G$2720,$N$7:$N$2662,$N2734)</f>
        <v>485390</v>
      </c>
      <c r="R2734" s="52">
        <f t="shared" si="153"/>
        <v>485390</v>
      </c>
      <c r="S2734" s="52">
        <f t="shared" si="153"/>
        <v>251433</v>
      </c>
      <c r="T2734" s="52">
        <f t="shared" si="153"/>
        <v>251433</v>
      </c>
      <c r="U2734" s="52">
        <f t="shared" si="153"/>
        <v>23035</v>
      </c>
      <c r="W2734" s="159">
        <f t="shared" ref="W2734:W2741" si="154">SUMIFS(T$7:T$2662,$K$7:$K$2662, "&lt;4",$G$7:$G$2662,$G$2720,$N$7:$N$2662,$N2734, $W$7:$W$2662, "=x")</f>
        <v>0</v>
      </c>
      <c r="X2734" s="53">
        <f t="shared" ref="X2734:X2741" si="155">SUMIFS(T$7:T$2662,U$7:U$2662, "&gt;0",$K$7:$K$2662, "&lt;4",$G$7:$G$2662,$G$2720,$N$7:$N$2662,$N2734)</f>
        <v>251433</v>
      </c>
      <c r="Y2734" s="53">
        <f t="shared" ref="Y2734:Y2741" si="156">SUMIFS(U$7:U$2662,U$7:U$2662, "&gt;0",$K$7:$K$2662, "&lt;4",$G$7:$G$2662,$G$2720,$N$7:$N$2662,$N2734)</f>
        <v>23035</v>
      </c>
      <c r="Z2734" s="54">
        <f t="shared" ref="Z2734:Z2741" si="157">X2734/Y2734</f>
        <v>10.915259387887996</v>
      </c>
    </row>
    <row r="2735" spans="5:26">
      <c r="G2735" s="8"/>
      <c r="L2735" s="20"/>
      <c r="M2735" s="116" t="s">
        <v>385</v>
      </c>
      <c r="N2735" s="117" t="s">
        <v>16</v>
      </c>
      <c r="O2735" s="117" t="s">
        <v>64</v>
      </c>
      <c r="P2735" s="20"/>
      <c r="Q2735" s="52">
        <f t="shared" si="153"/>
        <v>57122</v>
      </c>
      <c r="R2735" s="52">
        <f t="shared" si="153"/>
        <v>57122</v>
      </c>
      <c r="S2735" s="52">
        <f t="shared" si="153"/>
        <v>421396</v>
      </c>
      <c r="T2735" s="52">
        <f t="shared" si="153"/>
        <v>421396</v>
      </c>
      <c r="U2735" s="52">
        <f t="shared" si="153"/>
        <v>17450.768</v>
      </c>
      <c r="W2735" s="159">
        <f t="shared" si="154"/>
        <v>0</v>
      </c>
      <c r="X2735" s="53">
        <f t="shared" si="155"/>
        <v>421396</v>
      </c>
      <c r="Y2735" s="53">
        <f t="shared" si="156"/>
        <v>17450.768</v>
      </c>
      <c r="Z2735" s="54">
        <f t="shared" si="157"/>
        <v>24.147705132519096</v>
      </c>
    </row>
    <row r="2736" spans="5:26">
      <c r="G2736" s="8"/>
      <c r="L2736" s="20"/>
      <c r="M2736" s="116" t="s">
        <v>381</v>
      </c>
      <c r="N2736" s="117" t="s">
        <v>151</v>
      </c>
      <c r="O2736" s="117" t="s">
        <v>70</v>
      </c>
      <c r="P2736" s="20"/>
      <c r="Q2736" s="52">
        <f t="shared" si="153"/>
        <v>532826</v>
      </c>
      <c r="R2736" s="52">
        <f t="shared" si="153"/>
        <v>101622</v>
      </c>
      <c r="S2736" s="52">
        <f t="shared" si="153"/>
        <v>6127502</v>
      </c>
      <c r="T2736" s="52">
        <f t="shared" si="153"/>
        <v>1168631</v>
      </c>
      <c r="U2736" s="52">
        <f t="shared" si="153"/>
        <v>209426.59</v>
      </c>
      <c r="W2736" s="159">
        <f t="shared" si="154"/>
        <v>0</v>
      </c>
      <c r="X2736" s="53">
        <f t="shared" si="155"/>
        <v>1168631</v>
      </c>
      <c r="Y2736" s="53">
        <f t="shared" si="156"/>
        <v>209426.59</v>
      </c>
      <c r="Z2736" s="54">
        <f t="shared" si="157"/>
        <v>5.5801462459948379</v>
      </c>
    </row>
    <row r="2737" spans="7:26">
      <c r="G2737" s="8"/>
      <c r="L2737" s="20"/>
      <c r="M2737" s="116" t="s">
        <v>390</v>
      </c>
      <c r="N2737" s="117" t="s">
        <v>69</v>
      </c>
      <c r="O2737" s="117" t="s">
        <v>70</v>
      </c>
      <c r="P2737" s="20"/>
      <c r="Q2737" s="52">
        <f t="shared" si="153"/>
        <v>1450633</v>
      </c>
      <c r="R2737" s="52">
        <f t="shared" si="153"/>
        <v>1181349</v>
      </c>
      <c r="S2737" s="52">
        <f t="shared" si="153"/>
        <v>12117486</v>
      </c>
      <c r="T2737" s="52">
        <f t="shared" si="153"/>
        <v>9828556</v>
      </c>
      <c r="U2737" s="52">
        <f t="shared" si="153"/>
        <v>748890.3060000001</v>
      </c>
      <c r="W2737" s="159">
        <f t="shared" si="154"/>
        <v>0</v>
      </c>
      <c r="X2737" s="53">
        <f t="shared" si="155"/>
        <v>9828556</v>
      </c>
      <c r="Y2737" s="53">
        <f t="shared" si="156"/>
        <v>748890.3060000001</v>
      </c>
      <c r="Z2737" s="54">
        <f t="shared" si="157"/>
        <v>13.124159735084085</v>
      </c>
    </row>
    <row r="2738" spans="7:26">
      <c r="G2738" s="8"/>
      <c r="L2738" s="20"/>
      <c r="M2738" s="116" t="s">
        <v>383</v>
      </c>
      <c r="N2738" s="117" t="s">
        <v>152</v>
      </c>
      <c r="O2738" s="117" t="s">
        <v>49</v>
      </c>
      <c r="P2738" s="20"/>
      <c r="Q2738" s="52">
        <f t="shared" si="153"/>
        <v>25107</v>
      </c>
      <c r="R2738" s="52">
        <f t="shared" si="153"/>
        <v>4823</v>
      </c>
      <c r="S2738" s="52">
        <f t="shared" si="153"/>
        <v>105449</v>
      </c>
      <c r="T2738" s="52">
        <f t="shared" si="153"/>
        <v>20257</v>
      </c>
      <c r="U2738" s="52">
        <f t="shared" si="153"/>
        <v>3599.154</v>
      </c>
      <c r="W2738" s="159">
        <f t="shared" si="154"/>
        <v>0</v>
      </c>
      <c r="X2738" s="53">
        <f t="shared" si="155"/>
        <v>20257</v>
      </c>
      <c r="Y2738" s="53">
        <f t="shared" si="156"/>
        <v>3599.154</v>
      </c>
      <c r="Z2738" s="54">
        <f t="shared" si="157"/>
        <v>5.628267087209939</v>
      </c>
    </row>
    <row r="2739" spans="7:26">
      <c r="G2739" s="8"/>
      <c r="L2739" s="20"/>
      <c r="M2739" s="116" t="s">
        <v>431</v>
      </c>
      <c r="N2739" s="117" t="s">
        <v>413</v>
      </c>
      <c r="O2739" s="117" t="s">
        <v>49</v>
      </c>
      <c r="P2739" s="20"/>
      <c r="Q2739" s="52">
        <f t="shared" si="153"/>
        <v>0</v>
      </c>
      <c r="R2739" s="52">
        <f t="shared" si="153"/>
        <v>0</v>
      </c>
      <c r="S2739" s="52">
        <f t="shared" si="153"/>
        <v>0</v>
      </c>
      <c r="T2739" s="52">
        <f t="shared" si="153"/>
        <v>0</v>
      </c>
      <c r="U2739" s="52">
        <f t="shared" si="153"/>
        <v>0</v>
      </c>
      <c r="W2739" s="159">
        <f t="shared" si="154"/>
        <v>0</v>
      </c>
      <c r="X2739" s="53">
        <f t="shared" si="155"/>
        <v>0</v>
      </c>
      <c r="Y2739" s="53">
        <f t="shared" si="156"/>
        <v>0</v>
      </c>
      <c r="Z2739" s="54" t="e">
        <f t="shared" si="157"/>
        <v>#DIV/0!</v>
      </c>
    </row>
    <row r="2740" spans="7:26">
      <c r="G2740" s="8"/>
      <c r="L2740" s="20"/>
      <c r="M2740" s="116" t="s">
        <v>2456</v>
      </c>
      <c r="N2740" s="117" t="s">
        <v>418</v>
      </c>
      <c r="O2740" s="117" t="s">
        <v>49</v>
      </c>
      <c r="P2740" s="20"/>
      <c r="Q2740" s="52">
        <f t="shared" si="153"/>
        <v>0</v>
      </c>
      <c r="R2740" s="52">
        <f t="shared" si="153"/>
        <v>0</v>
      </c>
      <c r="S2740" s="52">
        <f t="shared" si="153"/>
        <v>0</v>
      </c>
      <c r="T2740" s="52">
        <f t="shared" si="153"/>
        <v>0</v>
      </c>
      <c r="U2740" s="52">
        <f t="shared" si="153"/>
        <v>0</v>
      </c>
      <c r="W2740" s="159">
        <f t="shared" si="154"/>
        <v>0</v>
      </c>
      <c r="X2740" s="53">
        <f t="shared" si="155"/>
        <v>0</v>
      </c>
      <c r="Y2740" s="53">
        <f t="shared" si="156"/>
        <v>0</v>
      </c>
      <c r="Z2740" s="54" t="e">
        <f t="shared" si="157"/>
        <v>#DIV/0!</v>
      </c>
    </row>
    <row r="2741" spans="7:26">
      <c r="G2741" s="8"/>
      <c r="L2741" s="20"/>
      <c r="M2741" s="116" t="s">
        <v>430</v>
      </c>
      <c r="N2741" s="117" t="s">
        <v>68</v>
      </c>
      <c r="O2741" s="117" t="s">
        <v>49</v>
      </c>
      <c r="P2741" s="20"/>
      <c r="Q2741" s="52">
        <f t="shared" si="153"/>
        <v>0</v>
      </c>
      <c r="R2741" s="52">
        <f t="shared" si="153"/>
        <v>0</v>
      </c>
      <c r="S2741" s="52">
        <f t="shared" si="153"/>
        <v>0</v>
      </c>
      <c r="T2741" s="52">
        <f t="shared" si="153"/>
        <v>0</v>
      </c>
      <c r="U2741" s="52">
        <f t="shared" si="153"/>
        <v>0</v>
      </c>
      <c r="W2741" s="159">
        <f t="shared" si="154"/>
        <v>0</v>
      </c>
      <c r="X2741" s="53">
        <f t="shared" si="155"/>
        <v>0</v>
      </c>
      <c r="Y2741" s="53">
        <f t="shared" si="156"/>
        <v>0</v>
      </c>
      <c r="Z2741" s="54" t="e">
        <f t="shared" si="157"/>
        <v>#DIV/0!</v>
      </c>
    </row>
    <row r="2742" spans="7:26" ht="13">
      <c r="G2742" s="9"/>
      <c r="H2742" s="10"/>
      <c r="I2742" s="10"/>
      <c r="J2742" s="10"/>
      <c r="K2742" s="10"/>
      <c r="L2742" s="147"/>
      <c r="M2742" s="147"/>
      <c r="N2742" s="147"/>
      <c r="O2742" s="148"/>
      <c r="P2742" s="147"/>
      <c r="Q2742" s="26">
        <f>SUM(Q2720:Q2741)</f>
        <v>28249854</v>
      </c>
      <c r="R2742" s="26">
        <f>SUM(R2720:R2741)</f>
        <v>27359290</v>
      </c>
      <c r="S2742" s="26">
        <f>SUM(S2720:S2741)</f>
        <v>52233195</v>
      </c>
      <c r="T2742" s="26">
        <f>SUM(T2720:T2741)</f>
        <v>41664332</v>
      </c>
      <c r="U2742" s="26">
        <f>SUM(U2720:U2741)</f>
        <v>4963508.0080000004</v>
      </c>
      <c r="V2742" s="10"/>
      <c r="W2742" s="10"/>
      <c r="X2742" s="55"/>
      <c r="Y2742" s="55"/>
      <c r="Z2742" s="56"/>
    </row>
    <row r="2744" spans="7:26">
      <c r="X2744" s="1"/>
      <c r="Y2744" s="1"/>
      <c r="Z2744" s="1"/>
    </row>
    <row r="2745" spans="7:26">
      <c r="G2745" s="4" t="s">
        <v>96</v>
      </c>
      <c r="H2745" s="5" t="s">
        <v>392</v>
      </c>
      <c r="I2745" s="5"/>
      <c r="J2745" s="5"/>
      <c r="K2745" s="5"/>
      <c r="L2745" s="5"/>
      <c r="M2745" s="6" t="s">
        <v>386</v>
      </c>
      <c r="N2745" s="7" t="s">
        <v>43</v>
      </c>
      <c r="O2745" s="7" t="s">
        <v>44</v>
      </c>
      <c r="P2745" s="5"/>
      <c r="Q2745" s="49">
        <f t="shared" ref="Q2745:U2757" si="158">SUMIFS(Q$7:Q$2662,$K$7:$K$2662, "&lt;4",$G$7:$G$2662,$G$2745,$N$7:$N$2662,$N2745)</f>
        <v>146526</v>
      </c>
      <c r="R2745" s="49">
        <f t="shared" si="158"/>
        <v>146526</v>
      </c>
      <c r="S2745" s="49">
        <f t="shared" si="158"/>
        <v>3863637</v>
      </c>
      <c r="T2745" s="158">
        <f t="shared" si="158"/>
        <v>3863637</v>
      </c>
      <c r="U2745" s="49">
        <f t="shared" si="158"/>
        <v>305455.56</v>
      </c>
      <c r="V2745" s="5"/>
      <c r="W2745" s="158">
        <f t="shared" ref="W2745:W2757" si="159">SUMIFS(T$7:T$2662,$K$7:$K$2662, "&lt;4",$G$7:$G$2662,$G$2745,$N$7:$N$2662,$N2745, $W$7:$W$2662, "=x")</f>
        <v>3863637</v>
      </c>
      <c r="X2745" s="50">
        <f t="shared" ref="X2745:X2757" si="160">SUMIFS(T$7:T$2662,U$7:U$2662, "&gt;0",$K$7:$K$2662, "&lt;4",$G$7:$G$2662,$G$2745,$N$7:$N$2662,$N2745)</f>
        <v>3863637</v>
      </c>
      <c r="Y2745" s="50">
        <f t="shared" ref="Y2745:Y2757" si="161">SUMIFS(U$7:U$2662,U$7:U$2662, "&gt;0",$K$7:$K$2662, "&lt;4",$G$7:$G$2662,$G$2745,$N$7:$N$2662,$N2745)</f>
        <v>305455.56</v>
      </c>
      <c r="Z2745" s="51">
        <f t="shared" ref="Z2745:Z2757" si="162">X2745/Y2745</f>
        <v>12.64876959515813</v>
      </c>
    </row>
    <row r="2746" spans="7:26">
      <c r="G2746" s="8"/>
      <c r="L2746" s="20"/>
      <c r="M2746" s="116" t="s">
        <v>387</v>
      </c>
      <c r="N2746" s="117" t="s">
        <v>48</v>
      </c>
      <c r="O2746" s="117" t="s">
        <v>44</v>
      </c>
      <c r="P2746" s="20"/>
      <c r="Q2746" s="52">
        <f t="shared" si="158"/>
        <v>0</v>
      </c>
      <c r="R2746" s="52">
        <f t="shared" si="158"/>
        <v>0</v>
      </c>
      <c r="S2746" s="52">
        <f t="shared" si="158"/>
        <v>0</v>
      </c>
      <c r="T2746" s="52">
        <f t="shared" si="158"/>
        <v>0</v>
      </c>
      <c r="U2746" s="52">
        <f t="shared" si="158"/>
        <v>0</v>
      </c>
      <c r="W2746" s="159">
        <f t="shared" si="159"/>
        <v>0</v>
      </c>
      <c r="X2746" s="53">
        <f t="shared" si="160"/>
        <v>0</v>
      </c>
      <c r="Y2746" s="53">
        <f t="shared" si="161"/>
        <v>0</v>
      </c>
      <c r="Z2746" s="54" t="e">
        <f t="shared" si="162"/>
        <v>#DIV/0!</v>
      </c>
    </row>
    <row r="2747" spans="7:26">
      <c r="G2747" s="8"/>
      <c r="L2747" s="20"/>
      <c r="M2747" s="116" t="s">
        <v>375</v>
      </c>
      <c r="N2747" s="117" t="s">
        <v>46</v>
      </c>
      <c r="O2747" s="117" t="s">
        <v>46</v>
      </c>
      <c r="P2747" s="20"/>
      <c r="Q2747" s="52">
        <f t="shared" si="158"/>
        <v>435494</v>
      </c>
      <c r="R2747" s="52">
        <f t="shared" si="158"/>
        <v>435494</v>
      </c>
      <c r="S2747" s="52">
        <f t="shared" si="158"/>
        <v>2511701</v>
      </c>
      <c r="T2747" s="159">
        <f t="shared" si="158"/>
        <v>2511701</v>
      </c>
      <c r="U2747" s="52">
        <f t="shared" si="158"/>
        <v>324569.68699999998</v>
      </c>
      <c r="W2747" s="159">
        <f t="shared" si="159"/>
        <v>2502813</v>
      </c>
      <c r="X2747" s="53">
        <f t="shared" si="160"/>
        <v>2511701</v>
      </c>
      <c r="Y2747" s="53">
        <f t="shared" si="161"/>
        <v>324569.68699999998</v>
      </c>
      <c r="Z2747" s="54">
        <f t="shared" si="162"/>
        <v>7.7385569281459121</v>
      </c>
    </row>
    <row r="2748" spans="7:26">
      <c r="G2748" s="8"/>
      <c r="L2748" s="20"/>
      <c r="M2748" s="116" t="s">
        <v>374</v>
      </c>
      <c r="N2748" s="117" t="s">
        <v>39</v>
      </c>
      <c r="O2748" s="117" t="s">
        <v>39</v>
      </c>
      <c r="P2748" s="20"/>
      <c r="Q2748" s="52">
        <f t="shared" si="158"/>
        <v>31982771</v>
      </c>
      <c r="R2748" s="52">
        <f t="shared" si="158"/>
        <v>31982771</v>
      </c>
      <c r="S2748" s="52">
        <f t="shared" si="158"/>
        <v>33011994</v>
      </c>
      <c r="T2748" s="159">
        <f t="shared" si="158"/>
        <v>33011994</v>
      </c>
      <c r="U2748" s="52">
        <f t="shared" si="158"/>
        <v>4464802.2909999993</v>
      </c>
      <c r="W2748" s="159">
        <f t="shared" si="159"/>
        <v>33011994</v>
      </c>
      <c r="X2748" s="53">
        <f t="shared" si="160"/>
        <v>33011994</v>
      </c>
      <c r="Y2748" s="53">
        <f t="shared" si="161"/>
        <v>4464802.2909999993</v>
      </c>
      <c r="Z2748" s="54">
        <f t="shared" si="162"/>
        <v>7.3938310922623574</v>
      </c>
    </row>
    <row r="2749" spans="7:26">
      <c r="G2749" s="8"/>
      <c r="L2749" s="20"/>
      <c r="M2749" s="116" t="s">
        <v>388</v>
      </c>
      <c r="N2749" s="117" t="s">
        <v>17</v>
      </c>
      <c r="O2749" s="117" t="s">
        <v>82</v>
      </c>
      <c r="P2749" s="20"/>
      <c r="Q2749" s="52">
        <f t="shared" si="158"/>
        <v>66473</v>
      </c>
      <c r="R2749" s="52">
        <f t="shared" si="158"/>
        <v>66473</v>
      </c>
      <c r="S2749" s="52">
        <f t="shared" si="158"/>
        <v>974922</v>
      </c>
      <c r="T2749" s="52">
        <f t="shared" si="158"/>
        <v>974922</v>
      </c>
      <c r="U2749" s="52">
        <f t="shared" si="158"/>
        <v>49857.813999999998</v>
      </c>
      <c r="W2749" s="159">
        <f t="shared" si="159"/>
        <v>0</v>
      </c>
      <c r="X2749" s="53">
        <f t="shared" si="160"/>
        <v>974922</v>
      </c>
      <c r="Y2749" s="53">
        <f t="shared" si="161"/>
        <v>49857.813999999998</v>
      </c>
      <c r="Z2749" s="54">
        <f t="shared" si="162"/>
        <v>19.554046232351865</v>
      </c>
    </row>
    <row r="2750" spans="7:26">
      <c r="G2750" s="8"/>
      <c r="L2750" s="20"/>
      <c r="M2750" s="116" t="s">
        <v>389</v>
      </c>
      <c r="N2750" s="117" t="s">
        <v>82</v>
      </c>
      <c r="O2750" s="117" t="s">
        <v>82</v>
      </c>
      <c r="P2750" s="20"/>
      <c r="Q2750" s="52">
        <f t="shared" si="158"/>
        <v>0</v>
      </c>
      <c r="R2750" s="52">
        <f t="shared" si="158"/>
        <v>0</v>
      </c>
      <c r="S2750" s="52">
        <f t="shared" si="158"/>
        <v>0</v>
      </c>
      <c r="T2750" s="52">
        <f t="shared" si="158"/>
        <v>0</v>
      </c>
      <c r="U2750" s="52">
        <f t="shared" si="158"/>
        <v>0</v>
      </c>
      <c r="W2750" s="159">
        <f t="shared" si="159"/>
        <v>0</v>
      </c>
      <c r="X2750" s="53">
        <f t="shared" si="160"/>
        <v>0</v>
      </c>
      <c r="Y2750" s="53">
        <f t="shared" si="161"/>
        <v>0</v>
      </c>
      <c r="Z2750" s="54" t="e">
        <f t="shared" si="162"/>
        <v>#DIV/0!</v>
      </c>
    </row>
    <row r="2751" spans="7:26">
      <c r="G2751" s="8"/>
      <c r="L2751" s="20"/>
      <c r="M2751" s="116" t="s">
        <v>384</v>
      </c>
      <c r="N2751" s="117" t="s">
        <v>396</v>
      </c>
      <c r="O2751" s="117" t="s">
        <v>82</v>
      </c>
      <c r="P2751" s="20"/>
      <c r="Q2751" s="52">
        <f t="shared" si="158"/>
        <v>0</v>
      </c>
      <c r="R2751" s="52">
        <f t="shared" si="158"/>
        <v>0</v>
      </c>
      <c r="S2751" s="52">
        <f t="shared" si="158"/>
        <v>0</v>
      </c>
      <c r="T2751" s="52">
        <f t="shared" si="158"/>
        <v>0</v>
      </c>
      <c r="U2751" s="52">
        <f t="shared" si="158"/>
        <v>0</v>
      </c>
      <c r="W2751" s="159">
        <f t="shared" si="159"/>
        <v>0</v>
      </c>
      <c r="X2751" s="53">
        <f t="shared" si="160"/>
        <v>0</v>
      </c>
      <c r="Y2751" s="53">
        <f t="shared" si="161"/>
        <v>0</v>
      </c>
      <c r="Z2751" s="54" t="e">
        <f t="shared" si="162"/>
        <v>#DIV/0!</v>
      </c>
    </row>
    <row r="2752" spans="7:26">
      <c r="G2752" s="8"/>
      <c r="L2752" s="20"/>
      <c r="M2752" s="116" t="s">
        <v>377</v>
      </c>
      <c r="N2752" s="117" t="s">
        <v>65</v>
      </c>
      <c r="O2752" s="117" t="s">
        <v>65</v>
      </c>
      <c r="P2752" s="20"/>
      <c r="Q2752" s="52">
        <f t="shared" si="158"/>
        <v>0</v>
      </c>
      <c r="R2752" s="52">
        <f t="shared" si="158"/>
        <v>0</v>
      </c>
      <c r="S2752" s="52">
        <f t="shared" si="158"/>
        <v>0</v>
      </c>
      <c r="T2752" s="52">
        <f t="shared" si="158"/>
        <v>0</v>
      </c>
      <c r="U2752" s="52">
        <f t="shared" si="158"/>
        <v>0</v>
      </c>
      <c r="W2752" s="159">
        <f t="shared" si="159"/>
        <v>0</v>
      </c>
      <c r="X2752" s="53">
        <f t="shared" si="160"/>
        <v>0</v>
      </c>
      <c r="Y2752" s="53">
        <f t="shared" si="161"/>
        <v>0</v>
      </c>
      <c r="Z2752" s="54" t="e">
        <f t="shared" si="162"/>
        <v>#DIV/0!</v>
      </c>
    </row>
    <row r="2753" spans="7:26">
      <c r="G2753" s="8"/>
      <c r="L2753" s="20"/>
      <c r="M2753" s="116" t="s">
        <v>376</v>
      </c>
      <c r="N2753" s="117" t="s">
        <v>61</v>
      </c>
      <c r="O2753" s="117" t="s">
        <v>61</v>
      </c>
      <c r="P2753" s="20"/>
      <c r="Q2753" s="52">
        <f t="shared" si="158"/>
        <v>193901</v>
      </c>
      <c r="R2753" s="52">
        <f t="shared" si="158"/>
        <v>193901</v>
      </c>
      <c r="S2753" s="52">
        <f t="shared" si="158"/>
        <v>1211841</v>
      </c>
      <c r="T2753" s="159">
        <f t="shared" si="158"/>
        <v>1211841</v>
      </c>
      <c r="U2753" s="52">
        <f t="shared" si="158"/>
        <v>103557.01</v>
      </c>
      <c r="W2753" s="159">
        <f t="shared" si="159"/>
        <v>1211841</v>
      </c>
      <c r="X2753" s="53">
        <f t="shared" si="160"/>
        <v>1211841</v>
      </c>
      <c r="Y2753" s="53">
        <f t="shared" si="161"/>
        <v>103557.01</v>
      </c>
      <c r="Z2753" s="54">
        <f t="shared" si="162"/>
        <v>11.702162895587659</v>
      </c>
    </row>
    <row r="2754" spans="7:26">
      <c r="G2754" s="8"/>
      <c r="L2754" s="20"/>
      <c r="M2754" s="116" t="s">
        <v>378</v>
      </c>
      <c r="N2754" s="117" t="s">
        <v>66</v>
      </c>
      <c r="O2754" s="117" t="s">
        <v>67</v>
      </c>
      <c r="P2754" s="20"/>
      <c r="Q2754" s="52">
        <f t="shared" si="158"/>
        <v>14198</v>
      </c>
      <c r="R2754" s="52">
        <f t="shared" si="158"/>
        <v>14198</v>
      </c>
      <c r="S2754" s="52">
        <f t="shared" si="158"/>
        <v>81198</v>
      </c>
      <c r="T2754" s="159">
        <f t="shared" si="158"/>
        <v>81198</v>
      </c>
      <c r="U2754" s="52">
        <f t="shared" si="158"/>
        <v>5536</v>
      </c>
      <c r="W2754" s="159">
        <f t="shared" si="159"/>
        <v>0</v>
      </c>
      <c r="X2754" s="53">
        <f t="shared" si="160"/>
        <v>81198</v>
      </c>
      <c r="Y2754" s="53">
        <f t="shared" si="161"/>
        <v>5536</v>
      </c>
      <c r="Z2754" s="54">
        <f t="shared" si="162"/>
        <v>14.667268786127167</v>
      </c>
    </row>
    <row r="2755" spans="7:26">
      <c r="G2755" s="8"/>
      <c r="L2755" s="20"/>
      <c r="M2755" s="116" t="s">
        <v>379</v>
      </c>
      <c r="N2755" s="117" t="s">
        <v>76</v>
      </c>
      <c r="O2755" s="117" t="s">
        <v>67</v>
      </c>
      <c r="P2755" s="20"/>
      <c r="Q2755" s="52">
        <f t="shared" si="158"/>
        <v>0</v>
      </c>
      <c r="R2755" s="52">
        <f t="shared" si="158"/>
        <v>0</v>
      </c>
      <c r="S2755" s="52">
        <f t="shared" si="158"/>
        <v>0</v>
      </c>
      <c r="T2755" s="52">
        <f t="shared" si="158"/>
        <v>0</v>
      </c>
      <c r="U2755" s="52">
        <f t="shared" si="158"/>
        <v>0</v>
      </c>
      <c r="W2755" s="159">
        <f t="shared" si="159"/>
        <v>0</v>
      </c>
      <c r="X2755" s="53">
        <f t="shared" si="160"/>
        <v>0</v>
      </c>
      <c r="Y2755" s="53">
        <f t="shared" si="161"/>
        <v>0</v>
      </c>
      <c r="Z2755" s="54" t="e">
        <f t="shared" si="162"/>
        <v>#DIV/0!</v>
      </c>
    </row>
    <row r="2756" spans="7:26">
      <c r="G2756" s="8"/>
      <c r="L2756" s="20"/>
      <c r="M2756" s="116" t="s">
        <v>380</v>
      </c>
      <c r="N2756" s="117" t="s">
        <v>73</v>
      </c>
      <c r="O2756" s="117" t="s">
        <v>67</v>
      </c>
      <c r="P2756" s="20"/>
      <c r="Q2756" s="52">
        <f t="shared" si="158"/>
        <v>0</v>
      </c>
      <c r="R2756" s="52">
        <f t="shared" si="158"/>
        <v>0</v>
      </c>
      <c r="S2756" s="52">
        <f t="shared" si="158"/>
        <v>0</v>
      </c>
      <c r="T2756" s="52">
        <f t="shared" si="158"/>
        <v>0</v>
      </c>
      <c r="U2756" s="52">
        <f t="shared" si="158"/>
        <v>0</v>
      </c>
      <c r="W2756" s="159">
        <f t="shared" si="159"/>
        <v>0</v>
      </c>
      <c r="X2756" s="53">
        <f t="shared" si="160"/>
        <v>0</v>
      </c>
      <c r="Y2756" s="53">
        <f t="shared" si="161"/>
        <v>0</v>
      </c>
      <c r="Z2756" s="54" t="e">
        <f t="shared" si="162"/>
        <v>#DIV/0!</v>
      </c>
    </row>
    <row r="2757" spans="7:26">
      <c r="G2757" s="8"/>
      <c r="L2757" s="20"/>
      <c r="M2757" s="116" t="s">
        <v>429</v>
      </c>
      <c r="N2757" s="117" t="s">
        <v>420</v>
      </c>
      <c r="O2757" s="117" t="s">
        <v>421</v>
      </c>
      <c r="P2757" s="20"/>
      <c r="Q2757" s="52">
        <f t="shared" si="158"/>
        <v>0</v>
      </c>
      <c r="R2757" s="52">
        <f t="shared" si="158"/>
        <v>0</v>
      </c>
      <c r="S2757" s="52">
        <f t="shared" si="158"/>
        <v>0</v>
      </c>
      <c r="T2757" s="52">
        <f t="shared" si="158"/>
        <v>0</v>
      </c>
      <c r="U2757" s="52">
        <f t="shared" si="158"/>
        <v>0</v>
      </c>
      <c r="W2757" s="159">
        <f t="shared" si="159"/>
        <v>0</v>
      </c>
      <c r="X2757" s="53">
        <f t="shared" si="160"/>
        <v>0</v>
      </c>
      <c r="Y2757" s="53">
        <f t="shared" si="161"/>
        <v>0</v>
      </c>
      <c r="Z2757" s="54" t="e">
        <f t="shared" si="162"/>
        <v>#DIV/0!</v>
      </c>
    </row>
    <row r="2758" spans="7:26">
      <c r="G2758" s="8"/>
      <c r="L2758" s="20"/>
      <c r="M2758" s="20"/>
      <c r="N2758" s="20"/>
      <c r="O2758" s="20"/>
      <c r="P2758" s="20"/>
      <c r="Q2758"/>
      <c r="R2758"/>
      <c r="S2758"/>
      <c r="T2758"/>
      <c r="U2758"/>
      <c r="Z2758" s="57"/>
    </row>
    <row r="2759" spans="7:26">
      <c r="G2759" s="8"/>
      <c r="H2759" t="s">
        <v>391</v>
      </c>
      <c r="L2759" s="20"/>
      <c r="M2759" s="116" t="s">
        <v>382</v>
      </c>
      <c r="N2759" s="117" t="s">
        <v>63</v>
      </c>
      <c r="O2759" s="117" t="s">
        <v>64</v>
      </c>
      <c r="P2759" s="20"/>
      <c r="Q2759" s="52">
        <f t="shared" ref="Q2759:U2766" si="163">SUMIFS(Q$7:Q$2662,$K$7:$K$2662, "&lt;4",$G$7:$G$2662,$G$2745,$N$7:$N$2662,$N2759)</f>
        <v>1895129</v>
      </c>
      <c r="R2759" s="52">
        <f t="shared" si="163"/>
        <v>1895129</v>
      </c>
      <c r="S2759" s="52">
        <f t="shared" si="163"/>
        <v>926966</v>
      </c>
      <c r="T2759" s="52">
        <f t="shared" si="163"/>
        <v>926966</v>
      </c>
      <c r="U2759" s="52">
        <f t="shared" si="163"/>
        <v>55167</v>
      </c>
      <c r="W2759" s="159">
        <f t="shared" ref="W2759:W2766" si="164">SUMIFS(T$7:T$2662,$K$7:$K$2662, "&lt;4",$G$7:$G$2662,$G$2745,$N$7:$N$2662,$N2759, $W$7:$W$2662, "=x")</f>
        <v>0</v>
      </c>
      <c r="X2759" s="53">
        <f t="shared" ref="X2759:X2766" si="165">SUMIFS(T$7:T$2662,U$7:U$2662, "&gt;0",$K$7:$K$2662, "&lt;4",$G$7:$G$2662,$G$2745,$N$7:$N$2662,$N2759)</f>
        <v>926966</v>
      </c>
      <c r="Y2759" s="53">
        <f t="shared" ref="Y2759:Y2766" si="166">SUMIFS(U$7:U$2662,U$7:U$2662, "&gt;0",$K$7:$K$2662, "&lt;4",$G$7:$G$2662,$G$2745,$N$7:$N$2662,$N2759)</f>
        <v>55167</v>
      </c>
      <c r="Z2759" s="54">
        <f t="shared" ref="Z2759:Z2766" si="167">X2759/Y2759</f>
        <v>16.802907535301902</v>
      </c>
    </row>
    <row r="2760" spans="7:26">
      <c r="G2760" s="8"/>
      <c r="L2760" s="20"/>
      <c r="M2760" s="116" t="s">
        <v>385</v>
      </c>
      <c r="N2760" s="117" t="s">
        <v>16</v>
      </c>
      <c r="O2760" s="117" t="s">
        <v>64</v>
      </c>
      <c r="P2760" s="20"/>
      <c r="Q2760" s="52">
        <f t="shared" si="163"/>
        <v>103967</v>
      </c>
      <c r="R2760" s="52">
        <f t="shared" si="163"/>
        <v>103967</v>
      </c>
      <c r="S2760" s="52">
        <f t="shared" si="163"/>
        <v>797653</v>
      </c>
      <c r="T2760" s="52">
        <f t="shared" si="163"/>
        <v>797653</v>
      </c>
      <c r="U2760" s="52">
        <f t="shared" si="163"/>
        <v>40792.186000000002</v>
      </c>
      <c r="W2760" s="159">
        <f t="shared" si="164"/>
        <v>0</v>
      </c>
      <c r="X2760" s="53">
        <f t="shared" si="165"/>
        <v>797653</v>
      </c>
      <c r="Y2760" s="53">
        <f t="shared" si="166"/>
        <v>40792.186000000002</v>
      </c>
      <c r="Z2760" s="54">
        <f t="shared" si="167"/>
        <v>19.554063614046083</v>
      </c>
    </row>
    <row r="2761" spans="7:26">
      <c r="G2761" s="8"/>
      <c r="L2761" s="20"/>
      <c r="M2761" s="116" t="s">
        <v>381</v>
      </c>
      <c r="N2761" s="117" t="s">
        <v>151</v>
      </c>
      <c r="O2761" s="117" t="s">
        <v>70</v>
      </c>
      <c r="P2761" s="20"/>
      <c r="Q2761" s="52">
        <f t="shared" si="163"/>
        <v>0</v>
      </c>
      <c r="R2761" s="52">
        <f t="shared" si="163"/>
        <v>0</v>
      </c>
      <c r="S2761" s="52">
        <f t="shared" si="163"/>
        <v>0</v>
      </c>
      <c r="T2761" s="52">
        <f t="shared" si="163"/>
        <v>0</v>
      </c>
      <c r="U2761" s="52">
        <f t="shared" si="163"/>
        <v>0</v>
      </c>
      <c r="W2761" s="159">
        <f t="shared" si="164"/>
        <v>0</v>
      </c>
      <c r="X2761" s="53">
        <f t="shared" si="165"/>
        <v>0</v>
      </c>
      <c r="Y2761" s="53">
        <f t="shared" si="166"/>
        <v>0</v>
      </c>
      <c r="Z2761" s="54" t="e">
        <f t="shared" si="167"/>
        <v>#DIV/0!</v>
      </c>
    </row>
    <row r="2762" spans="7:26">
      <c r="G2762" s="8"/>
      <c r="L2762" s="20"/>
      <c r="M2762" s="116" t="s">
        <v>390</v>
      </c>
      <c r="N2762" s="117" t="s">
        <v>69</v>
      </c>
      <c r="O2762" s="117" t="s">
        <v>70</v>
      </c>
      <c r="P2762" s="20"/>
      <c r="Q2762" s="52">
        <f t="shared" si="163"/>
        <v>1144377</v>
      </c>
      <c r="R2762" s="52">
        <f t="shared" si="163"/>
        <v>1144377</v>
      </c>
      <c r="S2762" s="52">
        <f t="shared" si="163"/>
        <v>10087759</v>
      </c>
      <c r="T2762" s="52">
        <f t="shared" si="163"/>
        <v>10087759</v>
      </c>
      <c r="U2762" s="52">
        <f t="shared" si="163"/>
        <v>711383.47</v>
      </c>
      <c r="W2762" s="159">
        <f t="shared" si="164"/>
        <v>0</v>
      </c>
      <c r="X2762" s="53">
        <f t="shared" si="165"/>
        <v>10087759</v>
      </c>
      <c r="Y2762" s="53">
        <f t="shared" si="166"/>
        <v>711383.47</v>
      </c>
      <c r="Z2762" s="54">
        <f t="shared" si="167"/>
        <v>14.18047990347597</v>
      </c>
    </row>
    <row r="2763" spans="7:26">
      <c r="G2763" s="8"/>
      <c r="L2763" s="20"/>
      <c r="M2763" s="116" t="s">
        <v>383</v>
      </c>
      <c r="N2763" s="117" t="s">
        <v>152</v>
      </c>
      <c r="O2763" s="117" t="s">
        <v>49</v>
      </c>
      <c r="P2763" s="20"/>
      <c r="Q2763" s="52">
        <f t="shared" si="163"/>
        <v>0</v>
      </c>
      <c r="R2763" s="52">
        <f t="shared" si="163"/>
        <v>0</v>
      </c>
      <c r="S2763" s="52">
        <f t="shared" si="163"/>
        <v>0</v>
      </c>
      <c r="T2763" s="52">
        <f t="shared" si="163"/>
        <v>0</v>
      </c>
      <c r="U2763" s="52">
        <f t="shared" si="163"/>
        <v>0</v>
      </c>
      <c r="W2763" s="159">
        <f t="shared" si="164"/>
        <v>0</v>
      </c>
      <c r="X2763" s="53">
        <f t="shared" si="165"/>
        <v>0</v>
      </c>
      <c r="Y2763" s="53">
        <f t="shared" si="166"/>
        <v>0</v>
      </c>
      <c r="Z2763" s="54" t="e">
        <f t="shared" si="167"/>
        <v>#DIV/0!</v>
      </c>
    </row>
    <row r="2764" spans="7:26">
      <c r="G2764" s="8"/>
      <c r="L2764" s="20"/>
      <c r="M2764" s="116" t="s">
        <v>431</v>
      </c>
      <c r="N2764" s="117" t="s">
        <v>413</v>
      </c>
      <c r="O2764" s="117" t="s">
        <v>49</v>
      </c>
      <c r="P2764" s="20"/>
      <c r="Q2764" s="52">
        <f t="shared" si="163"/>
        <v>0</v>
      </c>
      <c r="R2764" s="52">
        <f t="shared" si="163"/>
        <v>0</v>
      </c>
      <c r="S2764" s="52">
        <f t="shared" si="163"/>
        <v>0</v>
      </c>
      <c r="T2764" s="52">
        <f t="shared" si="163"/>
        <v>0</v>
      </c>
      <c r="U2764" s="52">
        <f t="shared" si="163"/>
        <v>0</v>
      </c>
      <c r="W2764" s="159">
        <f t="shared" si="164"/>
        <v>0</v>
      </c>
      <c r="X2764" s="53">
        <f t="shared" si="165"/>
        <v>0</v>
      </c>
      <c r="Y2764" s="53">
        <f t="shared" si="166"/>
        <v>0</v>
      </c>
      <c r="Z2764" s="54" t="e">
        <f t="shared" si="167"/>
        <v>#DIV/0!</v>
      </c>
    </row>
    <row r="2765" spans="7:26">
      <c r="G2765" s="8"/>
      <c r="L2765" s="20"/>
      <c r="M2765" s="116" t="s">
        <v>2456</v>
      </c>
      <c r="N2765" s="117" t="s">
        <v>418</v>
      </c>
      <c r="O2765" s="117" t="s">
        <v>49</v>
      </c>
      <c r="P2765" s="20"/>
      <c r="Q2765" s="52">
        <f t="shared" si="163"/>
        <v>0</v>
      </c>
      <c r="R2765" s="52">
        <f t="shared" si="163"/>
        <v>0</v>
      </c>
      <c r="S2765" s="52">
        <f t="shared" si="163"/>
        <v>0</v>
      </c>
      <c r="T2765" s="52">
        <f t="shared" si="163"/>
        <v>0</v>
      </c>
      <c r="U2765" s="52">
        <f t="shared" si="163"/>
        <v>0</v>
      </c>
      <c r="W2765" s="159">
        <f t="shared" si="164"/>
        <v>0</v>
      </c>
      <c r="X2765" s="53">
        <f t="shared" si="165"/>
        <v>0</v>
      </c>
      <c r="Y2765" s="53">
        <f t="shared" si="166"/>
        <v>0</v>
      </c>
      <c r="Z2765" s="54" t="e">
        <f t="shared" si="167"/>
        <v>#DIV/0!</v>
      </c>
    </row>
    <row r="2766" spans="7:26">
      <c r="G2766" s="8"/>
      <c r="L2766" s="20"/>
      <c r="M2766" s="116" t="s">
        <v>430</v>
      </c>
      <c r="N2766" s="117" t="s">
        <v>68</v>
      </c>
      <c r="O2766" s="117" t="s">
        <v>49</v>
      </c>
      <c r="P2766" s="20"/>
      <c r="Q2766" s="52">
        <f t="shared" si="163"/>
        <v>0</v>
      </c>
      <c r="R2766" s="52">
        <f t="shared" si="163"/>
        <v>0</v>
      </c>
      <c r="S2766" s="52">
        <f t="shared" si="163"/>
        <v>0</v>
      </c>
      <c r="T2766" s="52">
        <f t="shared" si="163"/>
        <v>0</v>
      </c>
      <c r="U2766" s="52">
        <f t="shared" si="163"/>
        <v>0</v>
      </c>
      <c r="W2766" s="159">
        <f t="shared" si="164"/>
        <v>0</v>
      </c>
      <c r="X2766" s="53">
        <f t="shared" si="165"/>
        <v>0</v>
      </c>
      <c r="Y2766" s="53">
        <f t="shared" si="166"/>
        <v>0</v>
      </c>
      <c r="Z2766" s="54" t="e">
        <f t="shared" si="167"/>
        <v>#DIV/0!</v>
      </c>
    </row>
    <row r="2767" spans="7:26" ht="13">
      <c r="G2767" s="9"/>
      <c r="H2767" s="10"/>
      <c r="I2767" s="10"/>
      <c r="J2767" s="10"/>
      <c r="K2767" s="10"/>
      <c r="L2767" s="147"/>
      <c r="M2767" s="147"/>
      <c r="N2767" s="147"/>
      <c r="O2767" s="148"/>
      <c r="P2767" s="147"/>
      <c r="Q2767" s="26">
        <f>SUM(Q2745:Q2764)</f>
        <v>35982836</v>
      </c>
      <c r="R2767" s="26">
        <f>SUM(R2745:R2764)</f>
        <v>35982836</v>
      </c>
      <c r="S2767" s="26">
        <f>SUM(S2745:S2764)</f>
        <v>53467671</v>
      </c>
      <c r="T2767" s="26">
        <f>SUM(T2745:T2764)</f>
        <v>53467671</v>
      </c>
      <c r="U2767" s="26">
        <f>SUM(U2745:U2764)</f>
        <v>6061121.0179999983</v>
      </c>
      <c r="V2767" s="10"/>
      <c r="W2767" s="10"/>
      <c r="X2767" s="55"/>
      <c r="Y2767" s="55"/>
      <c r="Z2767" s="56"/>
    </row>
    <row r="2768" spans="7:26">
      <c r="L2768" s="20"/>
      <c r="M2768" s="20"/>
      <c r="N2768" s="20"/>
      <c r="O2768" s="20"/>
      <c r="P2768" s="20"/>
    </row>
    <row r="2769" spans="7:26">
      <c r="X2769" s="1"/>
      <c r="Y2769" s="1"/>
      <c r="Z2769" s="1"/>
    </row>
    <row r="2770" spans="7:26">
      <c r="G2770" s="4" t="s">
        <v>57</v>
      </c>
      <c r="H2770" s="5" t="s">
        <v>392</v>
      </c>
      <c r="I2770" s="5"/>
      <c r="J2770" s="5"/>
      <c r="K2770" s="5"/>
      <c r="L2770" s="149"/>
      <c r="M2770" s="150" t="s">
        <v>386</v>
      </c>
      <c r="N2770" s="151" t="s">
        <v>43</v>
      </c>
      <c r="O2770" s="151" t="s">
        <v>44</v>
      </c>
      <c r="P2770" s="5"/>
      <c r="Q2770" s="49">
        <f t="shared" ref="Q2770:U2772" si="168">SUMIFS(Q$7:Q$2662,$K$7:$K$2662, "&lt;4",$G$7:$G$2662,$G$2770,$N$7:$N$2662,$N2770)</f>
        <v>0</v>
      </c>
      <c r="R2770" s="49">
        <f t="shared" si="168"/>
        <v>0</v>
      </c>
      <c r="S2770" s="49">
        <f t="shared" si="168"/>
        <v>0</v>
      </c>
      <c r="T2770" s="158">
        <f t="shared" si="168"/>
        <v>0</v>
      </c>
      <c r="U2770" s="49">
        <f t="shared" si="168"/>
        <v>0</v>
      </c>
      <c r="V2770" s="5"/>
      <c r="W2770" s="158">
        <f t="shared" ref="W2770:W2782" si="169">SUMIFS(T$7:T$2662,$K$7:$K$2662, "&lt;4",$G$7:$G$2662,$G$2770,$N$7:$N$2662,$N2770, $W$7:$W$2662, "=x")</f>
        <v>0</v>
      </c>
      <c r="X2770" s="50">
        <f>SUMIFS(T$7:T$2662,U$7:U$2662, "&gt;0",$K$7:$K$2662, "&lt;4",$G$7:$G$2662,$G$2770,$N$7:$N$2662,$N2770)</f>
        <v>0</v>
      </c>
      <c r="Y2770" s="50">
        <f>SUMIFS(U$7:U$2662,U$7:U$2662, "&gt;0",$K$7:$K$2662, "&lt;4",$G$7:$G$2662,$G$2770,$N$7:$N$2662,$N2770)</f>
        <v>0</v>
      </c>
      <c r="Z2770" s="51" t="e">
        <f t="shared" ref="Z2770:Z2782" si="170">X2770/Y2770</f>
        <v>#DIV/0!</v>
      </c>
    </row>
    <row r="2771" spans="7:26">
      <c r="G2771" s="8"/>
      <c r="L2771" s="20"/>
      <c r="M2771" s="116" t="s">
        <v>387</v>
      </c>
      <c r="N2771" s="117" t="s">
        <v>48</v>
      </c>
      <c r="O2771" s="117" t="s">
        <v>44</v>
      </c>
      <c r="Q2771" s="52">
        <f t="shared" si="168"/>
        <v>0</v>
      </c>
      <c r="R2771" s="52">
        <f t="shared" si="168"/>
        <v>0</v>
      </c>
      <c r="S2771" s="52">
        <f t="shared" si="168"/>
        <v>0</v>
      </c>
      <c r="T2771" s="52">
        <f t="shared" si="168"/>
        <v>0</v>
      </c>
      <c r="U2771" s="52">
        <f t="shared" si="168"/>
        <v>0</v>
      </c>
      <c r="W2771" s="159">
        <f t="shared" si="169"/>
        <v>0</v>
      </c>
      <c r="X2771" s="53">
        <f>SUMIFS(T$7:T$2662,U$7:U$2662, "&gt;0",$K$7:$K$2662, "&lt;4",$G$7:$G$2662,$G$2770,$N$7:$N$2662,$N2771)</f>
        <v>0</v>
      </c>
      <c r="Y2771" s="53">
        <f>SUMIFS(U$7:U$2662,U$7:U$2662, "&gt;0",$K$7:$K$2662, "&lt;4",$G$7:$G$2662,$G$2770,$N$7:$N$2662,$N2771)</f>
        <v>0</v>
      </c>
      <c r="Z2771" s="54" t="e">
        <f t="shared" si="170"/>
        <v>#DIV/0!</v>
      </c>
    </row>
    <row r="2772" spans="7:26">
      <c r="G2772" s="8"/>
      <c r="L2772" s="20"/>
      <c r="M2772" s="116" t="s">
        <v>375</v>
      </c>
      <c r="N2772" s="117" t="s">
        <v>46</v>
      </c>
      <c r="O2772" s="117" t="s">
        <v>46</v>
      </c>
      <c r="Q2772" s="52">
        <f t="shared" si="168"/>
        <v>1058450</v>
      </c>
      <c r="R2772" s="52">
        <f t="shared" si="168"/>
        <v>1041850</v>
      </c>
      <c r="S2772" s="52">
        <f t="shared" si="168"/>
        <v>6099296</v>
      </c>
      <c r="T2772" s="159">
        <f t="shared" si="168"/>
        <v>6002988</v>
      </c>
      <c r="U2772" s="52">
        <f t="shared" si="168"/>
        <v>750464.77000000014</v>
      </c>
      <c r="W2772" s="159">
        <f t="shared" si="169"/>
        <v>3802341</v>
      </c>
      <c r="X2772" s="53">
        <f>SUMIFS(T$7:T$2662,U$7:U$2662, "&gt;0",$K$7:$K$2662, "&lt;4",$G$7:$G$2662,$G$2770,$N$7:$N$2662,$N2772)</f>
        <v>5999989</v>
      </c>
      <c r="Y2772" s="53">
        <f>SUMIFS(U$7:U$2662,U$7:U$2662, "&gt;0",$K$7:$K$2662, "&lt;4",$G$7:$G$2662,$G$2770,$N$7:$N$2662,$N2772)</f>
        <v>750509.07300000021</v>
      </c>
      <c r="Z2772" s="54">
        <f t="shared" si="170"/>
        <v>7.9945589145462579</v>
      </c>
    </row>
    <row r="2773" spans="7:26">
      <c r="G2773" s="8"/>
      <c r="K2773" s="592"/>
      <c r="L2773" s="611"/>
      <c r="M2773" s="607" t="s">
        <v>3002</v>
      </c>
      <c r="N2773" s="117" t="s">
        <v>39</v>
      </c>
      <c r="O2773" s="117" t="s">
        <v>39</v>
      </c>
      <c r="Q2773" s="52">
        <f>SUMIFS(Q$7:Q$2662,$K$7:$K$2662, "&lt;4",$G$7:$G$2662,$G$2770,$N$7:$N$2662,$N2773)-Q2848</f>
        <v>472963428</v>
      </c>
      <c r="R2773" s="52">
        <f>SUMIFS(R$7:R$2662,$K$7:$K$2662, "&lt;4",$G$7:$G$2662,$G$2770,$N$7:$N$2662,$N2773)-R2848</f>
        <v>450929223</v>
      </c>
      <c r="S2773" s="52">
        <f>SUMIFS(S$7:S$2662,$K$7:$K$2662, "&lt;4",$G$7:$G$2662,$G$2770,$N$7:$N$2662,$N2773)-S2848</f>
        <v>487964480</v>
      </c>
      <c r="T2773" s="159">
        <f>SUMIFS(T$7:T$2662,$K$7:$K$2662, "&lt;4",$G$7:$G$2662,$G$2770,$N$7:$N$2662,$N2773)-T2848</f>
        <v>465176880</v>
      </c>
      <c r="U2773" s="52">
        <f>SUMIFS(U$7:U$2662,$K$7:$K$2662, "&lt;4",$G$7:$G$2662,$G$2770,$N$7:$N$2662,$N2773)-U2848</f>
        <v>58550250.712000005</v>
      </c>
      <c r="V2773" s="592"/>
      <c r="W2773" s="159">
        <f t="shared" si="169"/>
        <v>331850318</v>
      </c>
      <c r="X2773" s="608">
        <f>SUMIFS(T$7:T$2662,U$7:U$2662, "&gt;0",$K$7:$K$2662, "&lt;4",$G$7:$G$2662,$G$2770,$N$7:$N$2662,$N2773)-X2848</f>
        <v>465175091</v>
      </c>
      <c r="Y2773" s="608">
        <f>SUMIFS(U$7:U$2662,U$7:U$2662, "&gt;0",$K$7:$K$2662, "&lt;4",$G$7:$G$2662,$G$2770,$N$7:$N$2662,$N2773)-Y2848</f>
        <v>58550294.409000009</v>
      </c>
      <c r="Z2773" s="609">
        <f t="shared" si="170"/>
        <v>7.9448804774668389</v>
      </c>
    </row>
    <row r="2774" spans="7:26">
      <c r="G2774" s="8"/>
      <c r="L2774" s="20"/>
      <c r="M2774" s="116" t="s">
        <v>388</v>
      </c>
      <c r="N2774" s="117" t="s">
        <v>17</v>
      </c>
      <c r="O2774" s="117" t="s">
        <v>82</v>
      </c>
      <c r="Q2774" s="52">
        <f t="shared" ref="Q2774:U2782" si="171">SUMIFS(Q$7:Q$2662,$K$7:$K$2662, "&lt;4",$G$7:$G$2662,$G$2770,$N$7:$N$2662,$N2774)</f>
        <v>255220</v>
      </c>
      <c r="R2774" s="52">
        <f t="shared" si="171"/>
        <v>180337</v>
      </c>
      <c r="S2774" s="52">
        <f t="shared" si="171"/>
        <v>3743209</v>
      </c>
      <c r="T2774" s="52">
        <f t="shared" si="171"/>
        <v>2644938</v>
      </c>
      <c r="U2774" s="52">
        <f t="shared" si="171"/>
        <v>202092.54</v>
      </c>
      <c r="W2774" s="159">
        <f t="shared" si="169"/>
        <v>0</v>
      </c>
      <c r="X2774" s="53">
        <f t="shared" ref="X2774:X2782" si="172">SUMIFS(T$7:T$2662,U$7:U$2662, "&gt;0",$K$7:$K$2662, "&lt;4",$G$7:$G$2662,$G$2770,$N$7:$N$2662,$N2774)</f>
        <v>2644938</v>
      </c>
      <c r="Y2774" s="53">
        <f t="shared" ref="Y2774:Y2782" si="173">SUMIFS(U$7:U$2662,U$7:U$2662, "&gt;0",$K$7:$K$2662, "&lt;4",$G$7:$G$2662,$G$2770,$N$7:$N$2662,$N2774)</f>
        <v>202092.54</v>
      </c>
      <c r="Z2774" s="54">
        <f t="shared" si="170"/>
        <v>13.087756727685248</v>
      </c>
    </row>
    <row r="2775" spans="7:26">
      <c r="G2775" s="8"/>
      <c r="L2775" s="20"/>
      <c r="M2775" s="116" t="s">
        <v>389</v>
      </c>
      <c r="N2775" s="117" t="s">
        <v>82</v>
      </c>
      <c r="O2775" s="117" t="s">
        <v>82</v>
      </c>
      <c r="Q2775" s="52">
        <f t="shared" si="171"/>
        <v>0</v>
      </c>
      <c r="R2775" s="52">
        <f t="shared" si="171"/>
        <v>0</v>
      </c>
      <c r="S2775" s="52">
        <f t="shared" si="171"/>
        <v>0</v>
      </c>
      <c r="T2775" s="52">
        <f t="shared" si="171"/>
        <v>0</v>
      </c>
      <c r="U2775" s="52">
        <f t="shared" si="171"/>
        <v>0</v>
      </c>
      <c r="W2775" s="159">
        <f t="shared" si="169"/>
        <v>0</v>
      </c>
      <c r="X2775" s="53">
        <f t="shared" si="172"/>
        <v>0</v>
      </c>
      <c r="Y2775" s="53">
        <f t="shared" si="173"/>
        <v>0</v>
      </c>
      <c r="Z2775" s="54" t="e">
        <f t="shared" si="170"/>
        <v>#DIV/0!</v>
      </c>
    </row>
    <row r="2776" spans="7:26">
      <c r="G2776" s="8"/>
      <c r="L2776" s="20"/>
      <c r="M2776" s="116" t="s">
        <v>384</v>
      </c>
      <c r="N2776" s="117" t="s">
        <v>396</v>
      </c>
      <c r="O2776" s="117" t="s">
        <v>82</v>
      </c>
      <c r="Q2776" s="52">
        <f t="shared" si="171"/>
        <v>3165</v>
      </c>
      <c r="R2776" s="52">
        <f t="shared" si="171"/>
        <v>3165</v>
      </c>
      <c r="S2776" s="52">
        <f t="shared" si="171"/>
        <v>84032</v>
      </c>
      <c r="T2776" s="52">
        <f t="shared" si="171"/>
        <v>84032</v>
      </c>
      <c r="U2776" s="52">
        <f t="shared" si="171"/>
        <v>4306.893</v>
      </c>
      <c r="W2776" s="159">
        <f t="shared" si="169"/>
        <v>0</v>
      </c>
      <c r="X2776" s="53">
        <f t="shared" si="172"/>
        <v>84032</v>
      </c>
      <c r="Y2776" s="53">
        <f t="shared" si="173"/>
        <v>4306.893</v>
      </c>
      <c r="Z2776" s="54">
        <f t="shared" si="170"/>
        <v>19.511048916237296</v>
      </c>
    </row>
    <row r="2777" spans="7:26">
      <c r="G2777" s="8"/>
      <c r="L2777" s="20"/>
      <c r="M2777" s="116" t="s">
        <v>377</v>
      </c>
      <c r="N2777" s="117" t="s">
        <v>65</v>
      </c>
      <c r="O2777" s="117" t="s">
        <v>65</v>
      </c>
      <c r="Q2777" s="52">
        <f t="shared" si="171"/>
        <v>0</v>
      </c>
      <c r="R2777" s="52">
        <f t="shared" si="171"/>
        <v>0</v>
      </c>
      <c r="S2777" s="52">
        <f t="shared" si="171"/>
        <v>0</v>
      </c>
      <c r="T2777" s="52">
        <f t="shared" si="171"/>
        <v>0</v>
      </c>
      <c r="U2777" s="52">
        <f t="shared" si="171"/>
        <v>0</v>
      </c>
      <c r="W2777" s="159">
        <f t="shared" si="169"/>
        <v>0</v>
      </c>
      <c r="X2777" s="53">
        <f t="shared" si="172"/>
        <v>0</v>
      </c>
      <c r="Y2777" s="53">
        <f t="shared" si="173"/>
        <v>0</v>
      </c>
      <c r="Z2777" s="54" t="e">
        <f t="shared" si="170"/>
        <v>#DIV/0!</v>
      </c>
    </row>
    <row r="2778" spans="7:26">
      <c r="G2778" s="8"/>
      <c r="L2778" s="20"/>
      <c r="M2778" s="116" t="s">
        <v>376</v>
      </c>
      <c r="N2778" s="117" t="s">
        <v>61</v>
      </c>
      <c r="O2778" s="117" t="s">
        <v>61</v>
      </c>
      <c r="Q2778" s="52">
        <f t="shared" si="171"/>
        <v>1633967</v>
      </c>
      <c r="R2778" s="52">
        <f t="shared" si="171"/>
        <v>1609626</v>
      </c>
      <c r="S2778" s="52">
        <f t="shared" si="171"/>
        <v>10304481</v>
      </c>
      <c r="T2778" s="159">
        <f t="shared" si="171"/>
        <v>10158085</v>
      </c>
      <c r="U2778" s="52">
        <f t="shared" si="171"/>
        <v>932929.64899999986</v>
      </c>
      <c r="W2778" s="159">
        <f t="shared" si="169"/>
        <v>9702514</v>
      </c>
      <c r="X2778" s="53">
        <f t="shared" si="172"/>
        <v>10158085</v>
      </c>
      <c r="Y2778" s="53">
        <f t="shared" si="173"/>
        <v>932929.64899999986</v>
      </c>
      <c r="Z2778" s="54">
        <f t="shared" si="170"/>
        <v>10.888371926959737</v>
      </c>
    </row>
    <row r="2779" spans="7:26">
      <c r="G2779" s="8"/>
      <c r="L2779" s="20"/>
      <c r="M2779" s="116" t="s">
        <v>378</v>
      </c>
      <c r="N2779" s="117" t="s">
        <v>66</v>
      </c>
      <c r="O2779" s="117" t="s">
        <v>67</v>
      </c>
      <c r="Q2779" s="52">
        <f t="shared" si="171"/>
        <v>0</v>
      </c>
      <c r="R2779" s="52">
        <f t="shared" si="171"/>
        <v>0</v>
      </c>
      <c r="S2779" s="52">
        <f t="shared" si="171"/>
        <v>0</v>
      </c>
      <c r="T2779" s="52">
        <f t="shared" si="171"/>
        <v>0</v>
      </c>
      <c r="U2779" s="52">
        <f t="shared" si="171"/>
        <v>0</v>
      </c>
      <c r="W2779" s="159">
        <f t="shared" si="169"/>
        <v>0</v>
      </c>
      <c r="X2779" s="53">
        <f t="shared" si="172"/>
        <v>0</v>
      </c>
      <c r="Y2779" s="53">
        <f t="shared" si="173"/>
        <v>0</v>
      </c>
      <c r="Z2779" s="54" t="e">
        <f t="shared" si="170"/>
        <v>#DIV/0!</v>
      </c>
    </row>
    <row r="2780" spans="7:26">
      <c r="G2780" s="8"/>
      <c r="L2780" s="20"/>
      <c r="M2780" s="116" t="s">
        <v>379</v>
      </c>
      <c r="N2780" s="117" t="s">
        <v>76</v>
      </c>
      <c r="O2780" s="117" t="s">
        <v>67</v>
      </c>
      <c r="Q2780" s="52">
        <f t="shared" si="171"/>
        <v>283132</v>
      </c>
      <c r="R2780" s="52">
        <f t="shared" si="171"/>
        <v>283132</v>
      </c>
      <c r="S2780" s="52">
        <f t="shared" si="171"/>
        <v>1604946</v>
      </c>
      <c r="T2780" s="159">
        <f t="shared" si="171"/>
        <v>1604946</v>
      </c>
      <c r="U2780" s="52">
        <f t="shared" si="171"/>
        <v>151529.49000000002</v>
      </c>
      <c r="W2780" s="159">
        <f t="shared" si="169"/>
        <v>1572645</v>
      </c>
      <c r="X2780" s="53">
        <f t="shared" si="172"/>
        <v>1604946</v>
      </c>
      <c r="Y2780" s="53">
        <f t="shared" si="173"/>
        <v>151529.49000000002</v>
      </c>
      <c r="Z2780" s="54">
        <f t="shared" si="170"/>
        <v>10.591641270619995</v>
      </c>
    </row>
    <row r="2781" spans="7:26">
      <c r="G2781" s="8"/>
      <c r="L2781" s="20"/>
      <c r="M2781" s="116" t="s">
        <v>380</v>
      </c>
      <c r="N2781" s="117" t="s">
        <v>73</v>
      </c>
      <c r="O2781" s="117" t="s">
        <v>67</v>
      </c>
      <c r="Q2781" s="52">
        <f t="shared" si="171"/>
        <v>0</v>
      </c>
      <c r="R2781" s="52">
        <f t="shared" si="171"/>
        <v>0</v>
      </c>
      <c r="S2781" s="52">
        <f t="shared" si="171"/>
        <v>0</v>
      </c>
      <c r="T2781" s="52">
        <f t="shared" si="171"/>
        <v>0</v>
      </c>
      <c r="U2781" s="52">
        <f t="shared" si="171"/>
        <v>0</v>
      </c>
      <c r="W2781" s="159">
        <f t="shared" si="169"/>
        <v>0</v>
      </c>
      <c r="X2781" s="53">
        <f t="shared" si="172"/>
        <v>0</v>
      </c>
      <c r="Y2781" s="53">
        <f t="shared" si="173"/>
        <v>0</v>
      </c>
      <c r="Z2781" s="54" t="e">
        <f t="shared" si="170"/>
        <v>#DIV/0!</v>
      </c>
    </row>
    <row r="2782" spans="7:26">
      <c r="G2782" s="8"/>
      <c r="L2782" s="20"/>
      <c r="M2782" s="116" t="s">
        <v>429</v>
      </c>
      <c r="N2782" s="117" t="s">
        <v>420</v>
      </c>
      <c r="O2782" s="117" t="s">
        <v>421</v>
      </c>
      <c r="Q2782" s="52">
        <f t="shared" si="171"/>
        <v>0</v>
      </c>
      <c r="R2782" s="52">
        <f t="shared" si="171"/>
        <v>0</v>
      </c>
      <c r="S2782" s="52">
        <f t="shared" si="171"/>
        <v>0</v>
      </c>
      <c r="T2782" s="52">
        <f t="shared" si="171"/>
        <v>0</v>
      </c>
      <c r="U2782" s="52">
        <f t="shared" si="171"/>
        <v>0</v>
      </c>
      <c r="W2782" s="159">
        <f t="shared" si="169"/>
        <v>0</v>
      </c>
      <c r="X2782" s="53">
        <f t="shared" si="172"/>
        <v>0</v>
      </c>
      <c r="Y2782" s="53">
        <f t="shared" si="173"/>
        <v>0</v>
      </c>
      <c r="Z2782" s="54" t="e">
        <f t="shared" si="170"/>
        <v>#DIV/0!</v>
      </c>
    </row>
    <row r="2783" spans="7:26">
      <c r="G2783" s="8"/>
      <c r="L2783" s="20"/>
      <c r="M2783" s="20"/>
      <c r="N2783" s="20"/>
      <c r="O2783" s="20"/>
      <c r="Q2783"/>
      <c r="R2783"/>
      <c r="S2783"/>
      <c r="T2783"/>
      <c r="U2783"/>
      <c r="Z2783" s="57"/>
    </row>
    <row r="2784" spans="7:26">
      <c r="G2784" s="8"/>
      <c r="H2784" t="s">
        <v>391</v>
      </c>
      <c r="L2784" s="20"/>
      <c r="M2784" s="116" t="s">
        <v>382</v>
      </c>
      <c r="N2784" s="117" t="s">
        <v>63</v>
      </c>
      <c r="O2784" s="117" t="s">
        <v>64</v>
      </c>
      <c r="Q2784" s="52">
        <f t="shared" ref="Q2784:U2791" si="174">SUMIFS(Q$7:Q$2662,$K$7:$K$2662, "&lt;4",$G$7:$G$2662,$G$2770,$N$7:$N$2662,$N2784)</f>
        <v>14963931</v>
      </c>
      <c r="R2784" s="52">
        <f t="shared" si="174"/>
        <v>14963931</v>
      </c>
      <c r="S2784" s="52">
        <f t="shared" si="174"/>
        <v>7444885</v>
      </c>
      <c r="T2784" s="52">
        <f t="shared" si="174"/>
        <v>7444885</v>
      </c>
      <c r="U2784" s="52">
        <f t="shared" si="174"/>
        <v>638329</v>
      </c>
      <c r="W2784" s="159">
        <f t="shared" ref="W2784:W2791" si="175">SUMIFS(T$7:T$2662,$K$7:$K$2662, "&lt;4",$G$7:$G$2662,$G$2770,$N$7:$N$2662,$N2784, $W$7:$W$2662, "=x")</f>
        <v>0</v>
      </c>
      <c r="X2784" s="53">
        <f t="shared" ref="X2784:X2791" si="176">SUMIFS(T$7:T$2662,U$7:U$2662, "&gt;0",$K$7:$K$2662, "&lt;4",$G$7:$G$2662,$G$2770,$N$7:$N$2662,$N2784)</f>
        <v>7444885</v>
      </c>
      <c r="Y2784" s="53">
        <f t="shared" ref="Y2784:Y2791" si="177">SUMIFS(U$7:U$2662,U$7:U$2662, "&gt;0",$K$7:$K$2662, "&lt;4",$G$7:$G$2662,$G$2770,$N$7:$N$2662,$N2784)</f>
        <v>638329</v>
      </c>
      <c r="Z2784" s="54">
        <f t="shared" ref="Z2784:Z2791" si="178">X2784/Y2784</f>
        <v>11.663084396917577</v>
      </c>
    </row>
    <row r="2785" spans="7:26">
      <c r="G2785" s="8"/>
      <c r="L2785" s="20"/>
      <c r="M2785" s="116" t="s">
        <v>385</v>
      </c>
      <c r="N2785" s="117" t="s">
        <v>16</v>
      </c>
      <c r="O2785" s="117" t="s">
        <v>64</v>
      </c>
      <c r="Q2785" s="52">
        <f t="shared" si="174"/>
        <v>399188</v>
      </c>
      <c r="R2785" s="52">
        <f t="shared" si="174"/>
        <v>282065</v>
      </c>
      <c r="S2785" s="52">
        <f t="shared" si="174"/>
        <v>3062569</v>
      </c>
      <c r="T2785" s="52">
        <f t="shared" si="174"/>
        <v>2164001</v>
      </c>
      <c r="U2785" s="52">
        <f t="shared" si="174"/>
        <v>165345.46</v>
      </c>
      <c r="W2785" s="159">
        <f t="shared" si="175"/>
        <v>0</v>
      </c>
      <c r="X2785" s="53">
        <f t="shared" si="176"/>
        <v>2164001</v>
      </c>
      <c r="Y2785" s="53">
        <f t="shared" si="177"/>
        <v>165345.46</v>
      </c>
      <c r="Z2785" s="54">
        <f t="shared" si="178"/>
        <v>13.087755781138473</v>
      </c>
    </row>
    <row r="2786" spans="7:26">
      <c r="G2786" s="8"/>
      <c r="L2786" s="20"/>
      <c r="M2786" s="116" t="s">
        <v>381</v>
      </c>
      <c r="N2786" s="117" t="s">
        <v>151</v>
      </c>
      <c r="O2786" s="117" t="s">
        <v>70</v>
      </c>
      <c r="Q2786" s="52">
        <f t="shared" si="174"/>
        <v>0</v>
      </c>
      <c r="R2786" s="52">
        <f t="shared" si="174"/>
        <v>0</v>
      </c>
      <c r="S2786" s="52">
        <f t="shared" si="174"/>
        <v>0</v>
      </c>
      <c r="T2786" s="52">
        <f t="shared" si="174"/>
        <v>0</v>
      </c>
      <c r="U2786" s="52">
        <f t="shared" si="174"/>
        <v>0</v>
      </c>
      <c r="W2786" s="159">
        <f t="shared" si="175"/>
        <v>0</v>
      </c>
      <c r="X2786" s="53">
        <f t="shared" si="176"/>
        <v>0</v>
      </c>
      <c r="Y2786" s="53">
        <f t="shared" si="177"/>
        <v>0</v>
      </c>
      <c r="Z2786" s="54" t="e">
        <f t="shared" si="178"/>
        <v>#DIV/0!</v>
      </c>
    </row>
    <row r="2787" spans="7:26">
      <c r="G2787" s="8"/>
      <c r="L2787" s="20"/>
      <c r="M2787" s="116" t="s">
        <v>390</v>
      </c>
      <c r="N2787" s="117" t="s">
        <v>69</v>
      </c>
      <c r="O2787" s="117" t="s">
        <v>70</v>
      </c>
      <c r="Q2787" s="52">
        <f t="shared" si="174"/>
        <v>471448</v>
      </c>
      <c r="R2787" s="52">
        <f t="shared" si="174"/>
        <v>471448</v>
      </c>
      <c r="S2787" s="52">
        <f t="shared" si="174"/>
        <v>4950207</v>
      </c>
      <c r="T2787" s="52">
        <f t="shared" si="174"/>
        <v>4950207</v>
      </c>
      <c r="U2787" s="52">
        <f t="shared" si="174"/>
        <v>254813.62</v>
      </c>
      <c r="W2787" s="159">
        <f t="shared" si="175"/>
        <v>0</v>
      </c>
      <c r="X2787" s="53">
        <f t="shared" si="176"/>
        <v>4950207</v>
      </c>
      <c r="Y2787" s="53">
        <f t="shared" si="177"/>
        <v>254813.62</v>
      </c>
      <c r="Z2787" s="54">
        <f t="shared" si="178"/>
        <v>19.426775538921351</v>
      </c>
    </row>
    <row r="2788" spans="7:26">
      <c r="G2788" s="8"/>
      <c r="L2788" s="20"/>
      <c r="M2788" s="116" t="s">
        <v>383</v>
      </c>
      <c r="N2788" s="117" t="s">
        <v>152</v>
      </c>
      <c r="O2788" s="117" t="s">
        <v>49</v>
      </c>
      <c r="Q2788" s="52">
        <f t="shared" si="174"/>
        <v>0</v>
      </c>
      <c r="R2788" s="52">
        <f t="shared" si="174"/>
        <v>0</v>
      </c>
      <c r="S2788" s="52">
        <f t="shared" si="174"/>
        <v>0</v>
      </c>
      <c r="T2788" s="52">
        <f t="shared" si="174"/>
        <v>0</v>
      </c>
      <c r="U2788" s="52">
        <f t="shared" si="174"/>
        <v>0</v>
      </c>
      <c r="W2788" s="159">
        <f t="shared" si="175"/>
        <v>0</v>
      </c>
      <c r="X2788" s="53">
        <f t="shared" si="176"/>
        <v>0</v>
      </c>
      <c r="Y2788" s="53">
        <f t="shared" si="177"/>
        <v>0</v>
      </c>
      <c r="Z2788" s="54" t="e">
        <f>X2788/Y2788</f>
        <v>#DIV/0!</v>
      </c>
    </row>
    <row r="2789" spans="7:26">
      <c r="G2789" s="8"/>
      <c r="L2789" s="20"/>
      <c r="M2789" s="116" t="s">
        <v>431</v>
      </c>
      <c r="N2789" s="117" t="s">
        <v>413</v>
      </c>
      <c r="O2789" s="117" t="s">
        <v>49</v>
      </c>
      <c r="Q2789" s="52">
        <f t="shared" si="174"/>
        <v>0</v>
      </c>
      <c r="R2789" s="52">
        <f t="shared" si="174"/>
        <v>0</v>
      </c>
      <c r="S2789" s="52">
        <f t="shared" si="174"/>
        <v>0</v>
      </c>
      <c r="T2789" s="52">
        <f t="shared" si="174"/>
        <v>0</v>
      </c>
      <c r="U2789" s="52">
        <f t="shared" si="174"/>
        <v>0</v>
      </c>
      <c r="W2789" s="159">
        <f t="shared" si="175"/>
        <v>0</v>
      </c>
      <c r="X2789" s="53">
        <f t="shared" si="176"/>
        <v>0</v>
      </c>
      <c r="Y2789" s="53">
        <f t="shared" si="177"/>
        <v>0</v>
      </c>
      <c r="Z2789" s="54" t="e">
        <f t="shared" si="178"/>
        <v>#DIV/0!</v>
      </c>
    </row>
    <row r="2790" spans="7:26">
      <c r="G2790" s="8"/>
      <c r="L2790" s="20"/>
      <c r="M2790" s="116" t="s">
        <v>2456</v>
      </c>
      <c r="N2790" s="117" t="s">
        <v>418</v>
      </c>
      <c r="O2790" s="117" t="s">
        <v>49</v>
      </c>
      <c r="Q2790" s="52">
        <f t="shared" si="174"/>
        <v>0</v>
      </c>
      <c r="R2790" s="52">
        <f t="shared" si="174"/>
        <v>0</v>
      </c>
      <c r="S2790" s="52">
        <f t="shared" si="174"/>
        <v>0</v>
      </c>
      <c r="T2790" s="52">
        <f t="shared" si="174"/>
        <v>0</v>
      </c>
      <c r="U2790" s="52">
        <f t="shared" si="174"/>
        <v>0</v>
      </c>
      <c r="W2790" s="159">
        <f t="shared" si="175"/>
        <v>0</v>
      </c>
      <c r="X2790" s="53">
        <f t="shared" si="176"/>
        <v>0</v>
      </c>
      <c r="Y2790" s="53">
        <f t="shared" si="177"/>
        <v>0</v>
      </c>
      <c r="Z2790" s="54" t="e">
        <f>X2790/Y2790</f>
        <v>#DIV/0!</v>
      </c>
    </row>
    <row r="2791" spans="7:26">
      <c r="G2791" s="8"/>
      <c r="L2791" s="20"/>
      <c r="M2791" s="116" t="s">
        <v>430</v>
      </c>
      <c r="N2791" s="117" t="s">
        <v>68</v>
      </c>
      <c r="O2791" s="117" t="s">
        <v>49</v>
      </c>
      <c r="Q2791" s="52">
        <f t="shared" si="174"/>
        <v>0</v>
      </c>
      <c r="R2791" s="52">
        <f t="shared" si="174"/>
        <v>0</v>
      </c>
      <c r="S2791" s="52">
        <f t="shared" si="174"/>
        <v>0</v>
      </c>
      <c r="T2791" s="52">
        <f t="shared" si="174"/>
        <v>0</v>
      </c>
      <c r="U2791" s="52">
        <f t="shared" si="174"/>
        <v>0</v>
      </c>
      <c r="W2791" s="159">
        <f t="shared" si="175"/>
        <v>0</v>
      </c>
      <c r="X2791" s="53">
        <f t="shared" si="176"/>
        <v>0</v>
      </c>
      <c r="Y2791" s="53">
        <f t="shared" si="177"/>
        <v>0</v>
      </c>
      <c r="Z2791" s="54" t="e">
        <f t="shared" si="178"/>
        <v>#DIV/0!</v>
      </c>
    </row>
    <row r="2792" spans="7:26" ht="13">
      <c r="G2792" s="9"/>
      <c r="H2792" s="10"/>
      <c r="I2792" s="10"/>
      <c r="J2792" s="10"/>
      <c r="K2792" s="10"/>
      <c r="L2792" s="10"/>
      <c r="M2792" s="10"/>
      <c r="N2792" s="10"/>
      <c r="O2792" s="11"/>
      <c r="P2792" s="10"/>
      <c r="Q2792" s="26">
        <f>SUM(Q2770:Q2791)</f>
        <v>492031929</v>
      </c>
      <c r="R2792" s="26">
        <f>SUM(R2770:R2791)</f>
        <v>469764777</v>
      </c>
      <c r="S2792" s="26">
        <f>SUM(S2770:S2791)</f>
        <v>525258105</v>
      </c>
      <c r="T2792" s="26">
        <f>SUM(T2770:T2791)</f>
        <v>500230962</v>
      </c>
      <c r="U2792" s="27">
        <f>SUM(U2770:U2791)</f>
        <v>61650062.134000003</v>
      </c>
      <c r="V2792" s="10"/>
      <c r="W2792" s="10"/>
      <c r="X2792" s="55"/>
      <c r="Y2792" s="55"/>
      <c r="Z2792" s="56"/>
    </row>
    <row r="2794" spans="7:26">
      <c r="X2794" s="1"/>
      <c r="Y2794" s="1"/>
      <c r="Z2794" s="1"/>
    </row>
    <row r="2795" spans="7:26">
      <c r="G2795" s="4" t="s">
        <v>130</v>
      </c>
      <c r="H2795" s="5" t="s">
        <v>392</v>
      </c>
      <c r="I2795" s="5"/>
      <c r="J2795" s="5"/>
      <c r="K2795" s="5"/>
      <c r="L2795" s="149"/>
      <c r="M2795" s="150" t="s">
        <v>386</v>
      </c>
      <c r="N2795" s="151" t="s">
        <v>43</v>
      </c>
      <c r="O2795" s="151" t="s">
        <v>44</v>
      </c>
      <c r="P2795" s="5"/>
      <c r="Q2795" s="49">
        <f t="shared" ref="Q2795:U2807" si="179">SUMIFS(Q$7:Q$2662,$K$7:$K$2662, "&lt;4",$G$7:$G$2662,$G$2795,$N$7:$N$2662,$N2795)</f>
        <v>0</v>
      </c>
      <c r="R2795" s="49">
        <f t="shared" si="179"/>
        <v>0</v>
      </c>
      <c r="S2795" s="49">
        <f t="shared" si="179"/>
        <v>0</v>
      </c>
      <c r="T2795" s="49">
        <f t="shared" si="179"/>
        <v>0</v>
      </c>
      <c r="U2795" s="49">
        <f t="shared" si="179"/>
        <v>0</v>
      </c>
      <c r="V2795" s="5"/>
      <c r="W2795" s="158">
        <f t="shared" ref="W2795:W2807" si="180">SUMIFS(T$7:T$2662,$K$7:$K$2662, "&lt;4",$G$7:$G$2662,$G$2795,$N$7:$N$2662,$N2795, $W$7:$W$2662, "=x")</f>
        <v>0</v>
      </c>
      <c r="X2795" s="50">
        <f t="shared" ref="X2795:X2807" si="181">SUMIFS(T$7:T$2662,U$7:U$2662, "&gt;0",$K$7:$K$2662, "&lt;4",$G$7:$G$2662,$G$2795,$N$7:$N$2662,$N2795)</f>
        <v>0</v>
      </c>
      <c r="Y2795" s="50">
        <f t="shared" ref="Y2795:Y2807" si="182">SUMIFS(U$7:U$2662,U$7:U$2662, "&gt;0",$K$7:$K$2662, "&lt;4",$G$7:$G$2662,$G$2795,$N$7:$N$2662,$N2795)</f>
        <v>0</v>
      </c>
      <c r="Z2795" s="51" t="e">
        <f t="shared" ref="Z2795:Z2807" si="183">X2795/Y2795</f>
        <v>#DIV/0!</v>
      </c>
    </row>
    <row r="2796" spans="7:26">
      <c r="G2796" s="8"/>
      <c r="L2796" s="20"/>
      <c r="M2796" s="116" t="s">
        <v>387</v>
      </c>
      <c r="N2796" s="117" t="s">
        <v>48</v>
      </c>
      <c r="O2796" s="117" t="s">
        <v>44</v>
      </c>
      <c r="Q2796" s="52">
        <f t="shared" si="179"/>
        <v>0</v>
      </c>
      <c r="R2796" s="52">
        <f t="shared" si="179"/>
        <v>0</v>
      </c>
      <c r="S2796" s="52">
        <f t="shared" si="179"/>
        <v>0</v>
      </c>
      <c r="T2796" s="52">
        <f t="shared" si="179"/>
        <v>0</v>
      </c>
      <c r="U2796" s="52">
        <f t="shared" si="179"/>
        <v>0</v>
      </c>
      <c r="W2796" s="159">
        <f t="shared" si="180"/>
        <v>0</v>
      </c>
      <c r="X2796" s="53">
        <f t="shared" si="181"/>
        <v>0</v>
      </c>
      <c r="Y2796" s="53">
        <f t="shared" si="182"/>
        <v>0</v>
      </c>
      <c r="Z2796" s="54" t="e">
        <f t="shared" si="183"/>
        <v>#DIV/0!</v>
      </c>
    </row>
    <row r="2797" spans="7:26">
      <c r="G2797" s="8"/>
      <c r="L2797" s="20"/>
      <c r="M2797" s="116" t="s">
        <v>375</v>
      </c>
      <c r="N2797" s="117" t="s">
        <v>46</v>
      </c>
      <c r="O2797" s="117" t="s">
        <v>46</v>
      </c>
      <c r="Q2797" s="52">
        <f t="shared" si="179"/>
        <v>96150</v>
      </c>
      <c r="R2797" s="52">
        <f t="shared" si="179"/>
        <v>96150</v>
      </c>
      <c r="S2797" s="52">
        <f t="shared" si="179"/>
        <v>557363</v>
      </c>
      <c r="T2797" s="159">
        <f t="shared" si="179"/>
        <v>557363</v>
      </c>
      <c r="U2797" s="52">
        <f t="shared" si="179"/>
        <v>56838.898000000008</v>
      </c>
      <c r="W2797" s="159">
        <f t="shared" si="180"/>
        <v>553746</v>
      </c>
      <c r="X2797" s="53">
        <f t="shared" si="181"/>
        <v>557363</v>
      </c>
      <c r="Y2797" s="53">
        <f t="shared" si="182"/>
        <v>56838.898000000008</v>
      </c>
      <c r="Z2797" s="54">
        <f t="shared" si="183"/>
        <v>9.8060134804161745</v>
      </c>
    </row>
    <row r="2798" spans="7:26">
      <c r="G2798" s="8"/>
      <c r="L2798" s="20"/>
      <c r="M2798" s="116" t="s">
        <v>374</v>
      </c>
      <c r="N2798" s="117" t="s">
        <v>39</v>
      </c>
      <c r="O2798" s="117" t="s">
        <v>39</v>
      </c>
      <c r="Q2798" s="52">
        <f t="shared" si="179"/>
        <v>50316764</v>
      </c>
      <c r="R2798" s="52">
        <f t="shared" si="179"/>
        <v>50316764</v>
      </c>
      <c r="S2798" s="52">
        <f t="shared" si="179"/>
        <v>51741187</v>
      </c>
      <c r="T2798" s="159">
        <f t="shared" si="179"/>
        <v>51741187</v>
      </c>
      <c r="U2798" s="52">
        <f t="shared" si="179"/>
        <v>6764667.0999999996</v>
      </c>
      <c r="W2798" s="159">
        <f t="shared" si="180"/>
        <v>51741187</v>
      </c>
      <c r="X2798" s="53">
        <f t="shared" si="181"/>
        <v>51741187</v>
      </c>
      <c r="Y2798" s="53">
        <f t="shared" si="182"/>
        <v>6764667.0999999996</v>
      </c>
      <c r="Z2798" s="54">
        <f t="shared" si="183"/>
        <v>7.6487410592606997</v>
      </c>
    </row>
    <row r="2799" spans="7:26">
      <c r="G2799" s="8"/>
      <c r="L2799" s="20"/>
      <c r="M2799" s="116" t="s">
        <v>388</v>
      </c>
      <c r="N2799" s="117" t="s">
        <v>17</v>
      </c>
      <c r="O2799" s="117" t="s">
        <v>82</v>
      </c>
      <c r="Q2799" s="52">
        <f t="shared" si="179"/>
        <v>0</v>
      </c>
      <c r="R2799" s="52">
        <f t="shared" si="179"/>
        <v>0</v>
      </c>
      <c r="S2799" s="52">
        <f t="shared" si="179"/>
        <v>0</v>
      </c>
      <c r="T2799" s="52">
        <f t="shared" si="179"/>
        <v>0</v>
      </c>
      <c r="U2799" s="52">
        <f t="shared" si="179"/>
        <v>0</v>
      </c>
      <c r="W2799" s="159">
        <f t="shared" si="180"/>
        <v>0</v>
      </c>
      <c r="X2799" s="53">
        <f t="shared" si="181"/>
        <v>0</v>
      </c>
      <c r="Y2799" s="53">
        <f t="shared" si="182"/>
        <v>0</v>
      </c>
      <c r="Z2799" s="54" t="e">
        <f t="shared" si="183"/>
        <v>#DIV/0!</v>
      </c>
    </row>
    <row r="2800" spans="7:26">
      <c r="G2800" s="8"/>
      <c r="L2800" s="20"/>
      <c r="M2800" s="116" t="s">
        <v>389</v>
      </c>
      <c r="N2800" s="117" t="s">
        <v>82</v>
      </c>
      <c r="O2800" s="117" t="s">
        <v>82</v>
      </c>
      <c r="Q2800" s="52">
        <f t="shared" si="179"/>
        <v>0</v>
      </c>
      <c r="R2800" s="52">
        <f t="shared" si="179"/>
        <v>0</v>
      </c>
      <c r="S2800" s="52">
        <f t="shared" si="179"/>
        <v>0</v>
      </c>
      <c r="T2800" s="52">
        <f t="shared" si="179"/>
        <v>0</v>
      </c>
      <c r="U2800" s="52">
        <f t="shared" si="179"/>
        <v>0</v>
      </c>
      <c r="W2800" s="159">
        <f t="shared" si="180"/>
        <v>0</v>
      </c>
      <c r="X2800" s="53">
        <f t="shared" si="181"/>
        <v>0</v>
      </c>
      <c r="Y2800" s="53">
        <f t="shared" si="182"/>
        <v>0</v>
      </c>
      <c r="Z2800" s="54" t="e">
        <f t="shared" si="183"/>
        <v>#DIV/0!</v>
      </c>
    </row>
    <row r="2801" spans="7:26">
      <c r="G2801" s="8"/>
      <c r="L2801" s="20"/>
      <c r="M2801" s="116" t="s">
        <v>384</v>
      </c>
      <c r="N2801" s="117" t="s">
        <v>396</v>
      </c>
      <c r="O2801" s="117" t="s">
        <v>82</v>
      </c>
      <c r="Q2801" s="52">
        <f t="shared" si="179"/>
        <v>0</v>
      </c>
      <c r="R2801" s="52">
        <f t="shared" si="179"/>
        <v>0</v>
      </c>
      <c r="S2801" s="52">
        <f t="shared" si="179"/>
        <v>0</v>
      </c>
      <c r="T2801" s="52">
        <f t="shared" si="179"/>
        <v>0</v>
      </c>
      <c r="U2801" s="52">
        <f t="shared" si="179"/>
        <v>0</v>
      </c>
      <c r="W2801" s="159">
        <f t="shared" si="180"/>
        <v>0</v>
      </c>
      <c r="X2801" s="53">
        <f t="shared" si="181"/>
        <v>0</v>
      </c>
      <c r="Y2801" s="53">
        <f t="shared" si="182"/>
        <v>0</v>
      </c>
      <c r="Z2801" s="54" t="e">
        <f t="shared" si="183"/>
        <v>#DIV/0!</v>
      </c>
    </row>
    <row r="2802" spans="7:26">
      <c r="G2802" s="8"/>
      <c r="L2802" s="20"/>
      <c r="M2802" s="116" t="s">
        <v>377</v>
      </c>
      <c r="N2802" s="117" t="s">
        <v>65</v>
      </c>
      <c r="O2802" s="117" t="s">
        <v>65</v>
      </c>
      <c r="Q2802" s="52">
        <f t="shared" si="179"/>
        <v>0</v>
      </c>
      <c r="R2802" s="52">
        <f t="shared" si="179"/>
        <v>0</v>
      </c>
      <c r="S2802" s="52">
        <f t="shared" si="179"/>
        <v>0</v>
      </c>
      <c r="T2802" s="52">
        <f t="shared" si="179"/>
        <v>0</v>
      </c>
      <c r="U2802" s="52">
        <f t="shared" si="179"/>
        <v>0</v>
      </c>
      <c r="W2802" s="159">
        <f t="shared" si="180"/>
        <v>0</v>
      </c>
      <c r="X2802" s="53">
        <f t="shared" si="181"/>
        <v>0</v>
      </c>
      <c r="Y2802" s="53">
        <f t="shared" si="182"/>
        <v>0</v>
      </c>
      <c r="Z2802" s="54" t="e">
        <f t="shared" si="183"/>
        <v>#DIV/0!</v>
      </c>
    </row>
    <row r="2803" spans="7:26">
      <c r="G2803" s="8"/>
      <c r="L2803" s="20"/>
      <c r="M2803" s="116" t="s">
        <v>376</v>
      </c>
      <c r="N2803" s="117" t="s">
        <v>61</v>
      </c>
      <c r="O2803" s="117" t="s">
        <v>61</v>
      </c>
      <c r="Q2803" s="52">
        <f t="shared" si="179"/>
        <v>0</v>
      </c>
      <c r="R2803" s="52">
        <f t="shared" si="179"/>
        <v>0</v>
      </c>
      <c r="S2803" s="52">
        <f t="shared" si="179"/>
        <v>0</v>
      </c>
      <c r="T2803" s="52">
        <f t="shared" si="179"/>
        <v>0</v>
      </c>
      <c r="U2803" s="52">
        <f t="shared" si="179"/>
        <v>0</v>
      </c>
      <c r="W2803" s="159">
        <f t="shared" si="180"/>
        <v>0</v>
      </c>
      <c r="X2803" s="53">
        <f t="shared" si="181"/>
        <v>0</v>
      </c>
      <c r="Y2803" s="53">
        <f t="shared" si="182"/>
        <v>0</v>
      </c>
      <c r="Z2803" s="54" t="e">
        <f t="shared" si="183"/>
        <v>#DIV/0!</v>
      </c>
    </row>
    <row r="2804" spans="7:26">
      <c r="G2804" s="8"/>
      <c r="L2804" s="20"/>
      <c r="M2804" s="116" t="s">
        <v>378</v>
      </c>
      <c r="N2804" s="117" t="s">
        <v>66</v>
      </c>
      <c r="O2804" s="117" t="s">
        <v>67</v>
      </c>
      <c r="Q2804" s="52">
        <f t="shared" si="179"/>
        <v>0</v>
      </c>
      <c r="R2804" s="52">
        <f t="shared" si="179"/>
        <v>0</v>
      </c>
      <c r="S2804" s="52">
        <f t="shared" si="179"/>
        <v>0</v>
      </c>
      <c r="T2804" s="52">
        <f t="shared" si="179"/>
        <v>0</v>
      </c>
      <c r="U2804" s="52">
        <f t="shared" si="179"/>
        <v>0</v>
      </c>
      <c r="W2804" s="159">
        <f t="shared" si="180"/>
        <v>0</v>
      </c>
      <c r="X2804" s="53">
        <f t="shared" si="181"/>
        <v>0</v>
      </c>
      <c r="Y2804" s="53">
        <f t="shared" si="182"/>
        <v>0</v>
      </c>
      <c r="Z2804" s="54" t="e">
        <f t="shared" si="183"/>
        <v>#DIV/0!</v>
      </c>
    </row>
    <row r="2805" spans="7:26">
      <c r="G2805" s="8"/>
      <c r="L2805" s="20"/>
      <c r="M2805" s="116" t="s">
        <v>379</v>
      </c>
      <c r="N2805" s="117" t="s">
        <v>76</v>
      </c>
      <c r="O2805" s="117" t="s">
        <v>67</v>
      </c>
      <c r="Q2805" s="52">
        <f t="shared" si="179"/>
        <v>0</v>
      </c>
      <c r="R2805" s="52">
        <f t="shared" si="179"/>
        <v>0</v>
      </c>
      <c r="S2805" s="52">
        <f t="shared" si="179"/>
        <v>0</v>
      </c>
      <c r="T2805" s="52">
        <f t="shared" si="179"/>
        <v>0</v>
      </c>
      <c r="U2805" s="52">
        <f t="shared" si="179"/>
        <v>0</v>
      </c>
      <c r="W2805" s="159">
        <f t="shared" si="180"/>
        <v>0</v>
      </c>
      <c r="X2805" s="53">
        <f t="shared" si="181"/>
        <v>0</v>
      </c>
      <c r="Y2805" s="53">
        <f t="shared" si="182"/>
        <v>0</v>
      </c>
      <c r="Z2805" s="54" t="e">
        <f t="shared" si="183"/>
        <v>#DIV/0!</v>
      </c>
    </row>
    <row r="2806" spans="7:26">
      <c r="G2806" s="8"/>
      <c r="L2806" s="20"/>
      <c r="M2806" s="116" t="s">
        <v>380</v>
      </c>
      <c r="N2806" s="117" t="s">
        <v>73</v>
      </c>
      <c r="O2806" s="117" t="s">
        <v>67</v>
      </c>
      <c r="Q2806" s="52">
        <f t="shared" si="179"/>
        <v>0</v>
      </c>
      <c r="R2806" s="52">
        <f t="shared" si="179"/>
        <v>0</v>
      </c>
      <c r="S2806" s="52">
        <f t="shared" si="179"/>
        <v>0</v>
      </c>
      <c r="T2806" s="52">
        <f t="shared" si="179"/>
        <v>0</v>
      </c>
      <c r="U2806" s="52">
        <f t="shared" si="179"/>
        <v>0</v>
      </c>
      <c r="W2806" s="159">
        <f t="shared" si="180"/>
        <v>0</v>
      </c>
      <c r="X2806" s="53">
        <f t="shared" si="181"/>
        <v>0</v>
      </c>
      <c r="Y2806" s="53">
        <f t="shared" si="182"/>
        <v>0</v>
      </c>
      <c r="Z2806" s="54" t="e">
        <f t="shared" si="183"/>
        <v>#DIV/0!</v>
      </c>
    </row>
    <row r="2807" spans="7:26">
      <c r="G2807" s="8"/>
      <c r="L2807" s="20"/>
      <c r="M2807" s="116" t="s">
        <v>429</v>
      </c>
      <c r="N2807" s="117" t="s">
        <v>420</v>
      </c>
      <c r="O2807" s="117" t="s">
        <v>421</v>
      </c>
      <c r="Q2807" s="52">
        <f t="shared" si="179"/>
        <v>0</v>
      </c>
      <c r="R2807" s="52">
        <f t="shared" si="179"/>
        <v>0</v>
      </c>
      <c r="S2807" s="52">
        <f t="shared" si="179"/>
        <v>0</v>
      </c>
      <c r="T2807" s="52">
        <f t="shared" si="179"/>
        <v>0</v>
      </c>
      <c r="U2807" s="52">
        <f t="shared" si="179"/>
        <v>0</v>
      </c>
      <c r="W2807" s="159">
        <f t="shared" si="180"/>
        <v>0</v>
      </c>
      <c r="X2807" s="53">
        <f t="shared" si="181"/>
        <v>0</v>
      </c>
      <c r="Y2807" s="53">
        <f t="shared" si="182"/>
        <v>0</v>
      </c>
      <c r="Z2807" s="54" t="e">
        <f t="shared" si="183"/>
        <v>#DIV/0!</v>
      </c>
    </row>
    <row r="2808" spans="7:26">
      <c r="G2808" s="8"/>
      <c r="L2808" s="20"/>
      <c r="M2808" s="20"/>
      <c r="N2808" s="20"/>
      <c r="O2808" s="20"/>
      <c r="Q2808"/>
      <c r="R2808"/>
      <c r="S2808"/>
      <c r="T2808"/>
      <c r="U2808"/>
      <c r="Z2808" s="57"/>
    </row>
    <row r="2809" spans="7:26">
      <c r="G2809" s="8"/>
      <c r="H2809" t="s">
        <v>391</v>
      </c>
      <c r="L2809" s="20"/>
      <c r="M2809" s="116" t="s">
        <v>382</v>
      </c>
      <c r="N2809" s="117" t="s">
        <v>63</v>
      </c>
      <c r="O2809" s="117" t="s">
        <v>64</v>
      </c>
      <c r="Q2809" s="52">
        <f t="shared" ref="Q2809:U2816" si="184">SUMIFS(Q$7:Q$2662,$K$7:$K$2662, "&lt;4",$G$7:$G$2662,$G$2795,$N$7:$N$2662,$N2809)</f>
        <v>4288293</v>
      </c>
      <c r="R2809" s="52">
        <f t="shared" si="184"/>
        <v>4288293</v>
      </c>
      <c r="S2809" s="52">
        <f t="shared" si="184"/>
        <v>2110245</v>
      </c>
      <c r="T2809" s="52">
        <f t="shared" si="184"/>
        <v>2110245</v>
      </c>
      <c r="U2809" s="52">
        <f t="shared" si="184"/>
        <v>214784.18</v>
      </c>
      <c r="W2809" s="159">
        <f t="shared" ref="W2809:W2816" si="185">SUMIFS(T$7:T$2662,$K$7:$K$2662, "&lt;4",$G$7:$G$2662,$G$2795,$N$7:$N$2662,$N2809, $W$7:$W$2662, "=x")</f>
        <v>0</v>
      </c>
      <c r="X2809" s="53">
        <f t="shared" ref="X2809:X2816" si="186">SUMIFS(T$7:T$2662,U$7:U$2662, "&gt;0",$K$7:$K$2662, "&lt;4",$G$7:$G$2662,$G$2795,$N$7:$N$2662,$N2809)</f>
        <v>2110245</v>
      </c>
      <c r="Y2809" s="53">
        <f t="shared" ref="Y2809:Y2816" si="187">SUMIFS(U$7:U$2662,U$7:U$2662, "&gt;0",$K$7:$K$2662, "&lt;4",$G$7:$G$2662,$G$2795,$N$7:$N$2662,$N2809)</f>
        <v>214784.18</v>
      </c>
      <c r="Z2809" s="54">
        <f t="shared" ref="Z2809:Z2816" si="188">X2809/Y2809</f>
        <v>9.8249554506295578</v>
      </c>
    </row>
    <row r="2810" spans="7:26">
      <c r="G2810" s="8"/>
      <c r="L2810" s="20"/>
      <c r="M2810" s="116" t="s">
        <v>385</v>
      </c>
      <c r="N2810" s="117" t="s">
        <v>16</v>
      </c>
      <c r="O2810" s="117" t="s">
        <v>64</v>
      </c>
      <c r="Q2810" s="52">
        <f t="shared" si="184"/>
        <v>0</v>
      </c>
      <c r="R2810" s="52">
        <f t="shared" si="184"/>
        <v>0</v>
      </c>
      <c r="S2810" s="52">
        <f t="shared" si="184"/>
        <v>0</v>
      </c>
      <c r="T2810" s="52">
        <f t="shared" si="184"/>
        <v>0</v>
      </c>
      <c r="U2810" s="52">
        <f t="shared" si="184"/>
        <v>0</v>
      </c>
      <c r="W2810" s="159">
        <f t="shared" si="185"/>
        <v>0</v>
      </c>
      <c r="X2810" s="53">
        <f t="shared" si="186"/>
        <v>0</v>
      </c>
      <c r="Y2810" s="53">
        <f t="shared" si="187"/>
        <v>0</v>
      </c>
      <c r="Z2810" s="54" t="e">
        <f t="shared" si="188"/>
        <v>#DIV/0!</v>
      </c>
    </row>
    <row r="2811" spans="7:26">
      <c r="G2811" s="8"/>
      <c r="L2811" s="20"/>
      <c r="M2811" s="116" t="s">
        <v>381</v>
      </c>
      <c r="N2811" s="117" t="s">
        <v>151</v>
      </c>
      <c r="O2811" s="117" t="s">
        <v>70</v>
      </c>
      <c r="Q2811" s="52">
        <f t="shared" si="184"/>
        <v>0</v>
      </c>
      <c r="R2811" s="52">
        <f t="shared" si="184"/>
        <v>0</v>
      </c>
      <c r="S2811" s="52">
        <f t="shared" si="184"/>
        <v>0</v>
      </c>
      <c r="T2811" s="52">
        <f t="shared" si="184"/>
        <v>0</v>
      </c>
      <c r="U2811" s="52">
        <f t="shared" si="184"/>
        <v>0</v>
      </c>
      <c r="W2811" s="159">
        <f t="shared" si="185"/>
        <v>0</v>
      </c>
      <c r="X2811" s="53">
        <f t="shared" si="186"/>
        <v>0</v>
      </c>
      <c r="Y2811" s="53">
        <f t="shared" si="187"/>
        <v>0</v>
      </c>
      <c r="Z2811" s="54" t="e">
        <f t="shared" si="188"/>
        <v>#DIV/0!</v>
      </c>
    </row>
    <row r="2812" spans="7:26">
      <c r="G2812" s="8"/>
      <c r="L2812" s="20"/>
      <c r="M2812" s="116" t="s">
        <v>390</v>
      </c>
      <c r="N2812" s="117" t="s">
        <v>69</v>
      </c>
      <c r="O2812" s="117" t="s">
        <v>70</v>
      </c>
      <c r="Q2812" s="52">
        <f t="shared" si="184"/>
        <v>0</v>
      </c>
      <c r="R2812" s="52">
        <f t="shared" si="184"/>
        <v>0</v>
      </c>
      <c r="S2812" s="52">
        <f t="shared" si="184"/>
        <v>0</v>
      </c>
      <c r="T2812" s="52">
        <f t="shared" si="184"/>
        <v>0</v>
      </c>
      <c r="U2812" s="52">
        <f t="shared" si="184"/>
        <v>0</v>
      </c>
      <c r="W2812" s="159">
        <f t="shared" si="185"/>
        <v>0</v>
      </c>
      <c r="X2812" s="53">
        <f t="shared" si="186"/>
        <v>0</v>
      </c>
      <c r="Y2812" s="53">
        <f t="shared" si="187"/>
        <v>0</v>
      </c>
      <c r="Z2812" s="54" t="e">
        <f t="shared" si="188"/>
        <v>#DIV/0!</v>
      </c>
    </row>
    <row r="2813" spans="7:26">
      <c r="G2813" s="8"/>
      <c r="L2813" s="20"/>
      <c r="M2813" s="116" t="s">
        <v>383</v>
      </c>
      <c r="N2813" s="117" t="s">
        <v>152</v>
      </c>
      <c r="O2813" s="117" t="s">
        <v>49</v>
      </c>
      <c r="Q2813" s="52">
        <f t="shared" si="184"/>
        <v>0</v>
      </c>
      <c r="R2813" s="52">
        <f t="shared" si="184"/>
        <v>0</v>
      </c>
      <c r="S2813" s="52">
        <f t="shared" si="184"/>
        <v>0</v>
      </c>
      <c r="T2813" s="52">
        <f t="shared" si="184"/>
        <v>0</v>
      </c>
      <c r="U2813" s="52">
        <f t="shared" si="184"/>
        <v>0</v>
      </c>
      <c r="W2813" s="159">
        <f t="shared" si="185"/>
        <v>0</v>
      </c>
      <c r="X2813" s="53">
        <f t="shared" si="186"/>
        <v>0</v>
      </c>
      <c r="Y2813" s="53">
        <f t="shared" si="187"/>
        <v>0</v>
      </c>
      <c r="Z2813" s="54" t="e">
        <f t="shared" si="188"/>
        <v>#DIV/0!</v>
      </c>
    </row>
    <row r="2814" spans="7:26">
      <c r="G2814" s="8"/>
      <c r="L2814" s="20"/>
      <c r="M2814" s="116" t="s">
        <v>431</v>
      </c>
      <c r="N2814" s="117" t="s">
        <v>413</v>
      </c>
      <c r="O2814" s="117" t="s">
        <v>49</v>
      </c>
      <c r="Q2814" s="52">
        <f t="shared" si="184"/>
        <v>0</v>
      </c>
      <c r="R2814" s="52">
        <f t="shared" si="184"/>
        <v>0</v>
      </c>
      <c r="S2814" s="52">
        <f t="shared" si="184"/>
        <v>0</v>
      </c>
      <c r="T2814" s="52">
        <f t="shared" si="184"/>
        <v>0</v>
      </c>
      <c r="U2814" s="52">
        <f t="shared" si="184"/>
        <v>0</v>
      </c>
      <c r="W2814" s="159">
        <f t="shared" si="185"/>
        <v>0</v>
      </c>
      <c r="X2814" s="53">
        <f t="shared" si="186"/>
        <v>0</v>
      </c>
      <c r="Y2814" s="53">
        <f t="shared" si="187"/>
        <v>0</v>
      </c>
      <c r="Z2814" s="54" t="e">
        <f t="shared" si="188"/>
        <v>#DIV/0!</v>
      </c>
    </row>
    <row r="2815" spans="7:26">
      <c r="G2815" s="8"/>
      <c r="L2815" s="20"/>
      <c r="M2815" s="116" t="s">
        <v>2456</v>
      </c>
      <c r="N2815" s="117" t="s">
        <v>418</v>
      </c>
      <c r="O2815" s="117" t="s">
        <v>49</v>
      </c>
      <c r="Q2815" s="52">
        <f t="shared" si="184"/>
        <v>0</v>
      </c>
      <c r="R2815" s="52">
        <f t="shared" si="184"/>
        <v>0</v>
      </c>
      <c r="S2815" s="52">
        <f t="shared" si="184"/>
        <v>0</v>
      </c>
      <c r="T2815" s="52">
        <f t="shared" si="184"/>
        <v>0</v>
      </c>
      <c r="U2815" s="52">
        <f t="shared" si="184"/>
        <v>0</v>
      </c>
      <c r="W2815" s="159">
        <f t="shared" si="185"/>
        <v>0</v>
      </c>
      <c r="X2815" s="53">
        <f t="shared" si="186"/>
        <v>0</v>
      </c>
      <c r="Y2815" s="53">
        <f t="shared" si="187"/>
        <v>0</v>
      </c>
      <c r="Z2815" s="54" t="e">
        <f t="shared" si="188"/>
        <v>#DIV/0!</v>
      </c>
    </row>
    <row r="2816" spans="7:26">
      <c r="G2816" s="8"/>
      <c r="L2816" s="20"/>
      <c r="M2816" s="116" t="s">
        <v>430</v>
      </c>
      <c r="N2816" s="117" t="s">
        <v>68</v>
      </c>
      <c r="O2816" s="117" t="s">
        <v>49</v>
      </c>
      <c r="Q2816" s="52">
        <f t="shared" si="184"/>
        <v>55701</v>
      </c>
      <c r="R2816" s="52">
        <f t="shared" si="184"/>
        <v>55701</v>
      </c>
      <c r="S2816" s="52">
        <f t="shared" si="184"/>
        <v>37875</v>
      </c>
      <c r="T2816" s="52">
        <f t="shared" si="184"/>
        <v>37875</v>
      </c>
      <c r="U2816" s="52">
        <f t="shared" si="184"/>
        <v>3666.18</v>
      </c>
      <c r="W2816" s="159">
        <f t="shared" si="185"/>
        <v>0</v>
      </c>
      <c r="X2816" s="53">
        <f t="shared" si="186"/>
        <v>37875</v>
      </c>
      <c r="Y2816" s="53">
        <f t="shared" si="187"/>
        <v>3666.18</v>
      </c>
      <c r="Z2816" s="54">
        <f t="shared" si="188"/>
        <v>10.330916648937041</v>
      </c>
    </row>
    <row r="2817" spans="7:26" ht="13">
      <c r="G2817" s="9"/>
      <c r="H2817" s="10"/>
      <c r="I2817" s="10"/>
      <c r="J2817" s="10"/>
      <c r="K2817" s="10"/>
      <c r="L2817" s="10"/>
      <c r="M2817" s="10"/>
      <c r="N2817" s="10"/>
      <c r="O2817" s="11"/>
      <c r="P2817" s="10"/>
      <c r="Q2817" s="26">
        <f>SUM(Q2795:Q2816)</f>
        <v>54756908</v>
      </c>
      <c r="R2817" s="26">
        <f>SUM(R2795:R2816)</f>
        <v>54756908</v>
      </c>
      <c r="S2817" s="26">
        <f>SUM(S2795:S2816)</f>
        <v>54446670</v>
      </c>
      <c r="T2817" s="26">
        <f>SUM(T2795:T2816)</f>
        <v>54446670</v>
      </c>
      <c r="U2817" s="26">
        <f>SUM(U2795:U2816)</f>
        <v>7039956.3579999991</v>
      </c>
      <c r="V2817" s="10"/>
      <c r="W2817" s="10"/>
      <c r="X2817" s="55"/>
      <c r="Y2817" s="55"/>
      <c r="Z2817" s="56"/>
    </row>
    <row r="2819" spans="7:26">
      <c r="G2819" s="16"/>
      <c r="H2819" s="16"/>
      <c r="I2819" s="16"/>
      <c r="J2819" s="16"/>
      <c r="K2819" s="16"/>
      <c r="L2819" s="16"/>
      <c r="M2819" s="16"/>
      <c r="N2819" s="16"/>
      <c r="O2819" s="16"/>
      <c r="P2819" s="16"/>
      <c r="Q2819" s="17"/>
      <c r="R2819" s="17"/>
      <c r="S2819" s="17"/>
      <c r="T2819" s="17"/>
      <c r="U2819" s="17"/>
      <c r="X2819" s="1"/>
      <c r="Y2819" s="1"/>
      <c r="Z2819" s="17"/>
    </row>
    <row r="2820" spans="7:26">
      <c r="G2820" s="4" t="s">
        <v>89</v>
      </c>
      <c r="H2820" s="5" t="s">
        <v>392</v>
      </c>
      <c r="I2820" s="5"/>
      <c r="J2820" s="5"/>
      <c r="K2820" s="5"/>
      <c r="L2820" s="149"/>
      <c r="M2820" s="150" t="s">
        <v>386</v>
      </c>
      <c r="N2820" s="151" t="s">
        <v>43</v>
      </c>
      <c r="O2820" s="151" t="s">
        <v>44</v>
      </c>
      <c r="P2820" s="149"/>
      <c r="Q2820" s="49">
        <f t="shared" ref="Q2820:U2832" si="189">SUMIFS(Q$7:Q$2662,$K$7:$K$2662, "&lt;4",$G$7:$G$2662,$G$2820,$N$7:$N$2662,$N2820)</f>
        <v>0</v>
      </c>
      <c r="R2820" s="49">
        <f t="shared" si="189"/>
        <v>0</v>
      </c>
      <c r="S2820" s="49">
        <f t="shared" si="189"/>
        <v>0</v>
      </c>
      <c r="T2820" s="49">
        <f t="shared" si="189"/>
        <v>0</v>
      </c>
      <c r="U2820" s="49">
        <f t="shared" si="189"/>
        <v>0</v>
      </c>
      <c r="V2820" s="5"/>
      <c r="W2820" s="158">
        <f t="shared" ref="W2820:W2832" si="190">SUMIFS(T$7:T$2662,$K$7:$K$2662, "&lt;4",$G$7:$G$2662,$G$2820,$N$7:$N$2662,$N2820, $W$7:$W$2662, "=x")</f>
        <v>0</v>
      </c>
      <c r="X2820" s="50">
        <f t="shared" ref="X2820:X2832" si="191">SUMIFS(T$7:T$2662,U$7:U$2662, "&gt;0",$K$7:$K$2662, "&lt;4",$G$7:$G$2662,$G$2820,$N$7:$N$2662,$N2820)</f>
        <v>0</v>
      </c>
      <c r="Y2820" s="50">
        <f t="shared" ref="Y2820:Y2832" si="192">SUMIFS(U$7:U$2662,U$7:U$2662, "&gt;0",$K$7:$K$2662, "&lt;4",$G$7:$G$2662,$G$2820,$N$7:$N$2662,$N2820)</f>
        <v>0</v>
      </c>
      <c r="Z2820" s="51" t="e">
        <f t="shared" ref="Z2820:Z2832" si="193">X2820/Y2820</f>
        <v>#DIV/0!</v>
      </c>
    </row>
    <row r="2821" spans="7:26">
      <c r="G2821" s="8"/>
      <c r="L2821" s="20"/>
      <c r="M2821" s="116" t="s">
        <v>387</v>
      </c>
      <c r="N2821" s="117" t="s">
        <v>48</v>
      </c>
      <c r="O2821" s="117" t="s">
        <v>44</v>
      </c>
      <c r="P2821" s="20"/>
      <c r="Q2821" s="52">
        <f t="shared" si="189"/>
        <v>0</v>
      </c>
      <c r="R2821" s="52">
        <f t="shared" si="189"/>
        <v>0</v>
      </c>
      <c r="S2821" s="52">
        <f t="shared" si="189"/>
        <v>0</v>
      </c>
      <c r="T2821" s="52">
        <f t="shared" si="189"/>
        <v>0</v>
      </c>
      <c r="U2821" s="52">
        <f t="shared" si="189"/>
        <v>0</v>
      </c>
      <c r="W2821" s="159">
        <f t="shared" si="190"/>
        <v>0</v>
      </c>
      <c r="X2821" s="53">
        <f t="shared" si="191"/>
        <v>0</v>
      </c>
      <c r="Y2821" s="53">
        <f t="shared" si="192"/>
        <v>0</v>
      </c>
      <c r="Z2821" s="54" t="e">
        <f t="shared" si="193"/>
        <v>#DIV/0!</v>
      </c>
    </row>
    <row r="2822" spans="7:26">
      <c r="G2822" s="8"/>
      <c r="L2822" s="20"/>
      <c r="M2822" s="116" t="s">
        <v>375</v>
      </c>
      <c r="N2822" s="117" t="s">
        <v>46</v>
      </c>
      <c r="O2822" s="117" t="s">
        <v>46</v>
      </c>
      <c r="P2822" s="20"/>
      <c r="Q2822" s="52">
        <f t="shared" si="189"/>
        <v>11484</v>
      </c>
      <c r="R2822" s="52">
        <f t="shared" si="189"/>
        <v>11484</v>
      </c>
      <c r="S2822" s="52">
        <f t="shared" si="189"/>
        <v>66668</v>
      </c>
      <c r="T2822" s="159">
        <f t="shared" si="189"/>
        <v>66668</v>
      </c>
      <c r="U2822" s="52">
        <f t="shared" si="189"/>
        <v>2922</v>
      </c>
      <c r="W2822" s="159">
        <f t="shared" si="190"/>
        <v>6574</v>
      </c>
      <c r="X2822" s="53">
        <f t="shared" si="191"/>
        <v>66668</v>
      </c>
      <c r="Y2822" s="53">
        <f t="shared" si="192"/>
        <v>2922</v>
      </c>
      <c r="Z2822" s="54">
        <f t="shared" si="193"/>
        <v>22.815879534565365</v>
      </c>
    </row>
    <row r="2823" spans="7:26">
      <c r="G2823" s="8"/>
      <c r="L2823" s="20"/>
      <c r="M2823" s="116" t="s">
        <v>374</v>
      </c>
      <c r="N2823" s="117" t="s">
        <v>39</v>
      </c>
      <c r="O2823" s="117" t="s">
        <v>39</v>
      </c>
      <c r="P2823" s="20"/>
      <c r="Q2823" s="52">
        <f t="shared" si="189"/>
        <v>8138</v>
      </c>
      <c r="R2823" s="52">
        <f t="shared" si="189"/>
        <v>8138</v>
      </c>
      <c r="S2823" s="52">
        <f t="shared" si="189"/>
        <v>8487</v>
      </c>
      <c r="T2823" s="52">
        <f t="shared" si="189"/>
        <v>8487</v>
      </c>
      <c r="U2823" s="52">
        <f t="shared" si="189"/>
        <v>579.05399999999997</v>
      </c>
      <c r="W2823" s="159">
        <f t="shared" si="190"/>
        <v>0</v>
      </c>
      <c r="X2823" s="53">
        <f t="shared" si="191"/>
        <v>8487</v>
      </c>
      <c r="Y2823" s="53">
        <f t="shared" si="192"/>
        <v>579.05399999999997</v>
      </c>
      <c r="Z2823" s="54">
        <f t="shared" si="193"/>
        <v>14.656664145312874</v>
      </c>
    </row>
    <row r="2824" spans="7:26">
      <c r="G2824" s="8"/>
      <c r="L2824" s="20"/>
      <c r="M2824" s="116" t="s">
        <v>388</v>
      </c>
      <c r="N2824" s="117" t="s">
        <v>17</v>
      </c>
      <c r="O2824" s="117" t="s">
        <v>82</v>
      </c>
      <c r="P2824" s="20"/>
      <c r="Q2824" s="52">
        <f t="shared" si="189"/>
        <v>0</v>
      </c>
      <c r="R2824" s="52">
        <f t="shared" si="189"/>
        <v>0</v>
      </c>
      <c r="S2824" s="52">
        <f t="shared" si="189"/>
        <v>0</v>
      </c>
      <c r="T2824" s="52">
        <f t="shared" si="189"/>
        <v>0</v>
      </c>
      <c r="U2824" s="52">
        <f t="shared" si="189"/>
        <v>0</v>
      </c>
      <c r="W2824" s="159">
        <f t="shared" si="190"/>
        <v>0</v>
      </c>
      <c r="X2824" s="53">
        <f t="shared" si="191"/>
        <v>0</v>
      </c>
      <c r="Y2824" s="53">
        <f t="shared" si="192"/>
        <v>0</v>
      </c>
      <c r="Z2824" s="54" t="e">
        <f t="shared" si="193"/>
        <v>#DIV/0!</v>
      </c>
    </row>
    <row r="2825" spans="7:26">
      <c r="G2825" s="8"/>
      <c r="L2825" s="20"/>
      <c r="M2825" s="116" t="s">
        <v>389</v>
      </c>
      <c r="N2825" s="117" t="s">
        <v>82</v>
      </c>
      <c r="O2825" s="117" t="s">
        <v>82</v>
      </c>
      <c r="P2825" s="20"/>
      <c r="Q2825" s="52">
        <f t="shared" si="189"/>
        <v>0</v>
      </c>
      <c r="R2825" s="52">
        <f t="shared" si="189"/>
        <v>0</v>
      </c>
      <c r="S2825" s="52">
        <f t="shared" si="189"/>
        <v>0</v>
      </c>
      <c r="T2825" s="52">
        <f t="shared" si="189"/>
        <v>0</v>
      </c>
      <c r="U2825" s="52">
        <f t="shared" si="189"/>
        <v>0</v>
      </c>
      <c r="W2825" s="159">
        <f t="shared" si="190"/>
        <v>0</v>
      </c>
      <c r="X2825" s="53">
        <f t="shared" si="191"/>
        <v>0</v>
      </c>
      <c r="Y2825" s="53">
        <f t="shared" si="192"/>
        <v>0</v>
      </c>
      <c r="Z2825" s="54" t="e">
        <f t="shared" si="193"/>
        <v>#DIV/0!</v>
      </c>
    </row>
    <row r="2826" spans="7:26">
      <c r="G2826" s="8"/>
      <c r="L2826" s="20"/>
      <c r="M2826" s="116" t="s">
        <v>384</v>
      </c>
      <c r="N2826" s="117" t="s">
        <v>396</v>
      </c>
      <c r="O2826" s="117" t="s">
        <v>82</v>
      </c>
      <c r="P2826" s="20"/>
      <c r="Q2826" s="52">
        <f t="shared" si="189"/>
        <v>0</v>
      </c>
      <c r="R2826" s="52">
        <f t="shared" si="189"/>
        <v>0</v>
      </c>
      <c r="S2826" s="52">
        <f t="shared" si="189"/>
        <v>0</v>
      </c>
      <c r="T2826" s="52">
        <f t="shared" si="189"/>
        <v>0</v>
      </c>
      <c r="U2826" s="52">
        <f t="shared" si="189"/>
        <v>0</v>
      </c>
      <c r="W2826" s="159">
        <f t="shared" si="190"/>
        <v>0</v>
      </c>
      <c r="X2826" s="53">
        <f t="shared" si="191"/>
        <v>0</v>
      </c>
      <c r="Y2826" s="53">
        <f t="shared" si="192"/>
        <v>0</v>
      </c>
      <c r="Z2826" s="54" t="e">
        <f t="shared" si="193"/>
        <v>#DIV/0!</v>
      </c>
    </row>
    <row r="2827" spans="7:26">
      <c r="G2827" s="8"/>
      <c r="L2827" s="20"/>
      <c r="M2827" s="116" t="s">
        <v>377</v>
      </c>
      <c r="N2827" s="117" t="s">
        <v>65</v>
      </c>
      <c r="O2827" s="117" t="s">
        <v>65</v>
      </c>
      <c r="P2827" s="20"/>
      <c r="Q2827" s="52">
        <f t="shared" si="189"/>
        <v>0</v>
      </c>
      <c r="R2827" s="52">
        <f t="shared" si="189"/>
        <v>0</v>
      </c>
      <c r="S2827" s="52">
        <f t="shared" si="189"/>
        <v>0</v>
      </c>
      <c r="T2827" s="52">
        <f t="shared" si="189"/>
        <v>0</v>
      </c>
      <c r="U2827" s="52">
        <f t="shared" si="189"/>
        <v>0</v>
      </c>
      <c r="W2827" s="159">
        <f t="shared" si="190"/>
        <v>0</v>
      </c>
      <c r="X2827" s="53">
        <f t="shared" si="191"/>
        <v>0</v>
      </c>
      <c r="Y2827" s="53">
        <f t="shared" si="192"/>
        <v>0</v>
      </c>
      <c r="Z2827" s="54" t="e">
        <f t="shared" si="193"/>
        <v>#DIV/0!</v>
      </c>
    </row>
    <row r="2828" spans="7:26">
      <c r="G2828" s="8"/>
      <c r="L2828" s="20"/>
      <c r="M2828" s="116" t="s">
        <v>376</v>
      </c>
      <c r="N2828" s="117" t="s">
        <v>61</v>
      </c>
      <c r="O2828" s="117" t="s">
        <v>61</v>
      </c>
      <c r="P2828" s="20"/>
      <c r="Q2828" s="52">
        <f t="shared" si="189"/>
        <v>0</v>
      </c>
      <c r="R2828" s="52">
        <f t="shared" si="189"/>
        <v>0</v>
      </c>
      <c r="S2828" s="52">
        <f t="shared" si="189"/>
        <v>0</v>
      </c>
      <c r="T2828" s="52">
        <f t="shared" si="189"/>
        <v>0</v>
      </c>
      <c r="U2828" s="52">
        <f t="shared" si="189"/>
        <v>0</v>
      </c>
      <c r="W2828" s="159">
        <f t="shared" si="190"/>
        <v>0</v>
      </c>
      <c r="X2828" s="53">
        <f t="shared" si="191"/>
        <v>0</v>
      </c>
      <c r="Y2828" s="53">
        <f t="shared" si="192"/>
        <v>0</v>
      </c>
      <c r="Z2828" s="54" t="e">
        <f t="shared" si="193"/>
        <v>#DIV/0!</v>
      </c>
    </row>
    <row r="2829" spans="7:26">
      <c r="G2829" s="8"/>
      <c r="L2829" s="20"/>
      <c r="M2829" s="116" t="s">
        <v>378</v>
      </c>
      <c r="N2829" s="117" t="s">
        <v>66</v>
      </c>
      <c r="O2829" s="117" t="s">
        <v>67</v>
      </c>
      <c r="P2829" s="20"/>
      <c r="Q2829" s="52">
        <f t="shared" si="189"/>
        <v>0</v>
      </c>
      <c r="R2829" s="52">
        <f t="shared" si="189"/>
        <v>0</v>
      </c>
      <c r="S2829" s="52">
        <f t="shared" si="189"/>
        <v>0</v>
      </c>
      <c r="T2829" s="52">
        <f t="shared" si="189"/>
        <v>0</v>
      </c>
      <c r="U2829" s="52">
        <f t="shared" si="189"/>
        <v>0</v>
      </c>
      <c r="W2829" s="159">
        <f t="shared" si="190"/>
        <v>0</v>
      </c>
      <c r="X2829" s="53">
        <f t="shared" si="191"/>
        <v>0</v>
      </c>
      <c r="Y2829" s="53">
        <f t="shared" si="192"/>
        <v>0</v>
      </c>
      <c r="Z2829" s="54" t="e">
        <f t="shared" si="193"/>
        <v>#DIV/0!</v>
      </c>
    </row>
    <row r="2830" spans="7:26">
      <c r="G2830" s="8"/>
      <c r="L2830" s="20"/>
      <c r="M2830" s="116" t="s">
        <v>379</v>
      </c>
      <c r="N2830" s="117" t="s">
        <v>76</v>
      </c>
      <c r="O2830" s="117" t="s">
        <v>67</v>
      </c>
      <c r="P2830" s="20"/>
      <c r="Q2830" s="52">
        <f t="shared" si="189"/>
        <v>6629</v>
      </c>
      <c r="R2830" s="52">
        <f t="shared" si="189"/>
        <v>6629</v>
      </c>
      <c r="S2830" s="52">
        <f t="shared" si="189"/>
        <v>38050</v>
      </c>
      <c r="T2830" s="159">
        <f t="shared" si="189"/>
        <v>38050</v>
      </c>
      <c r="U2830" s="52">
        <f t="shared" si="189"/>
        <v>2343</v>
      </c>
      <c r="W2830" s="159">
        <f t="shared" si="190"/>
        <v>38050</v>
      </c>
      <c r="X2830" s="53">
        <f t="shared" si="191"/>
        <v>38050</v>
      </c>
      <c r="Y2830" s="53">
        <f t="shared" si="192"/>
        <v>2343</v>
      </c>
      <c r="Z2830" s="54">
        <f t="shared" si="193"/>
        <v>16.239863422962014</v>
      </c>
    </row>
    <row r="2831" spans="7:26">
      <c r="G2831" s="8"/>
      <c r="L2831" s="20"/>
      <c r="M2831" s="116" t="s">
        <v>380</v>
      </c>
      <c r="N2831" s="117" t="s">
        <v>73</v>
      </c>
      <c r="O2831" s="117" t="s">
        <v>67</v>
      </c>
      <c r="P2831" s="20"/>
      <c r="Q2831" s="52">
        <f t="shared" si="189"/>
        <v>0</v>
      </c>
      <c r="R2831" s="52">
        <f t="shared" si="189"/>
        <v>0</v>
      </c>
      <c r="S2831" s="52">
        <f t="shared" si="189"/>
        <v>0</v>
      </c>
      <c r="T2831" s="52">
        <f t="shared" si="189"/>
        <v>0</v>
      </c>
      <c r="U2831" s="52">
        <f t="shared" si="189"/>
        <v>0</v>
      </c>
      <c r="W2831" s="159">
        <f t="shared" si="190"/>
        <v>0</v>
      </c>
      <c r="X2831" s="53">
        <f t="shared" si="191"/>
        <v>0</v>
      </c>
      <c r="Y2831" s="53">
        <f t="shared" si="192"/>
        <v>0</v>
      </c>
      <c r="Z2831" s="54" t="e">
        <f t="shared" si="193"/>
        <v>#DIV/0!</v>
      </c>
    </row>
    <row r="2832" spans="7:26">
      <c r="G2832" s="8"/>
      <c r="L2832" s="20"/>
      <c r="M2832" s="116" t="s">
        <v>429</v>
      </c>
      <c r="N2832" s="117" t="s">
        <v>420</v>
      </c>
      <c r="O2832" s="117" t="s">
        <v>421</v>
      </c>
      <c r="P2832" s="20"/>
      <c r="Q2832" s="52">
        <f t="shared" si="189"/>
        <v>0</v>
      </c>
      <c r="R2832" s="52">
        <f t="shared" si="189"/>
        <v>0</v>
      </c>
      <c r="S2832" s="52">
        <f t="shared" si="189"/>
        <v>0</v>
      </c>
      <c r="T2832" s="52">
        <f t="shared" si="189"/>
        <v>0</v>
      </c>
      <c r="U2832" s="52">
        <f t="shared" si="189"/>
        <v>0</v>
      </c>
      <c r="W2832" s="159">
        <f t="shared" si="190"/>
        <v>0</v>
      </c>
      <c r="X2832" s="53">
        <f t="shared" si="191"/>
        <v>0</v>
      </c>
      <c r="Y2832" s="53">
        <f t="shared" si="192"/>
        <v>0</v>
      </c>
      <c r="Z2832" s="54" t="e">
        <f t="shared" si="193"/>
        <v>#DIV/0!</v>
      </c>
    </row>
    <row r="2833" spans="7:26">
      <c r="G2833" s="8"/>
      <c r="L2833" s="20"/>
      <c r="M2833" s="20"/>
      <c r="N2833" s="20"/>
      <c r="O2833" s="20"/>
      <c r="P2833" s="20"/>
      <c r="Q2833"/>
      <c r="R2833"/>
      <c r="S2833"/>
      <c r="T2833"/>
      <c r="U2833"/>
      <c r="W2833" s="1"/>
      <c r="Z2833" s="57"/>
    </row>
    <row r="2834" spans="7:26">
      <c r="G2834" s="8"/>
      <c r="H2834" t="s">
        <v>391</v>
      </c>
      <c r="L2834" s="20"/>
      <c r="M2834" s="116" t="s">
        <v>382</v>
      </c>
      <c r="N2834" s="117" t="s">
        <v>63</v>
      </c>
      <c r="O2834" s="117" t="s">
        <v>64</v>
      </c>
      <c r="P2834" s="20"/>
      <c r="Q2834" s="52">
        <f t="shared" ref="Q2834:U2841" si="194">SUMIFS(Q$7:Q$2662,$K$7:$K$2662, "&lt;4",$G$7:$G$2662,$G$2820,$N$7:$N$2662,$N2834)</f>
        <v>1268669</v>
      </c>
      <c r="R2834" s="52">
        <f t="shared" si="194"/>
        <v>1268669</v>
      </c>
      <c r="S2834" s="52">
        <f t="shared" si="194"/>
        <v>574461</v>
      </c>
      <c r="T2834" s="52">
        <f t="shared" si="194"/>
        <v>574461</v>
      </c>
      <c r="U2834" s="52">
        <f t="shared" si="194"/>
        <v>54986</v>
      </c>
      <c r="W2834" s="159">
        <f t="shared" ref="W2834:W2841" si="195">SUMIFS(T$7:T$2662,$K$7:$K$2662, "&lt;4",$G$7:$G$2662,$G$2820,$N$7:$N$2662,$N2834, $W$7:$W$2662, "=x")</f>
        <v>0</v>
      </c>
      <c r="X2834" s="53">
        <f t="shared" ref="X2834:X2841" si="196">SUMIFS(T$7:T$2662,U$7:U$2662, "&gt;0",$K$7:$K$2662, "&lt;4",$G$7:$G$2662,$G$2820,$N$7:$N$2662,$N2834)</f>
        <v>574461</v>
      </c>
      <c r="Y2834" s="53">
        <f t="shared" ref="Y2834:Y2841" si="197">SUMIFS(U$7:U$2662,U$7:U$2662, "&gt;0",$K$7:$K$2662, "&lt;4",$G$7:$G$2662,$G$2820,$N$7:$N$2662,$N2834)</f>
        <v>54986</v>
      </c>
      <c r="Z2834" s="54">
        <f t="shared" ref="Z2834:Z2841" si="198">X2834/Y2834</f>
        <v>10.44740479394755</v>
      </c>
    </row>
    <row r="2835" spans="7:26">
      <c r="G2835" s="8"/>
      <c r="L2835" s="20"/>
      <c r="M2835" s="116" t="s">
        <v>385</v>
      </c>
      <c r="N2835" s="117" t="s">
        <v>16</v>
      </c>
      <c r="O2835" s="117" t="s">
        <v>64</v>
      </c>
      <c r="P2835" s="20"/>
      <c r="Q2835" s="52">
        <f t="shared" si="194"/>
        <v>0</v>
      </c>
      <c r="R2835" s="52">
        <f t="shared" si="194"/>
        <v>0</v>
      </c>
      <c r="S2835" s="52">
        <f t="shared" si="194"/>
        <v>0</v>
      </c>
      <c r="T2835" s="52">
        <f t="shared" si="194"/>
        <v>0</v>
      </c>
      <c r="U2835" s="52">
        <f t="shared" si="194"/>
        <v>0</v>
      </c>
      <c r="W2835" s="159">
        <f t="shared" si="195"/>
        <v>0</v>
      </c>
      <c r="X2835" s="53">
        <f t="shared" si="196"/>
        <v>0</v>
      </c>
      <c r="Y2835" s="53">
        <f t="shared" si="197"/>
        <v>0</v>
      </c>
      <c r="Z2835" s="54" t="e">
        <f t="shared" si="198"/>
        <v>#DIV/0!</v>
      </c>
    </row>
    <row r="2836" spans="7:26">
      <c r="G2836" s="8"/>
      <c r="L2836" s="20"/>
      <c r="M2836" s="116" t="s">
        <v>381</v>
      </c>
      <c r="N2836" s="117" t="s">
        <v>151</v>
      </c>
      <c r="O2836" s="117" t="s">
        <v>70</v>
      </c>
      <c r="P2836" s="20"/>
      <c r="Q2836" s="52">
        <f t="shared" si="194"/>
        <v>0</v>
      </c>
      <c r="R2836" s="52">
        <f t="shared" si="194"/>
        <v>0</v>
      </c>
      <c r="S2836" s="52">
        <f t="shared" si="194"/>
        <v>0</v>
      </c>
      <c r="T2836" s="52">
        <f t="shared" si="194"/>
        <v>0</v>
      </c>
      <c r="U2836" s="52">
        <f t="shared" si="194"/>
        <v>0</v>
      </c>
      <c r="W2836" s="159">
        <f t="shared" si="195"/>
        <v>0</v>
      </c>
      <c r="X2836" s="53">
        <f t="shared" si="196"/>
        <v>0</v>
      </c>
      <c r="Y2836" s="53">
        <f t="shared" si="197"/>
        <v>0</v>
      </c>
      <c r="Z2836" s="54" t="e">
        <f t="shared" si="198"/>
        <v>#DIV/0!</v>
      </c>
    </row>
    <row r="2837" spans="7:26">
      <c r="G2837" s="8"/>
      <c r="L2837" s="20"/>
      <c r="M2837" s="116" t="s">
        <v>390</v>
      </c>
      <c r="N2837" s="117" t="s">
        <v>69</v>
      </c>
      <c r="O2837" s="117" t="s">
        <v>70</v>
      </c>
      <c r="P2837" s="20"/>
      <c r="Q2837" s="52">
        <f t="shared" si="194"/>
        <v>572487</v>
      </c>
      <c r="R2837" s="52">
        <f t="shared" si="194"/>
        <v>572487</v>
      </c>
      <c r="S2837" s="52">
        <f t="shared" si="194"/>
        <v>5418642</v>
      </c>
      <c r="T2837" s="52">
        <f t="shared" si="194"/>
        <v>5418642</v>
      </c>
      <c r="U2837" s="52">
        <f t="shared" si="194"/>
        <v>365584.95</v>
      </c>
      <c r="W2837" s="159">
        <f t="shared" si="195"/>
        <v>0</v>
      </c>
      <c r="X2837" s="53">
        <f t="shared" si="196"/>
        <v>5418642</v>
      </c>
      <c r="Y2837" s="53">
        <f t="shared" si="197"/>
        <v>365584.95</v>
      </c>
      <c r="Z2837" s="54">
        <f t="shared" si="198"/>
        <v>14.821840997557475</v>
      </c>
    </row>
    <row r="2838" spans="7:26">
      <c r="G2838" s="8"/>
      <c r="L2838" s="20"/>
      <c r="M2838" s="116" t="s">
        <v>383</v>
      </c>
      <c r="N2838" s="117" t="s">
        <v>152</v>
      </c>
      <c r="O2838" s="117" t="s">
        <v>49</v>
      </c>
      <c r="P2838" s="20"/>
      <c r="Q2838" s="52">
        <f t="shared" si="194"/>
        <v>0</v>
      </c>
      <c r="R2838" s="52">
        <f t="shared" si="194"/>
        <v>0</v>
      </c>
      <c r="S2838" s="52">
        <f t="shared" si="194"/>
        <v>0</v>
      </c>
      <c r="T2838" s="52">
        <f t="shared" si="194"/>
        <v>0</v>
      </c>
      <c r="U2838" s="52">
        <f t="shared" si="194"/>
        <v>0</v>
      </c>
      <c r="W2838" s="159">
        <f t="shared" si="195"/>
        <v>0</v>
      </c>
      <c r="X2838" s="53">
        <f t="shared" si="196"/>
        <v>0</v>
      </c>
      <c r="Y2838" s="53">
        <f t="shared" si="197"/>
        <v>0</v>
      </c>
      <c r="Z2838" s="54" t="e">
        <f t="shared" si="198"/>
        <v>#DIV/0!</v>
      </c>
    </row>
    <row r="2839" spans="7:26">
      <c r="G2839" s="8"/>
      <c r="L2839" s="20"/>
      <c r="M2839" s="116" t="s">
        <v>431</v>
      </c>
      <c r="N2839" s="117" t="s">
        <v>413</v>
      </c>
      <c r="O2839" s="117" t="s">
        <v>49</v>
      </c>
      <c r="P2839" s="20"/>
      <c r="Q2839" s="52">
        <f t="shared" si="194"/>
        <v>0</v>
      </c>
      <c r="R2839" s="52">
        <f t="shared" si="194"/>
        <v>0</v>
      </c>
      <c r="S2839" s="52">
        <f t="shared" si="194"/>
        <v>0</v>
      </c>
      <c r="T2839" s="52">
        <f t="shared" si="194"/>
        <v>0</v>
      </c>
      <c r="U2839" s="52">
        <f t="shared" si="194"/>
        <v>0</v>
      </c>
      <c r="W2839" s="159">
        <f t="shared" si="195"/>
        <v>0</v>
      </c>
      <c r="X2839" s="53">
        <f t="shared" si="196"/>
        <v>0</v>
      </c>
      <c r="Y2839" s="53">
        <f t="shared" si="197"/>
        <v>0</v>
      </c>
      <c r="Z2839" s="54" t="e">
        <f t="shared" si="198"/>
        <v>#DIV/0!</v>
      </c>
    </row>
    <row r="2840" spans="7:26">
      <c r="G2840" s="8"/>
      <c r="L2840" s="20"/>
      <c r="M2840" s="116" t="s">
        <v>2456</v>
      </c>
      <c r="N2840" s="117" t="s">
        <v>418</v>
      </c>
      <c r="O2840" s="117" t="s">
        <v>49</v>
      </c>
      <c r="P2840" s="20"/>
      <c r="Q2840" s="52">
        <f t="shared" si="194"/>
        <v>0</v>
      </c>
      <c r="R2840" s="52">
        <f t="shared" si="194"/>
        <v>0</v>
      </c>
      <c r="S2840" s="52">
        <f t="shared" si="194"/>
        <v>0</v>
      </c>
      <c r="T2840" s="52">
        <f t="shared" si="194"/>
        <v>0</v>
      </c>
      <c r="U2840" s="52">
        <f t="shared" si="194"/>
        <v>0</v>
      </c>
      <c r="W2840" s="159">
        <f t="shared" si="195"/>
        <v>0</v>
      </c>
      <c r="X2840" s="53">
        <f t="shared" si="196"/>
        <v>0</v>
      </c>
      <c r="Y2840" s="53">
        <f t="shared" si="197"/>
        <v>0</v>
      </c>
      <c r="Z2840" s="54" t="e">
        <f t="shared" si="198"/>
        <v>#DIV/0!</v>
      </c>
    </row>
    <row r="2841" spans="7:26">
      <c r="G2841" s="8"/>
      <c r="L2841" s="20"/>
      <c r="M2841" s="116" t="s">
        <v>430</v>
      </c>
      <c r="N2841" s="117" t="s">
        <v>68</v>
      </c>
      <c r="O2841" s="117" t="s">
        <v>49</v>
      </c>
      <c r="P2841" s="20"/>
      <c r="Q2841" s="52">
        <f t="shared" si="194"/>
        <v>0</v>
      </c>
      <c r="R2841" s="52">
        <f t="shared" si="194"/>
        <v>0</v>
      </c>
      <c r="S2841" s="52">
        <f t="shared" si="194"/>
        <v>0</v>
      </c>
      <c r="T2841" s="52">
        <f t="shared" si="194"/>
        <v>0</v>
      </c>
      <c r="U2841" s="52">
        <f t="shared" si="194"/>
        <v>0</v>
      </c>
      <c r="W2841" s="159">
        <f t="shared" si="195"/>
        <v>0</v>
      </c>
      <c r="X2841" s="53">
        <f t="shared" si="196"/>
        <v>0</v>
      </c>
      <c r="Y2841" s="53">
        <f t="shared" si="197"/>
        <v>0</v>
      </c>
      <c r="Z2841" s="54" t="e">
        <f t="shared" si="198"/>
        <v>#DIV/0!</v>
      </c>
    </row>
    <row r="2842" spans="7:26" ht="13">
      <c r="G2842" s="9"/>
      <c r="H2842" s="10"/>
      <c r="I2842" s="10"/>
      <c r="J2842" s="10"/>
      <c r="K2842" s="10"/>
      <c r="L2842" s="10"/>
      <c r="M2842" s="10"/>
      <c r="N2842" s="10"/>
      <c r="O2842" s="11"/>
      <c r="P2842" s="10"/>
      <c r="Q2842" s="26">
        <f>SUM(Q2820:Q2841)</f>
        <v>1867407</v>
      </c>
      <c r="R2842" s="26">
        <f>SUM(R2820:R2841)</f>
        <v>1867407</v>
      </c>
      <c r="S2842" s="26">
        <f>SUM(S2820:S2841)</f>
        <v>6106308</v>
      </c>
      <c r="T2842" s="26">
        <f>SUM(T2820:T2841)</f>
        <v>6106308</v>
      </c>
      <c r="U2842" s="26">
        <f>SUM(U2820:U2841)</f>
        <v>426415.00400000002</v>
      </c>
      <c r="V2842" s="10"/>
      <c r="W2842" s="10"/>
      <c r="X2842" s="55"/>
      <c r="Y2842" s="55"/>
      <c r="Z2842" s="56"/>
    </row>
    <row r="2844" spans="7:26">
      <c r="P2844" s="1"/>
    </row>
    <row r="2845" spans="7:26" ht="62.5">
      <c r="G2845" s="612" t="s">
        <v>3005</v>
      </c>
      <c r="H2845" s="592"/>
      <c r="I2845" s="592"/>
      <c r="J2845" s="794" t="s">
        <v>3011</v>
      </c>
      <c r="K2845" s="795"/>
      <c r="L2845" s="795"/>
      <c r="M2845" s="795"/>
      <c r="N2845" s="795"/>
      <c r="O2845" s="795"/>
      <c r="P2845" s="795"/>
      <c r="Q2845" s="795"/>
      <c r="R2845" s="795"/>
      <c r="S2845" s="795"/>
      <c r="T2845" s="795"/>
      <c r="U2845" s="796"/>
      <c r="X2845" s="614" t="s">
        <v>1380</v>
      </c>
      <c r="Y2845" s="614" t="s">
        <v>1379</v>
      </c>
      <c r="Z2845" s="615" t="s">
        <v>3582</v>
      </c>
    </row>
    <row r="2846" spans="7:26">
      <c r="G2846" s="592" t="s">
        <v>81</v>
      </c>
      <c r="H2846" s="592"/>
      <c r="I2846" s="592"/>
      <c r="J2846" s="592"/>
      <c r="K2846" s="592"/>
      <c r="L2846" s="607" t="s">
        <v>374</v>
      </c>
      <c r="M2846" s="592" t="s">
        <v>1232</v>
      </c>
      <c r="N2846" s="613" t="s">
        <v>39</v>
      </c>
      <c r="O2846" s="613" t="s">
        <v>39</v>
      </c>
      <c r="P2846" s="1"/>
      <c r="Q2846" s="72">
        <f>SUMIFS(Q$7:Q$2662,$K$7:$K$2662, "&lt;4",$G$7:$G$2662,$G$2846,$M$7:$M$2662,$M2846,$N$7:$N$2662,$N2846)</f>
        <v>308539</v>
      </c>
      <c r="R2846" s="72">
        <f>SUMIFS(R$7:R$2662,$K$7:$K$2662, "&lt;4",$G$7:$G$2662,$G$2846,$M$7:$M$2662,$M2846,$N$7:$N$2662,$N2846)</f>
        <v>308539</v>
      </c>
      <c r="S2846" s="72">
        <f>SUMIFS(S$7:S$2662,$K$7:$K$2662, "&lt;4",$G$7:$G$2662,$G$2846,$M$7:$M$2662,$M2846,$N$7:$N$2662,$N2846)</f>
        <v>315770</v>
      </c>
      <c r="T2846" s="72">
        <f>SUMIFS(T$7:T$2662,$K$7:$K$2662, "&lt;4",$G$7:$G$2662,$G$2846,$M$7:$M$2662,$M2846,$N$7:$N$2662,$N2846)</f>
        <v>315770</v>
      </c>
      <c r="U2846" s="72">
        <f>SUMIFS(U$7:U$2662,$K$7:$K$2662, "&lt;4",$G$7:$G$2662,$G$2846,$M$7:$M$2662,$M2846,$N$7:$N$2662,$N2846)</f>
        <v>49169</v>
      </c>
      <c r="X2846" s="608">
        <f>SUMIFS(T$7:T$2662,U$7:U$2662, "&gt;0",$K$7:$K$2662, "&lt;4",$G$7:$G$2662,$G2846,$M$7:$M$2662,$M2846,$N$7:$N$2662,$N2846)</f>
        <v>315770</v>
      </c>
      <c r="Y2846" s="608">
        <f>SUMIFS(U$7:U$2662,U$7:U$2662, "&gt;0",$K$7:$K$2662, "&lt;4",$G$7:$G$2662,$G2846,$M$7:$M$2662,$M2846,$N$7:$N$2662,$N2846)</f>
        <v>49169</v>
      </c>
      <c r="Z2846" s="609">
        <f>X2846/Y2846</f>
        <v>6.422135898635319</v>
      </c>
    </row>
    <row r="2847" spans="7:26">
      <c r="G2847" s="592" t="s">
        <v>41</v>
      </c>
      <c r="H2847" s="592"/>
      <c r="I2847" s="592"/>
      <c r="J2847" s="592"/>
      <c r="K2847" s="592"/>
      <c r="L2847" s="607" t="s">
        <v>374</v>
      </c>
      <c r="M2847" s="592" t="s">
        <v>1232</v>
      </c>
      <c r="N2847" s="613" t="s">
        <v>39</v>
      </c>
      <c r="O2847" s="613" t="s">
        <v>39</v>
      </c>
      <c r="P2847" s="1"/>
      <c r="Q2847" s="72">
        <f>SUMIFS(Q$7:Q$2662,$K$7:$K$2662, "&lt;4",$G$7:$G$2662,$G$2847,$M$7:$M$2662,$M2847,$N$7:$N$2662,$N2847)</f>
        <v>3659320</v>
      </c>
      <c r="R2847" s="72">
        <f>SUMIFS(R$7:R$2662,$K$7:$K$2662, "&lt;4",$G$7:$G$2662,$G$2847,$M$7:$M$2662,$M2847,$N$7:$N$2662,$N2847)</f>
        <v>3659320</v>
      </c>
      <c r="S2847" s="72">
        <f>SUMIFS(S$7:S$2662,$K$7:$K$2662, "&lt;4",$G$7:$G$2662,$G$2847,$M$7:$M$2662,$M2847,$N$7:$N$2662,$N2847)</f>
        <v>3782120</v>
      </c>
      <c r="T2847" s="72">
        <f>SUMIFS(T$7:T$2662,$K$7:$K$2662, "&lt;4",$G$7:$G$2662,$G$2847,$M$7:$M$2662,$M2847,$N$7:$N$2662,$N2847)</f>
        <v>3782120</v>
      </c>
      <c r="U2847" s="72">
        <f>SUMIFS(U$7:U$2662,$K$7:$K$2662, "&lt;4",$G$7:$G$2662,$G$2847,$M$7:$M$2662,$M2847,$N$7:$N$2662,$N2847)</f>
        <v>461088.7</v>
      </c>
      <c r="X2847" s="608">
        <f>SUMIFS(T$7:T$2662,U$7:U$2662, "&gt;0",$K$7:$K$2662, "&lt;4",$G$7:$G$2662,$G2847,$M$7:$M$2662,$M2847,$N$7:$N$2662,$N2847)</f>
        <v>3782120</v>
      </c>
      <c r="Y2847" s="608">
        <f>SUMIFS(U$7:U$2662,U$7:U$2662, "&gt;0",$K$7:$K$2662, "&lt;4",$G$7:$G$2662,$G2847,$M$7:$M$2662,$M2847,$N$7:$N$2662,$N2847)</f>
        <v>461088.7</v>
      </c>
      <c r="Z2847" s="609">
        <f>X2847/Y2847</f>
        <v>8.2025866172820976</v>
      </c>
    </row>
    <row r="2848" spans="7:26">
      <c r="G2848" s="592" t="s">
        <v>57</v>
      </c>
      <c r="H2848" s="592"/>
      <c r="I2848" s="592"/>
      <c r="J2848" s="592"/>
      <c r="K2848" s="592"/>
      <c r="L2848" s="607" t="s">
        <v>374</v>
      </c>
      <c r="M2848" s="592" t="s">
        <v>1232</v>
      </c>
      <c r="N2848" s="613" t="s">
        <v>39</v>
      </c>
      <c r="O2848" s="613" t="s">
        <v>39</v>
      </c>
      <c r="Q2848" s="72">
        <f>SUMIFS(Q$7:Q$2662,$K$7:$K$2662, "&lt;4",$G$7:$G$2662,$G$2848,$M$7:$M$2662,$M2848,$N$7:$N$2662,$N2848)</f>
        <v>2523153</v>
      </c>
      <c r="R2848" s="72">
        <f>SUMIFS(R$7:R$2662,$K$7:$K$2662, "&lt;4",$G$7:$G$2662,$G$2848,$M$7:$M$2662,$M2848,$N$7:$N$2662,$N2848)</f>
        <v>2523153</v>
      </c>
      <c r="S2848" s="72">
        <f>SUMIFS(S$7:S$2662,$K$7:$K$2662, "&lt;4",$G$7:$G$2662,$G$2848,$M$7:$M$2662,$M2848,$N$7:$N$2662,$N2848)</f>
        <v>2578238</v>
      </c>
      <c r="T2848" s="72">
        <f>SUMIFS(T$7:T$2662,$K$7:$K$2662, "&lt;4",$G$7:$G$2662,$G$2848,$M$7:$M$2662,$M2848,$N$7:$N$2662,$N2848)</f>
        <v>2578238</v>
      </c>
      <c r="U2848" s="72">
        <f>SUMIFS(U$7:U$2662,$K$7:$K$2662, "&lt;4",$G$7:$G$2662,$G$2848,$M$7:$M$2662,$M2848,$N$7:$N$2662,$N2848)</f>
        <v>372311</v>
      </c>
      <c r="X2848" s="608">
        <f>SUMIFS(T$7:T$2662,U$7:U$2662, "&gt;0",$K$7:$K$2662, "&lt;4",$G$7:$G$2662,$G2848,$M$7:$M$2662,$M2848,$N$7:$N$2662,$N2848)</f>
        <v>2578238</v>
      </c>
      <c r="Y2848" s="608">
        <f>SUMIFS(U$7:U$2662,U$7:U$2662, "&gt;0",$K$7:$K$2662, "&lt;4",$G$7:$G$2662,$G2848,$M$7:$M$2662,$M2848,$N$7:$N$2662,$N2848)</f>
        <v>372311</v>
      </c>
      <c r="Z2848" s="609">
        <f>X2848/Y2848</f>
        <v>6.9249578981013187</v>
      </c>
    </row>
  </sheetData>
  <autoFilter ref="A6:Z2662" xr:uid="{00000000-0009-0000-0000-000004000000}">
    <filterColumn colId="11">
      <filters>
        <filter val="Electric Utility"/>
        <filter val="NAICS-22 Cogen"/>
        <filter val="NAICS-22 Non-Cogen"/>
      </filters>
    </filterColumn>
    <sortState xmlns:xlrd2="http://schemas.microsoft.com/office/spreadsheetml/2017/richdata2" ref="A7:Z2662">
      <sortCondition ref="A6:A2662"/>
    </sortState>
  </autoFilter>
  <mergeCells count="3">
    <mergeCell ref="A5:P5"/>
    <mergeCell ref="Q5:U5"/>
    <mergeCell ref="J2845:U2845"/>
  </mergeCells>
  <phoneticPr fontId="0" type="noConversion"/>
  <hyperlinks>
    <hyperlink ref="E4" r:id="rId1" xr:uid="{00000000-0004-0000-0400-000000000000}"/>
  </hyperlinks>
  <pageMargins left="0" right="0" top="0.75" bottom="0.75" header="0.5" footer="0.25"/>
  <pageSetup scale="32" fitToHeight="0" orientation="landscape" r:id="rId2"/>
  <headerFooter alignWithMargins="0">
    <oddFooter>&amp;R&amp;A Page &amp;P of &amp;N</oddFooter>
  </headerFooter>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tabColor theme="7" tint="0.79998168889431442"/>
    <pageSetUpPr fitToPage="1"/>
  </sheetPr>
  <dimension ref="A1:O414"/>
  <sheetViews>
    <sheetView zoomScaleNormal="100" workbookViewId="0">
      <pane ySplit="1" topLeftCell="A382" activePane="bottomLeft" state="frozen"/>
      <selection pane="bottomLeft"/>
    </sheetView>
  </sheetViews>
  <sheetFormatPr defaultColWidth="8.81640625" defaultRowHeight="12.5"/>
  <cols>
    <col min="1" max="1" width="8" customWidth="1"/>
    <col min="2" max="2" width="36.81640625" customWidth="1"/>
    <col min="3" max="3" width="13.26953125" customWidth="1"/>
    <col min="4" max="4" width="12.81640625" customWidth="1"/>
    <col min="5" max="5" width="9.26953125" customWidth="1"/>
    <col min="6" max="6" width="18.26953125" style="14" customWidth="1"/>
    <col min="7" max="7" width="20.81640625" style="14" customWidth="1"/>
    <col min="8" max="8" width="17.81640625" customWidth="1"/>
    <col min="9" max="9" width="12.453125" customWidth="1"/>
    <col min="10" max="10" width="19" style="25" customWidth="1"/>
    <col min="11" max="11" width="15.453125" customWidth="1"/>
    <col min="12" max="12" width="8.54296875" customWidth="1"/>
    <col min="13" max="13" width="11.54296875" customWidth="1"/>
  </cols>
  <sheetData>
    <row r="1" spans="1:10">
      <c r="A1" t="s">
        <v>1853</v>
      </c>
      <c r="B1" t="s">
        <v>1854</v>
      </c>
      <c r="C1" t="s">
        <v>1855</v>
      </c>
      <c r="D1" t="s">
        <v>1856</v>
      </c>
      <c r="E1" t="s">
        <v>1857</v>
      </c>
      <c r="F1" t="s">
        <v>1858</v>
      </c>
      <c r="G1" t="s">
        <v>1859</v>
      </c>
      <c r="H1" t="s">
        <v>1860</v>
      </c>
      <c r="I1" t="s">
        <v>11</v>
      </c>
      <c r="J1" s="20" t="s">
        <v>1775</v>
      </c>
    </row>
    <row r="2" spans="1:10">
      <c r="A2" s="746" t="s">
        <v>41</v>
      </c>
      <c r="B2" t="s">
        <v>237</v>
      </c>
      <c r="C2">
        <v>544</v>
      </c>
      <c r="D2">
        <v>11</v>
      </c>
      <c r="E2" s="691">
        <v>2022</v>
      </c>
      <c r="F2" s="596">
        <v>1420.4</v>
      </c>
      <c r="G2" s="15">
        <v>18000</v>
      </c>
      <c r="H2" t="s">
        <v>229</v>
      </c>
      <c r="I2" s="594">
        <f t="shared" ref="I2:I27" si="0">F2</f>
        <v>1420.4</v>
      </c>
    </row>
    <row r="3" spans="1:10">
      <c r="A3" t="s">
        <v>41</v>
      </c>
      <c r="B3" t="s">
        <v>237</v>
      </c>
      <c r="C3">
        <v>544</v>
      </c>
      <c r="D3">
        <v>12</v>
      </c>
      <c r="E3" s="691">
        <v>2022</v>
      </c>
      <c r="F3" s="596">
        <v>924.7</v>
      </c>
      <c r="G3" s="15">
        <v>11856</v>
      </c>
      <c r="H3" t="s">
        <v>229</v>
      </c>
      <c r="I3" s="594">
        <f t="shared" si="0"/>
        <v>924.7</v>
      </c>
    </row>
    <row r="4" spans="1:10">
      <c r="A4" t="s">
        <v>41</v>
      </c>
      <c r="B4" t="s">
        <v>237</v>
      </c>
      <c r="C4">
        <v>544</v>
      </c>
      <c r="D4">
        <v>13</v>
      </c>
      <c r="E4" s="691">
        <v>2022</v>
      </c>
      <c r="F4" s="596">
        <v>1306.0999999999999</v>
      </c>
      <c r="G4" s="15">
        <v>16540</v>
      </c>
      <c r="H4" t="s">
        <v>229</v>
      </c>
      <c r="I4" s="594">
        <f t="shared" si="0"/>
        <v>1306.0999999999999</v>
      </c>
    </row>
    <row r="5" spans="1:10">
      <c r="A5" t="s">
        <v>41</v>
      </c>
      <c r="B5" t="s">
        <v>237</v>
      </c>
      <c r="C5">
        <v>544</v>
      </c>
      <c r="D5">
        <v>14</v>
      </c>
      <c r="E5" s="691">
        <v>2022</v>
      </c>
      <c r="F5" s="596">
        <v>1576.8</v>
      </c>
      <c r="G5" s="15">
        <v>19944</v>
      </c>
      <c r="H5" t="s">
        <v>229</v>
      </c>
      <c r="I5" s="594">
        <f t="shared" si="0"/>
        <v>1576.8</v>
      </c>
    </row>
    <row r="6" spans="1:10">
      <c r="A6" t="s">
        <v>41</v>
      </c>
      <c r="B6" t="s">
        <v>237</v>
      </c>
      <c r="C6">
        <v>544</v>
      </c>
      <c r="D6">
        <v>15</v>
      </c>
      <c r="E6" s="691">
        <v>2022</v>
      </c>
      <c r="F6" s="596">
        <v>697.80200000000002</v>
      </c>
      <c r="G6" s="15">
        <v>8690.0490000000009</v>
      </c>
      <c r="H6" t="s">
        <v>229</v>
      </c>
      <c r="I6" s="594">
        <f t="shared" si="0"/>
        <v>697.80200000000002</v>
      </c>
    </row>
    <row r="7" spans="1:10">
      <c r="A7" t="s">
        <v>41</v>
      </c>
      <c r="B7" t="s">
        <v>237</v>
      </c>
      <c r="C7">
        <v>544</v>
      </c>
      <c r="D7">
        <v>16</v>
      </c>
      <c r="E7" s="691">
        <v>2022</v>
      </c>
      <c r="F7" s="596">
        <v>1288.106</v>
      </c>
      <c r="G7" s="15">
        <v>15872.442999999999</v>
      </c>
      <c r="H7" t="s">
        <v>229</v>
      </c>
      <c r="I7" s="594">
        <f t="shared" si="0"/>
        <v>1288.106</v>
      </c>
    </row>
    <row r="8" spans="1:10">
      <c r="A8" t="s">
        <v>41</v>
      </c>
      <c r="B8" t="s">
        <v>237</v>
      </c>
      <c r="C8">
        <v>544</v>
      </c>
      <c r="D8">
        <v>17</v>
      </c>
      <c r="E8" s="691">
        <v>2022</v>
      </c>
      <c r="F8" s="596">
        <v>1527.97</v>
      </c>
      <c r="G8" s="15">
        <v>18941.641</v>
      </c>
      <c r="H8" t="s">
        <v>229</v>
      </c>
      <c r="I8" s="594">
        <f t="shared" si="0"/>
        <v>1527.97</v>
      </c>
    </row>
    <row r="9" spans="1:10">
      <c r="A9" t="s">
        <v>41</v>
      </c>
      <c r="B9" t="s">
        <v>237</v>
      </c>
      <c r="C9">
        <v>544</v>
      </c>
      <c r="D9">
        <v>18</v>
      </c>
      <c r="E9" s="691">
        <v>2022</v>
      </c>
      <c r="F9" s="596">
        <v>938.97799999999995</v>
      </c>
      <c r="G9" s="15">
        <v>11654.151</v>
      </c>
      <c r="H9" t="s">
        <v>229</v>
      </c>
      <c r="I9" s="594">
        <f t="shared" si="0"/>
        <v>938.97799999999995</v>
      </c>
    </row>
    <row r="10" spans="1:10">
      <c r="A10" t="s">
        <v>41</v>
      </c>
      <c r="B10" t="s">
        <v>246</v>
      </c>
      <c r="C10">
        <v>546</v>
      </c>
      <c r="D10">
        <v>5</v>
      </c>
      <c r="E10" s="691">
        <v>2022</v>
      </c>
      <c r="F10" s="596">
        <v>47102.224999999999</v>
      </c>
      <c r="G10" s="15">
        <v>642046.853</v>
      </c>
      <c r="H10" t="s">
        <v>236</v>
      </c>
      <c r="I10" s="594">
        <f t="shared" si="0"/>
        <v>47102.224999999999</v>
      </c>
    </row>
    <row r="11" spans="1:10">
      <c r="A11" t="s">
        <v>41</v>
      </c>
      <c r="B11" t="s">
        <v>246</v>
      </c>
      <c r="C11">
        <v>546</v>
      </c>
      <c r="D11">
        <v>6</v>
      </c>
      <c r="E11" s="691">
        <v>2022</v>
      </c>
      <c r="F11" s="596">
        <v>59180.095000000001</v>
      </c>
      <c r="G11" s="15">
        <v>730732.26500000001</v>
      </c>
      <c r="H11" t="s">
        <v>236</v>
      </c>
      <c r="I11" s="594">
        <f t="shared" si="0"/>
        <v>59180.095000000001</v>
      </c>
    </row>
    <row r="12" spans="1:10">
      <c r="A12" t="s">
        <v>41</v>
      </c>
      <c r="B12" t="s">
        <v>83</v>
      </c>
      <c r="C12">
        <v>562</v>
      </c>
      <c r="D12">
        <v>12</v>
      </c>
      <c r="E12" s="691">
        <v>2022</v>
      </c>
      <c r="F12" s="596">
        <v>1188.509</v>
      </c>
      <c r="G12" s="15">
        <v>15736.718999999999</v>
      </c>
      <c r="H12" t="s">
        <v>229</v>
      </c>
      <c r="I12" s="594">
        <f t="shared" si="0"/>
        <v>1188.509</v>
      </c>
    </row>
    <row r="13" spans="1:10">
      <c r="A13" t="s">
        <v>41</v>
      </c>
      <c r="B13" t="s">
        <v>83</v>
      </c>
      <c r="C13">
        <v>562</v>
      </c>
      <c r="D13">
        <v>13</v>
      </c>
      <c r="E13" s="691">
        <v>2022</v>
      </c>
      <c r="F13" s="596">
        <v>1868.579</v>
      </c>
      <c r="G13" s="15">
        <v>26669.958999999999</v>
      </c>
      <c r="H13" t="s">
        <v>229</v>
      </c>
      <c r="I13" s="594">
        <f t="shared" si="0"/>
        <v>1868.579</v>
      </c>
    </row>
    <row r="14" spans="1:10">
      <c r="A14" t="s">
        <v>41</v>
      </c>
      <c r="B14" t="s">
        <v>83</v>
      </c>
      <c r="C14">
        <v>562</v>
      </c>
      <c r="D14">
        <v>14</v>
      </c>
      <c r="E14" s="691">
        <v>2022</v>
      </c>
      <c r="F14" s="596">
        <v>1285.069</v>
      </c>
      <c r="G14" s="15">
        <v>16620.627</v>
      </c>
      <c r="H14" t="s">
        <v>229</v>
      </c>
      <c r="I14" s="594">
        <f t="shared" si="0"/>
        <v>1285.069</v>
      </c>
    </row>
    <row r="15" spans="1:10">
      <c r="A15" t="s">
        <v>41</v>
      </c>
      <c r="B15" t="s">
        <v>83</v>
      </c>
      <c r="C15">
        <v>562</v>
      </c>
      <c r="D15">
        <v>15</v>
      </c>
      <c r="E15" s="691">
        <v>2022</v>
      </c>
      <c r="F15" s="596">
        <v>1946.181</v>
      </c>
      <c r="G15" s="15">
        <v>24713.583999999999</v>
      </c>
      <c r="H15" t="s">
        <v>229</v>
      </c>
      <c r="I15" s="594">
        <f t="shared" si="0"/>
        <v>1946.181</v>
      </c>
    </row>
    <row r="16" spans="1:10">
      <c r="A16" t="s">
        <v>41</v>
      </c>
      <c r="B16" t="s">
        <v>83</v>
      </c>
      <c r="C16">
        <v>562</v>
      </c>
      <c r="D16">
        <v>2</v>
      </c>
      <c r="E16" s="691">
        <v>2022</v>
      </c>
      <c r="F16" s="596">
        <v>71982.035000000003</v>
      </c>
      <c r="G16" s="15">
        <v>981636.61300000001</v>
      </c>
      <c r="H16" t="s">
        <v>242</v>
      </c>
      <c r="I16" s="594">
        <f t="shared" si="0"/>
        <v>71982.035000000003</v>
      </c>
    </row>
    <row r="17" spans="1:10">
      <c r="A17" t="s">
        <v>41</v>
      </c>
      <c r="B17" t="s">
        <v>83</v>
      </c>
      <c r="C17">
        <v>562</v>
      </c>
      <c r="D17">
        <v>3</v>
      </c>
      <c r="E17" s="691">
        <v>2022</v>
      </c>
      <c r="F17" s="596">
        <v>45391.338000000003</v>
      </c>
      <c r="G17" s="15">
        <v>704615.64399999997</v>
      </c>
      <c r="H17" t="s">
        <v>235</v>
      </c>
      <c r="I17" s="594">
        <f t="shared" si="0"/>
        <v>45391.338000000003</v>
      </c>
      <c r="J17" s="20"/>
    </row>
    <row r="18" spans="1:10">
      <c r="A18" t="s">
        <v>41</v>
      </c>
      <c r="B18" t="s">
        <v>83</v>
      </c>
      <c r="C18">
        <v>562</v>
      </c>
      <c r="D18">
        <v>4</v>
      </c>
      <c r="E18" s="691">
        <v>2022</v>
      </c>
      <c r="F18" s="596">
        <v>74629.445000000007</v>
      </c>
      <c r="G18" s="15">
        <v>921620.49300000002</v>
      </c>
      <c r="H18" t="s">
        <v>236</v>
      </c>
      <c r="I18" s="594">
        <f t="shared" si="0"/>
        <v>74629.445000000007</v>
      </c>
    </row>
    <row r="19" spans="1:10">
      <c r="A19" t="s">
        <v>41</v>
      </c>
      <c r="B19" t="s">
        <v>445</v>
      </c>
      <c r="C19">
        <v>563</v>
      </c>
      <c r="D19" t="s">
        <v>446</v>
      </c>
      <c r="E19" s="691">
        <v>2022</v>
      </c>
      <c r="F19" s="596">
        <v>190.7</v>
      </c>
      <c r="G19" s="15">
        <v>2353.9</v>
      </c>
      <c r="H19" t="s">
        <v>229</v>
      </c>
      <c r="I19" s="594">
        <f t="shared" si="0"/>
        <v>190.7</v>
      </c>
    </row>
    <row r="20" spans="1:10">
      <c r="A20" t="s">
        <v>41</v>
      </c>
      <c r="B20" t="s">
        <v>445</v>
      </c>
      <c r="C20">
        <v>563</v>
      </c>
      <c r="D20" t="s">
        <v>447</v>
      </c>
      <c r="E20" s="691">
        <v>2022</v>
      </c>
      <c r="F20" s="596">
        <v>193.8</v>
      </c>
      <c r="G20" s="15">
        <v>2391</v>
      </c>
      <c r="H20" t="s">
        <v>229</v>
      </c>
      <c r="I20" s="594">
        <f t="shared" si="0"/>
        <v>193.8</v>
      </c>
    </row>
    <row r="21" spans="1:10">
      <c r="A21" t="s">
        <v>41</v>
      </c>
      <c r="B21" t="s">
        <v>445</v>
      </c>
      <c r="C21">
        <v>563</v>
      </c>
      <c r="D21" t="s">
        <v>448</v>
      </c>
      <c r="E21" s="691">
        <v>2022</v>
      </c>
      <c r="F21" s="596">
        <v>535</v>
      </c>
      <c r="G21" s="15">
        <v>6603</v>
      </c>
      <c r="H21" t="s">
        <v>229</v>
      </c>
      <c r="I21" s="594">
        <f t="shared" si="0"/>
        <v>535</v>
      </c>
    </row>
    <row r="22" spans="1:10">
      <c r="A22" t="s">
        <v>41</v>
      </c>
      <c r="B22" t="s">
        <v>445</v>
      </c>
      <c r="C22">
        <v>563</v>
      </c>
      <c r="D22" t="s">
        <v>449</v>
      </c>
      <c r="E22" s="691">
        <v>2022</v>
      </c>
      <c r="F22" s="596">
        <v>535</v>
      </c>
      <c r="G22" s="15">
        <v>6603</v>
      </c>
      <c r="H22" t="s">
        <v>229</v>
      </c>
      <c r="I22" s="594">
        <f t="shared" si="0"/>
        <v>535</v>
      </c>
    </row>
    <row r="23" spans="1:10">
      <c r="A23" t="s">
        <v>41</v>
      </c>
      <c r="B23" t="s">
        <v>445</v>
      </c>
      <c r="C23">
        <v>563</v>
      </c>
      <c r="D23" t="s">
        <v>450</v>
      </c>
      <c r="E23" s="691">
        <v>2022</v>
      </c>
      <c r="F23" s="596">
        <v>244.7</v>
      </c>
      <c r="G23" s="15">
        <v>3022.9</v>
      </c>
      <c r="H23" t="s">
        <v>229</v>
      </c>
      <c r="I23" s="594">
        <f t="shared" si="0"/>
        <v>244.7</v>
      </c>
    </row>
    <row r="24" spans="1:10">
      <c r="A24" t="s">
        <v>41</v>
      </c>
      <c r="B24" t="s">
        <v>445</v>
      </c>
      <c r="C24">
        <v>563</v>
      </c>
      <c r="D24" t="s">
        <v>451</v>
      </c>
      <c r="E24" s="691">
        <v>2022</v>
      </c>
      <c r="F24" s="596">
        <v>266.5</v>
      </c>
      <c r="G24" s="15">
        <v>3290.1</v>
      </c>
      <c r="H24" t="s">
        <v>229</v>
      </c>
      <c r="I24" s="594">
        <f t="shared" si="0"/>
        <v>266.5</v>
      </c>
    </row>
    <row r="25" spans="1:10">
      <c r="A25" t="s">
        <v>41</v>
      </c>
      <c r="B25" t="s">
        <v>445</v>
      </c>
      <c r="C25">
        <v>563</v>
      </c>
      <c r="D25" t="s">
        <v>452</v>
      </c>
      <c r="E25" s="691">
        <v>2022</v>
      </c>
      <c r="F25" s="596">
        <v>132.80000000000001</v>
      </c>
      <c r="G25" s="15">
        <v>1640.8</v>
      </c>
      <c r="H25" t="s">
        <v>229</v>
      </c>
      <c r="I25" s="594">
        <f t="shared" si="0"/>
        <v>132.80000000000001</v>
      </c>
    </row>
    <row r="26" spans="1:10">
      <c r="A26" t="s">
        <v>41</v>
      </c>
      <c r="B26" t="s">
        <v>445</v>
      </c>
      <c r="C26">
        <v>563</v>
      </c>
      <c r="D26" t="s">
        <v>453</v>
      </c>
      <c r="E26" s="691">
        <v>2022</v>
      </c>
      <c r="F26" s="596">
        <v>114.6</v>
      </c>
      <c r="G26" s="15">
        <v>1417.8</v>
      </c>
      <c r="H26" t="s">
        <v>229</v>
      </c>
      <c r="I26" s="594">
        <f t="shared" si="0"/>
        <v>114.6</v>
      </c>
    </row>
    <row r="27" spans="1:10">
      <c r="A27" t="s">
        <v>41</v>
      </c>
      <c r="B27" t="s">
        <v>234</v>
      </c>
      <c r="C27">
        <v>568</v>
      </c>
      <c r="D27" t="s">
        <v>2720</v>
      </c>
      <c r="E27" s="691">
        <v>2022</v>
      </c>
      <c r="F27" s="596">
        <v>1361347.9890000001</v>
      </c>
      <c r="G27" s="15">
        <v>22907338.463</v>
      </c>
      <c r="H27" t="s">
        <v>232</v>
      </c>
      <c r="I27" s="594">
        <f t="shared" si="0"/>
        <v>1361347.9890000001</v>
      </c>
    </row>
    <row r="28" spans="1:10">
      <c r="A28" t="s">
        <v>41</v>
      </c>
      <c r="B28" t="s">
        <v>369</v>
      </c>
      <c r="C28">
        <v>6156</v>
      </c>
      <c r="D28" t="s">
        <v>247</v>
      </c>
      <c r="E28" s="691">
        <v>2022</v>
      </c>
      <c r="F28" s="596">
        <v>56708.116999999998</v>
      </c>
      <c r="G28" s="15">
        <v>734089.43299999996</v>
      </c>
      <c r="H28" t="s">
        <v>236</v>
      </c>
      <c r="I28" s="594">
        <f>F28</f>
        <v>56708.116999999998</v>
      </c>
    </row>
    <row r="29" spans="1:10">
      <c r="A29" t="s">
        <v>41</v>
      </c>
      <c r="B29" t="s">
        <v>369</v>
      </c>
      <c r="C29">
        <v>6156</v>
      </c>
      <c r="D29" t="s">
        <v>1146</v>
      </c>
      <c r="E29" s="691">
        <v>2022</v>
      </c>
      <c r="F29" s="596">
        <v>3045.3389999999999</v>
      </c>
      <c r="G29" s="15">
        <v>38497.161</v>
      </c>
      <c r="H29" t="s">
        <v>229</v>
      </c>
      <c r="I29" s="594">
        <f>F29</f>
        <v>3045.3389999999999</v>
      </c>
    </row>
    <row r="30" spans="1:10">
      <c r="A30" t="s">
        <v>41</v>
      </c>
      <c r="B30" t="s">
        <v>369</v>
      </c>
      <c r="C30">
        <v>6156</v>
      </c>
      <c r="D30" t="s">
        <v>1147</v>
      </c>
      <c r="E30" s="691">
        <v>2022</v>
      </c>
      <c r="F30" s="596">
        <v>2996.3470000000002</v>
      </c>
      <c r="G30" s="15">
        <v>37679.180999999997</v>
      </c>
      <c r="H30" t="s">
        <v>229</v>
      </c>
      <c r="I30" s="594">
        <f>F30</f>
        <v>2996.3470000000002</v>
      </c>
    </row>
    <row r="31" spans="1:10">
      <c r="A31" t="s">
        <v>41</v>
      </c>
      <c r="B31" t="s">
        <v>369</v>
      </c>
      <c r="C31">
        <v>6156</v>
      </c>
      <c r="D31" t="s">
        <v>1148</v>
      </c>
      <c r="E31" s="691">
        <v>2022</v>
      </c>
      <c r="F31" s="596">
        <v>2107.085</v>
      </c>
      <c r="G31" s="15">
        <v>26657.977999999999</v>
      </c>
      <c r="H31" t="s">
        <v>229</v>
      </c>
      <c r="I31" s="594">
        <f>F31</f>
        <v>2107.085</v>
      </c>
    </row>
    <row r="32" spans="1:10">
      <c r="A32" t="s">
        <v>41</v>
      </c>
      <c r="B32" t="s">
        <v>227</v>
      </c>
      <c r="C32">
        <v>6635</v>
      </c>
      <c r="D32" t="s">
        <v>228</v>
      </c>
      <c r="E32" s="691">
        <v>2022</v>
      </c>
      <c r="F32" s="596">
        <v>2353.0940000000001</v>
      </c>
      <c r="G32" s="15">
        <v>39035.351000000002</v>
      </c>
      <c r="H32" t="s">
        <v>229</v>
      </c>
      <c r="I32" s="594">
        <f>F32</f>
        <v>2353.0940000000001</v>
      </c>
    </row>
    <row r="33" spans="1:10">
      <c r="A33" t="s">
        <v>41</v>
      </c>
      <c r="B33" t="s">
        <v>443</v>
      </c>
      <c r="C33">
        <v>10567</v>
      </c>
      <c r="D33" t="s">
        <v>274</v>
      </c>
      <c r="E33" s="691">
        <v>2022</v>
      </c>
      <c r="F33" s="15">
        <v>15088.519</v>
      </c>
      <c r="G33" s="15">
        <v>239871.05499999999</v>
      </c>
      <c r="H33" t="s">
        <v>232</v>
      </c>
      <c r="I33" s="594"/>
      <c r="J33" s="20" t="s">
        <v>2039</v>
      </c>
    </row>
    <row r="34" spans="1:10">
      <c r="A34" t="s">
        <v>41</v>
      </c>
      <c r="B34" t="s">
        <v>444</v>
      </c>
      <c r="C34">
        <v>54605</v>
      </c>
      <c r="D34">
        <v>1</v>
      </c>
      <c r="E34" s="691">
        <v>2022</v>
      </c>
      <c r="F34" s="15">
        <v>48863.847000000002</v>
      </c>
      <c r="G34" s="15">
        <v>822259.75</v>
      </c>
      <c r="H34" t="s">
        <v>229</v>
      </c>
      <c r="I34" s="594"/>
      <c r="J34" s="20" t="s">
        <v>2043</v>
      </c>
    </row>
    <row r="35" spans="1:10">
      <c r="A35" t="s">
        <v>41</v>
      </c>
      <c r="B35" t="s">
        <v>230</v>
      </c>
      <c r="C35">
        <v>55042</v>
      </c>
      <c r="D35" t="s">
        <v>231</v>
      </c>
      <c r="E35" s="691">
        <v>2022</v>
      </c>
      <c r="F35" s="596">
        <v>548991.66</v>
      </c>
      <c r="G35" s="15">
        <v>9237874.6870000008</v>
      </c>
      <c r="H35" t="s">
        <v>232</v>
      </c>
      <c r="I35" s="594">
        <f t="shared" ref="I35:I63" si="1">F35</f>
        <v>548991.66</v>
      </c>
    </row>
    <row r="36" spans="1:10">
      <c r="A36" t="s">
        <v>41</v>
      </c>
      <c r="B36" t="s">
        <v>230</v>
      </c>
      <c r="C36">
        <v>55042</v>
      </c>
      <c r="D36" t="s">
        <v>233</v>
      </c>
      <c r="E36" s="691">
        <v>2022</v>
      </c>
      <c r="F36" s="596">
        <v>543861.64899999998</v>
      </c>
      <c r="G36" s="15">
        <v>9151504.1319999993</v>
      </c>
      <c r="H36" t="s">
        <v>232</v>
      </c>
      <c r="I36" s="594">
        <f t="shared" si="1"/>
        <v>543861.64899999998</v>
      </c>
    </row>
    <row r="37" spans="1:10">
      <c r="A37" t="s">
        <v>41</v>
      </c>
      <c r="B37" t="s">
        <v>243</v>
      </c>
      <c r="C37">
        <v>55126</v>
      </c>
      <c r="D37" t="s">
        <v>244</v>
      </c>
      <c r="E37" s="691">
        <v>2022</v>
      </c>
      <c r="F37" s="596">
        <v>847375.57900000003</v>
      </c>
      <c r="G37" s="15">
        <v>14258541.914999999</v>
      </c>
      <c r="H37" t="s">
        <v>232</v>
      </c>
      <c r="I37" s="594">
        <f t="shared" si="1"/>
        <v>847375.57900000003</v>
      </c>
    </row>
    <row r="38" spans="1:10">
      <c r="A38" t="s">
        <v>41</v>
      </c>
      <c r="B38" t="s">
        <v>243</v>
      </c>
      <c r="C38">
        <v>55126</v>
      </c>
      <c r="D38" t="s">
        <v>245</v>
      </c>
      <c r="E38" s="691">
        <v>2022</v>
      </c>
      <c r="F38" s="596">
        <v>769690.58700000006</v>
      </c>
      <c r="G38" s="15">
        <v>12951375.089</v>
      </c>
      <c r="H38" t="s">
        <v>232</v>
      </c>
      <c r="I38" s="594">
        <f t="shared" si="1"/>
        <v>769690.58700000006</v>
      </c>
    </row>
    <row r="39" spans="1:10">
      <c r="A39" t="s">
        <v>41</v>
      </c>
      <c r="B39" t="s">
        <v>238</v>
      </c>
      <c r="C39">
        <v>55149</v>
      </c>
      <c r="D39" t="s">
        <v>239</v>
      </c>
      <c r="E39" s="691">
        <v>2022</v>
      </c>
      <c r="F39" s="596">
        <v>794048.94200000004</v>
      </c>
      <c r="G39" s="15">
        <v>13361366.704</v>
      </c>
      <c r="H39" t="s">
        <v>232</v>
      </c>
      <c r="I39" s="594">
        <f t="shared" si="1"/>
        <v>794048.94200000004</v>
      </c>
    </row>
    <row r="40" spans="1:10">
      <c r="A40" t="s">
        <v>41</v>
      </c>
      <c r="B40" t="s">
        <v>238</v>
      </c>
      <c r="C40">
        <v>55149</v>
      </c>
      <c r="D40" t="s">
        <v>240</v>
      </c>
      <c r="E40" s="691">
        <v>2022</v>
      </c>
      <c r="F40" s="596">
        <v>844197.46299999999</v>
      </c>
      <c r="G40" s="15">
        <v>14205269.341</v>
      </c>
      <c r="H40" t="s">
        <v>232</v>
      </c>
      <c r="I40" s="594">
        <f t="shared" si="1"/>
        <v>844197.46299999999</v>
      </c>
    </row>
    <row r="41" spans="1:10">
      <c r="A41" t="s">
        <v>41</v>
      </c>
      <c r="B41" t="s">
        <v>238</v>
      </c>
      <c r="C41">
        <v>55149</v>
      </c>
      <c r="D41" t="s">
        <v>241</v>
      </c>
      <c r="E41" s="691">
        <v>2022</v>
      </c>
      <c r="F41" s="596">
        <v>772393.46100000001</v>
      </c>
      <c r="G41" s="15">
        <v>12997057.263</v>
      </c>
      <c r="H41" t="s">
        <v>232</v>
      </c>
      <c r="I41" s="594">
        <f t="shared" si="1"/>
        <v>772393.46100000001</v>
      </c>
    </row>
    <row r="42" spans="1:10">
      <c r="A42" t="s">
        <v>41</v>
      </c>
      <c r="B42" t="s">
        <v>1069</v>
      </c>
      <c r="C42">
        <v>55517</v>
      </c>
      <c r="D42" t="s">
        <v>244</v>
      </c>
      <c r="E42" s="691">
        <v>2022</v>
      </c>
      <c r="F42" s="596">
        <v>5457.8649999999998</v>
      </c>
      <c r="G42" s="15">
        <v>91841.971999999994</v>
      </c>
      <c r="H42" t="s">
        <v>229</v>
      </c>
      <c r="I42" s="594">
        <f t="shared" si="1"/>
        <v>5457.8649999999998</v>
      </c>
    </row>
    <row r="43" spans="1:10">
      <c r="A43" t="s">
        <v>41</v>
      </c>
      <c r="B43" t="s">
        <v>1069</v>
      </c>
      <c r="C43">
        <v>55517</v>
      </c>
      <c r="D43" t="s">
        <v>245</v>
      </c>
      <c r="E43" s="691">
        <v>2022</v>
      </c>
      <c r="F43" s="596">
        <v>7724.5839999999998</v>
      </c>
      <c r="G43" s="15">
        <v>129981.321</v>
      </c>
      <c r="H43" t="s">
        <v>229</v>
      </c>
      <c r="I43" s="594">
        <f t="shared" si="1"/>
        <v>7724.5839999999998</v>
      </c>
    </row>
    <row r="44" spans="1:10">
      <c r="A44" t="s">
        <v>41</v>
      </c>
      <c r="B44" t="s">
        <v>1069</v>
      </c>
      <c r="C44">
        <v>55517</v>
      </c>
      <c r="D44" t="s">
        <v>248</v>
      </c>
      <c r="E44" s="691">
        <v>2022</v>
      </c>
      <c r="F44" s="596">
        <v>5972.2560000000003</v>
      </c>
      <c r="G44" s="15">
        <v>100482.022</v>
      </c>
      <c r="H44" t="s">
        <v>229</v>
      </c>
      <c r="I44" s="594">
        <f t="shared" si="1"/>
        <v>5972.2560000000003</v>
      </c>
    </row>
    <row r="45" spans="1:10">
      <c r="A45" t="s">
        <v>41</v>
      </c>
      <c r="B45" t="s">
        <v>1069</v>
      </c>
      <c r="C45">
        <v>55517</v>
      </c>
      <c r="D45" t="s">
        <v>249</v>
      </c>
      <c r="E45" s="691">
        <v>2022</v>
      </c>
      <c r="F45" s="596">
        <v>6187.4290000000001</v>
      </c>
      <c r="G45" s="15">
        <v>104103.19100000001</v>
      </c>
      <c r="H45" t="s">
        <v>229</v>
      </c>
      <c r="I45" s="594">
        <f t="shared" si="1"/>
        <v>6187.4290000000001</v>
      </c>
    </row>
    <row r="46" spans="1:10">
      <c r="A46" t="s">
        <v>41</v>
      </c>
      <c r="B46" t="s">
        <v>1069</v>
      </c>
      <c r="C46">
        <v>55517</v>
      </c>
      <c r="D46" t="s">
        <v>250</v>
      </c>
      <c r="E46" s="691">
        <v>2022</v>
      </c>
      <c r="F46" s="596">
        <v>8252.5879999999997</v>
      </c>
      <c r="G46" s="15">
        <v>138867.15</v>
      </c>
      <c r="H46" t="s">
        <v>229</v>
      </c>
      <c r="I46" s="594">
        <f t="shared" si="1"/>
        <v>8252.5879999999997</v>
      </c>
    </row>
    <row r="47" spans="1:10">
      <c r="A47" t="s">
        <v>41</v>
      </c>
      <c r="B47" t="s">
        <v>1069</v>
      </c>
      <c r="C47">
        <v>55517</v>
      </c>
      <c r="D47" t="s">
        <v>2256</v>
      </c>
      <c r="E47" s="691">
        <v>2022</v>
      </c>
      <c r="F47" s="596">
        <v>7215.8190000000004</v>
      </c>
      <c r="G47" s="15">
        <v>121425.444</v>
      </c>
      <c r="H47" t="s">
        <v>229</v>
      </c>
      <c r="I47" s="594">
        <f t="shared" si="1"/>
        <v>7215.8190000000004</v>
      </c>
    </row>
    <row r="48" spans="1:10">
      <c r="A48" t="s">
        <v>41</v>
      </c>
      <c r="B48" t="s">
        <v>1069</v>
      </c>
      <c r="C48">
        <v>55517</v>
      </c>
      <c r="D48" t="s">
        <v>2257</v>
      </c>
      <c r="E48" s="691">
        <v>2022</v>
      </c>
      <c r="F48" s="596">
        <v>7651.4939999999997</v>
      </c>
      <c r="G48" s="15">
        <v>128756.106</v>
      </c>
      <c r="H48" t="s">
        <v>229</v>
      </c>
      <c r="I48" s="594">
        <f t="shared" si="1"/>
        <v>7651.4939999999997</v>
      </c>
    </row>
    <row r="49" spans="1:10">
      <c r="A49" t="s">
        <v>41</v>
      </c>
      <c r="B49" t="s">
        <v>2258</v>
      </c>
      <c r="C49">
        <v>56047</v>
      </c>
      <c r="D49">
        <v>1</v>
      </c>
      <c r="E49" s="691">
        <v>2022</v>
      </c>
      <c r="F49" s="596">
        <v>934654.99800000002</v>
      </c>
      <c r="G49" s="15">
        <v>16178972.676999999</v>
      </c>
      <c r="H49" t="s">
        <v>232</v>
      </c>
      <c r="I49" s="594">
        <f t="shared" si="1"/>
        <v>934654.99800000002</v>
      </c>
    </row>
    <row r="50" spans="1:10">
      <c r="A50" t="s">
        <v>41</v>
      </c>
      <c r="B50" t="s">
        <v>2258</v>
      </c>
      <c r="C50">
        <v>56047</v>
      </c>
      <c r="D50">
        <v>2</v>
      </c>
      <c r="E50" s="691">
        <v>2022</v>
      </c>
      <c r="F50" s="596">
        <v>970947.06599999999</v>
      </c>
      <c r="G50" s="15">
        <v>16794233.748</v>
      </c>
      <c r="H50" t="s">
        <v>232</v>
      </c>
      <c r="I50" s="594">
        <f t="shared" si="1"/>
        <v>970947.06599999999</v>
      </c>
    </row>
    <row r="51" spans="1:10">
      <c r="A51" t="s">
        <v>41</v>
      </c>
      <c r="B51" t="s">
        <v>454</v>
      </c>
      <c r="C51">
        <v>56629</v>
      </c>
      <c r="D51">
        <v>10</v>
      </c>
      <c r="E51" s="691">
        <v>2022</v>
      </c>
      <c r="F51" s="596">
        <v>25983.432000000001</v>
      </c>
      <c r="G51" s="15">
        <v>436730.64299999998</v>
      </c>
      <c r="H51" t="s">
        <v>229</v>
      </c>
      <c r="I51" s="594">
        <f t="shared" si="1"/>
        <v>25983.432000000001</v>
      </c>
    </row>
    <row r="52" spans="1:10">
      <c r="A52" t="s">
        <v>41</v>
      </c>
      <c r="B52" t="s">
        <v>1074</v>
      </c>
      <c r="C52">
        <v>56798</v>
      </c>
      <c r="D52" t="s">
        <v>1075</v>
      </c>
      <c r="E52" s="691">
        <v>2022</v>
      </c>
      <c r="F52" s="596">
        <v>520697.27600000001</v>
      </c>
      <c r="G52" s="15">
        <v>8857083.4250000007</v>
      </c>
      <c r="H52" t="s">
        <v>232</v>
      </c>
      <c r="I52" s="594">
        <f t="shared" si="1"/>
        <v>520697.27600000001</v>
      </c>
    </row>
    <row r="53" spans="1:10">
      <c r="A53" t="s">
        <v>41</v>
      </c>
      <c r="B53" t="s">
        <v>1074</v>
      </c>
      <c r="C53">
        <v>56798</v>
      </c>
      <c r="D53" t="s">
        <v>1076</v>
      </c>
      <c r="E53" s="691">
        <v>2022</v>
      </c>
      <c r="F53" s="596">
        <v>481734.10200000001</v>
      </c>
      <c r="G53" s="15">
        <v>8215840.0209999997</v>
      </c>
      <c r="H53" t="s">
        <v>232</v>
      </c>
      <c r="I53" s="594">
        <f t="shared" si="1"/>
        <v>481734.10200000001</v>
      </c>
    </row>
    <row r="54" spans="1:10">
      <c r="A54" s="746" t="s">
        <v>81</v>
      </c>
      <c r="B54" t="s">
        <v>256</v>
      </c>
      <c r="C54">
        <v>1588</v>
      </c>
      <c r="D54">
        <v>81</v>
      </c>
      <c r="E54" s="691">
        <v>2022</v>
      </c>
      <c r="F54" s="596">
        <v>185629.69</v>
      </c>
      <c r="G54" s="15">
        <v>3123601.148</v>
      </c>
      <c r="H54" t="s">
        <v>232</v>
      </c>
      <c r="I54" s="594">
        <f t="shared" si="1"/>
        <v>185629.69</v>
      </c>
    </row>
    <row r="55" spans="1:10">
      <c r="A55" t="s">
        <v>81</v>
      </c>
      <c r="B55" t="s">
        <v>256</v>
      </c>
      <c r="C55">
        <v>1588</v>
      </c>
      <c r="D55">
        <v>82</v>
      </c>
      <c r="E55" s="691">
        <v>2022</v>
      </c>
      <c r="F55" s="596">
        <v>203375.09700000001</v>
      </c>
      <c r="G55" s="15">
        <v>3422189.0759999999</v>
      </c>
      <c r="H55" t="s">
        <v>232</v>
      </c>
      <c r="I55" s="594">
        <f t="shared" si="1"/>
        <v>203375.09700000001</v>
      </c>
    </row>
    <row r="56" spans="1:10">
      <c r="A56" t="s">
        <v>81</v>
      </c>
      <c r="B56" t="s">
        <v>256</v>
      </c>
      <c r="C56">
        <v>1588</v>
      </c>
      <c r="D56">
        <v>93</v>
      </c>
      <c r="E56" s="691">
        <v>2022</v>
      </c>
      <c r="F56" s="596">
        <v>163013.21299999999</v>
      </c>
      <c r="G56" s="15">
        <v>2743008.9369999999</v>
      </c>
      <c r="H56" t="s">
        <v>232</v>
      </c>
      <c r="I56" s="594">
        <f t="shared" si="1"/>
        <v>163013.21299999999</v>
      </c>
      <c r="J56" s="20"/>
    </row>
    <row r="57" spans="1:10">
      <c r="A57" t="s">
        <v>81</v>
      </c>
      <c r="B57" t="s">
        <v>256</v>
      </c>
      <c r="C57">
        <v>1588</v>
      </c>
      <c r="D57">
        <v>94</v>
      </c>
      <c r="E57" s="691">
        <v>2022</v>
      </c>
      <c r="F57" s="596">
        <v>159899.25599999999</v>
      </c>
      <c r="G57" s="15">
        <v>2690629.5449999999</v>
      </c>
      <c r="H57" t="s">
        <v>232</v>
      </c>
      <c r="I57" s="594">
        <f t="shared" si="1"/>
        <v>159899.25599999999</v>
      </c>
      <c r="J57" s="20"/>
    </row>
    <row r="58" spans="1:10">
      <c r="A58" t="s">
        <v>81</v>
      </c>
      <c r="B58" t="s">
        <v>459</v>
      </c>
      <c r="C58">
        <v>1592</v>
      </c>
      <c r="D58" t="s">
        <v>460</v>
      </c>
      <c r="E58" s="691">
        <v>2022</v>
      </c>
      <c r="F58" s="596">
        <v>983.4</v>
      </c>
      <c r="G58" s="15">
        <v>12138.1</v>
      </c>
      <c r="H58" t="s">
        <v>229</v>
      </c>
      <c r="I58" s="594">
        <f t="shared" si="1"/>
        <v>983.4</v>
      </c>
    </row>
    <row r="59" spans="1:10">
      <c r="A59" t="s">
        <v>81</v>
      </c>
      <c r="B59" t="s">
        <v>459</v>
      </c>
      <c r="C59">
        <v>1592</v>
      </c>
      <c r="D59" t="s">
        <v>461</v>
      </c>
      <c r="E59" s="691">
        <v>2022</v>
      </c>
      <c r="F59" s="596">
        <v>827.1</v>
      </c>
      <c r="G59" s="15">
        <v>10207.6</v>
      </c>
      <c r="H59" t="s">
        <v>229</v>
      </c>
      <c r="I59" s="594">
        <f t="shared" si="1"/>
        <v>827.1</v>
      </c>
    </row>
    <row r="60" spans="1:10">
      <c r="A60" t="s">
        <v>81</v>
      </c>
      <c r="B60" t="s">
        <v>459</v>
      </c>
      <c r="C60">
        <v>1592</v>
      </c>
      <c r="D60" t="s">
        <v>462</v>
      </c>
      <c r="E60" s="691">
        <v>2022</v>
      </c>
      <c r="F60" s="596">
        <v>779.1</v>
      </c>
      <c r="G60" s="15">
        <v>9615.4</v>
      </c>
      <c r="H60" t="s">
        <v>229</v>
      </c>
      <c r="I60" s="594">
        <f t="shared" si="1"/>
        <v>779.1</v>
      </c>
    </row>
    <row r="61" spans="1:10">
      <c r="A61" t="s">
        <v>81</v>
      </c>
      <c r="B61" t="s">
        <v>459</v>
      </c>
      <c r="C61">
        <v>1592</v>
      </c>
      <c r="D61" t="s">
        <v>463</v>
      </c>
      <c r="E61" s="691">
        <v>2022</v>
      </c>
      <c r="F61" s="596">
        <v>828</v>
      </c>
      <c r="G61" s="15">
        <v>10219.299999999999</v>
      </c>
      <c r="H61" t="s">
        <v>229</v>
      </c>
      <c r="I61" s="594">
        <f t="shared" si="1"/>
        <v>828</v>
      </c>
      <c r="J61" s="20"/>
    </row>
    <row r="62" spans="1:10">
      <c r="A62" t="s">
        <v>81</v>
      </c>
      <c r="B62" t="s">
        <v>459</v>
      </c>
      <c r="C62">
        <v>1592</v>
      </c>
      <c r="D62" t="s">
        <v>464</v>
      </c>
      <c r="E62" s="691">
        <v>2022</v>
      </c>
      <c r="F62" s="596">
        <v>1408.6</v>
      </c>
      <c r="G62" s="15">
        <v>17382.900000000001</v>
      </c>
      <c r="H62" t="s">
        <v>229</v>
      </c>
      <c r="I62" s="594">
        <f t="shared" si="1"/>
        <v>1408.6</v>
      </c>
    </row>
    <row r="63" spans="1:10">
      <c r="A63" t="s">
        <v>81</v>
      </c>
      <c r="B63" t="s">
        <v>459</v>
      </c>
      <c r="C63">
        <v>1592</v>
      </c>
      <c r="D63" t="s">
        <v>465</v>
      </c>
      <c r="E63" s="691">
        <v>2022</v>
      </c>
      <c r="F63" s="596">
        <v>1417.3</v>
      </c>
      <c r="G63" s="15">
        <v>17488.8</v>
      </c>
      <c r="H63" t="s">
        <v>229</v>
      </c>
      <c r="I63" s="594">
        <f t="shared" si="1"/>
        <v>1417.3</v>
      </c>
    </row>
    <row r="64" spans="1:10">
      <c r="A64" t="s">
        <v>81</v>
      </c>
      <c r="B64" t="s">
        <v>1650</v>
      </c>
      <c r="C64">
        <v>1595</v>
      </c>
      <c r="D64">
        <v>2</v>
      </c>
      <c r="E64" s="691">
        <v>2022</v>
      </c>
      <c r="F64" s="15">
        <v>10229.578</v>
      </c>
      <c r="G64" s="15">
        <v>172152.31700000001</v>
      </c>
      <c r="H64" t="s">
        <v>242</v>
      </c>
      <c r="I64" s="594"/>
      <c r="J64" s="20" t="s">
        <v>2039</v>
      </c>
    </row>
    <row r="65" spans="1:14">
      <c r="A65" t="s">
        <v>81</v>
      </c>
      <c r="B65" t="s">
        <v>1650</v>
      </c>
      <c r="C65">
        <v>1595</v>
      </c>
      <c r="D65">
        <v>3</v>
      </c>
      <c r="E65" s="691">
        <v>2022</v>
      </c>
      <c r="F65" s="15">
        <v>16575.901999999998</v>
      </c>
      <c r="G65" s="15">
        <v>278901.05599999998</v>
      </c>
      <c r="H65" t="s">
        <v>242</v>
      </c>
      <c r="I65" s="594"/>
      <c r="J65" s="20" t="s">
        <v>2039</v>
      </c>
      <c r="K65" s="20"/>
    </row>
    <row r="66" spans="1:14">
      <c r="A66" t="s">
        <v>81</v>
      </c>
      <c r="B66" t="s">
        <v>1650</v>
      </c>
      <c r="C66">
        <v>1595</v>
      </c>
      <c r="D66">
        <v>4</v>
      </c>
      <c r="E66" s="691">
        <v>2022</v>
      </c>
      <c r="F66" s="15">
        <v>716985.49800000002</v>
      </c>
      <c r="G66" s="15">
        <v>11978548.228</v>
      </c>
      <c r="H66" t="s">
        <v>232</v>
      </c>
      <c r="I66" s="594"/>
      <c r="J66" s="20" t="s">
        <v>2039</v>
      </c>
    </row>
    <row r="67" spans="1:14">
      <c r="A67" t="s">
        <v>81</v>
      </c>
      <c r="B67" t="s">
        <v>252</v>
      </c>
      <c r="C67">
        <v>1599</v>
      </c>
      <c r="D67">
        <v>1</v>
      </c>
      <c r="E67" s="691">
        <v>2022</v>
      </c>
      <c r="F67" s="596">
        <v>145552.84099999999</v>
      </c>
      <c r="G67" s="15">
        <v>1793766.3770000001</v>
      </c>
      <c r="H67" t="s">
        <v>242</v>
      </c>
      <c r="I67" s="594">
        <f t="shared" ref="I67:I74" si="2">F67</f>
        <v>145552.84099999999</v>
      </c>
    </row>
    <row r="68" spans="1:14">
      <c r="A68" t="s">
        <v>81</v>
      </c>
      <c r="B68" t="s">
        <v>252</v>
      </c>
      <c r="C68">
        <v>1599</v>
      </c>
      <c r="D68">
        <v>2</v>
      </c>
      <c r="E68" s="691">
        <v>2022</v>
      </c>
      <c r="F68" s="596">
        <v>98428.913</v>
      </c>
      <c r="G68" s="15">
        <v>1214364.845</v>
      </c>
      <c r="H68" t="s">
        <v>242</v>
      </c>
      <c r="I68" s="594">
        <f t="shared" si="2"/>
        <v>98428.913</v>
      </c>
      <c r="L68" s="23"/>
      <c r="N68" s="24"/>
    </row>
    <row r="69" spans="1:14">
      <c r="A69" t="s">
        <v>81</v>
      </c>
      <c r="B69" t="s">
        <v>252</v>
      </c>
      <c r="C69">
        <v>1599</v>
      </c>
      <c r="D69">
        <v>3</v>
      </c>
      <c r="E69" s="691">
        <v>2022</v>
      </c>
      <c r="F69" s="596">
        <v>165562.44699999999</v>
      </c>
      <c r="G69" s="15">
        <v>2507157.4890000001</v>
      </c>
      <c r="H69" t="s">
        <v>229</v>
      </c>
      <c r="I69" s="594">
        <f t="shared" si="2"/>
        <v>165562.44699999999</v>
      </c>
      <c r="L69" s="20"/>
      <c r="M69" s="20"/>
    </row>
    <row r="70" spans="1:14">
      <c r="A70" t="s">
        <v>81</v>
      </c>
      <c r="B70" t="s">
        <v>257</v>
      </c>
      <c r="C70">
        <v>1642</v>
      </c>
      <c r="D70" t="s">
        <v>258</v>
      </c>
      <c r="E70" s="691">
        <v>2022</v>
      </c>
      <c r="F70" s="596">
        <v>420.89100000000002</v>
      </c>
      <c r="G70" s="15">
        <v>5343.4970000000003</v>
      </c>
      <c r="H70" t="s">
        <v>229</v>
      </c>
      <c r="I70" s="594">
        <f t="shared" si="2"/>
        <v>420.89100000000002</v>
      </c>
      <c r="J70" s="20" t="s">
        <v>2992</v>
      </c>
      <c r="L70" s="20"/>
      <c r="M70" s="20"/>
    </row>
    <row r="71" spans="1:14">
      <c r="A71" t="s">
        <v>81</v>
      </c>
      <c r="B71" t="s">
        <v>257</v>
      </c>
      <c r="C71">
        <v>1642</v>
      </c>
      <c r="D71" t="s">
        <v>259</v>
      </c>
      <c r="E71" s="691">
        <v>2022</v>
      </c>
      <c r="F71" s="596">
        <v>383.488</v>
      </c>
      <c r="G71" s="15">
        <v>4953.7299999999996</v>
      </c>
      <c r="H71" t="s">
        <v>229</v>
      </c>
      <c r="I71" s="594">
        <f t="shared" si="2"/>
        <v>383.488</v>
      </c>
      <c r="J71" s="20" t="s">
        <v>2992</v>
      </c>
      <c r="L71" s="20"/>
      <c r="M71" s="20"/>
    </row>
    <row r="72" spans="1:14">
      <c r="A72" t="s">
        <v>81</v>
      </c>
      <c r="B72" t="s">
        <v>467</v>
      </c>
      <c r="C72">
        <v>1660</v>
      </c>
      <c r="D72">
        <v>3</v>
      </c>
      <c r="E72" s="691">
        <v>2022</v>
      </c>
      <c r="F72" s="596"/>
      <c r="G72" s="15"/>
      <c r="H72" t="s">
        <v>232</v>
      </c>
      <c r="I72" s="594">
        <f t="shared" si="2"/>
        <v>0</v>
      </c>
      <c r="J72" s="20" t="s">
        <v>2040</v>
      </c>
    </row>
    <row r="73" spans="1:14">
      <c r="A73" t="s">
        <v>81</v>
      </c>
      <c r="B73" t="s">
        <v>467</v>
      </c>
      <c r="C73">
        <v>1660</v>
      </c>
      <c r="D73">
        <v>4</v>
      </c>
      <c r="E73" s="691">
        <v>2022</v>
      </c>
      <c r="F73" s="596">
        <v>11051.375</v>
      </c>
      <c r="G73" s="15">
        <v>162735.277</v>
      </c>
      <c r="H73" t="s">
        <v>229</v>
      </c>
      <c r="I73" s="594">
        <f t="shared" si="2"/>
        <v>11051.375</v>
      </c>
      <c r="J73" s="20" t="s">
        <v>2040</v>
      </c>
      <c r="K73" s="20"/>
    </row>
    <row r="74" spans="1:14">
      <c r="A74" t="s">
        <v>81</v>
      </c>
      <c r="B74" t="s">
        <v>467</v>
      </c>
      <c r="C74">
        <v>1660</v>
      </c>
      <c r="D74">
        <v>5</v>
      </c>
      <c r="E74" s="691">
        <v>2022</v>
      </c>
      <c r="F74" s="596">
        <v>11842.038</v>
      </c>
      <c r="G74" s="15">
        <v>173072.28200000001</v>
      </c>
      <c r="H74" t="s">
        <v>229</v>
      </c>
      <c r="I74" s="594">
        <f t="shared" si="2"/>
        <v>11842.038</v>
      </c>
      <c r="J74" s="20" t="s">
        <v>2040</v>
      </c>
      <c r="K74" s="25"/>
    </row>
    <row r="75" spans="1:14">
      <c r="A75" t="s">
        <v>81</v>
      </c>
      <c r="B75" t="s">
        <v>13</v>
      </c>
      <c r="C75">
        <v>1678</v>
      </c>
      <c r="D75">
        <v>2</v>
      </c>
      <c r="E75" s="691">
        <v>2022</v>
      </c>
      <c r="F75" s="15">
        <v>4040.8</v>
      </c>
      <c r="G75" s="15">
        <v>64029.7</v>
      </c>
      <c r="H75" t="s">
        <v>229</v>
      </c>
      <c r="I75" s="594"/>
      <c r="J75" s="20" t="s">
        <v>2041</v>
      </c>
    </row>
    <row r="76" spans="1:14">
      <c r="A76" t="s">
        <v>81</v>
      </c>
      <c r="B76" t="s">
        <v>14</v>
      </c>
      <c r="C76">
        <v>1682</v>
      </c>
      <c r="D76">
        <v>9</v>
      </c>
      <c r="E76" s="691">
        <v>2022</v>
      </c>
      <c r="F76" s="596">
        <v>16972.29</v>
      </c>
      <c r="G76" s="15">
        <v>280764.57699999999</v>
      </c>
      <c r="H76" t="s">
        <v>253</v>
      </c>
      <c r="I76" s="594">
        <f t="shared" ref="I76:I83" si="3">F76</f>
        <v>16972.29</v>
      </c>
      <c r="J76" s="25" t="s">
        <v>2990</v>
      </c>
    </row>
    <row r="77" spans="1:14">
      <c r="A77" t="s">
        <v>81</v>
      </c>
      <c r="B77" t="s">
        <v>2079</v>
      </c>
      <c r="C77">
        <v>6081</v>
      </c>
      <c r="D77">
        <v>1</v>
      </c>
      <c r="E77" s="691">
        <v>2022</v>
      </c>
      <c r="F77" s="596">
        <v>33163.199999999997</v>
      </c>
      <c r="G77" s="15">
        <v>496363.8</v>
      </c>
      <c r="H77" t="s">
        <v>232</v>
      </c>
      <c r="I77" s="594">
        <f t="shared" si="3"/>
        <v>33163.199999999997</v>
      </c>
      <c r="K77" s="25"/>
    </row>
    <row r="78" spans="1:14">
      <c r="A78" t="s">
        <v>81</v>
      </c>
      <c r="B78" t="s">
        <v>2079</v>
      </c>
      <c r="C78">
        <v>6081</v>
      </c>
      <c r="D78">
        <v>2</v>
      </c>
      <c r="E78" s="691">
        <v>2022</v>
      </c>
      <c r="F78" s="596">
        <v>13589.424999999999</v>
      </c>
      <c r="G78" s="15">
        <v>173085.47500000001</v>
      </c>
      <c r="H78" t="s">
        <v>232</v>
      </c>
      <c r="I78" s="594">
        <f t="shared" si="3"/>
        <v>13589.424999999999</v>
      </c>
      <c r="K78" s="25"/>
    </row>
    <row r="79" spans="1:14">
      <c r="A79" t="s">
        <v>81</v>
      </c>
      <c r="B79" t="s">
        <v>2079</v>
      </c>
      <c r="C79">
        <v>6081</v>
      </c>
      <c r="D79">
        <v>3</v>
      </c>
      <c r="E79" s="691">
        <v>2022</v>
      </c>
      <c r="F79" s="596">
        <v>16257.3</v>
      </c>
      <c r="G79" s="15">
        <v>262249.45</v>
      </c>
      <c r="H79" t="s">
        <v>232</v>
      </c>
      <c r="I79" s="594">
        <f t="shared" si="3"/>
        <v>16257.3</v>
      </c>
    </row>
    <row r="80" spans="1:14">
      <c r="A80" t="s">
        <v>81</v>
      </c>
      <c r="B80" t="s">
        <v>2079</v>
      </c>
      <c r="C80">
        <v>6081</v>
      </c>
      <c r="D80">
        <v>4</v>
      </c>
      <c r="E80" s="691">
        <v>2022</v>
      </c>
      <c r="F80" s="596">
        <v>3384</v>
      </c>
      <c r="G80" s="15">
        <v>41782.699999999997</v>
      </c>
      <c r="H80" t="s">
        <v>229</v>
      </c>
      <c r="I80" s="594">
        <f t="shared" si="3"/>
        <v>3384</v>
      </c>
      <c r="J80" s="20"/>
    </row>
    <row r="81" spans="1:15">
      <c r="A81" t="s">
        <v>81</v>
      </c>
      <c r="B81" t="s">
        <v>2079</v>
      </c>
      <c r="C81">
        <v>6081</v>
      </c>
      <c r="D81">
        <v>5</v>
      </c>
      <c r="E81" s="691">
        <v>2022</v>
      </c>
      <c r="F81" s="596">
        <v>3271</v>
      </c>
      <c r="G81" s="15">
        <v>40382.1</v>
      </c>
      <c r="H81" t="s">
        <v>229</v>
      </c>
      <c r="I81" s="594">
        <f t="shared" si="3"/>
        <v>3271</v>
      </c>
      <c r="J81" s="20"/>
      <c r="K81" s="25"/>
    </row>
    <row r="82" spans="1:15">
      <c r="A82" t="s">
        <v>81</v>
      </c>
      <c r="B82" t="s">
        <v>2724</v>
      </c>
      <c r="C82">
        <v>10176</v>
      </c>
      <c r="D82" t="s">
        <v>280</v>
      </c>
      <c r="E82" s="691">
        <v>2022</v>
      </c>
      <c r="F82" s="596">
        <v>554</v>
      </c>
      <c r="G82" s="15">
        <v>6835</v>
      </c>
      <c r="H82" t="s">
        <v>229</v>
      </c>
      <c r="I82" s="594">
        <f t="shared" si="3"/>
        <v>554</v>
      </c>
      <c r="K82" s="25"/>
    </row>
    <row r="83" spans="1:15">
      <c r="A83" t="s">
        <v>81</v>
      </c>
      <c r="B83" t="s">
        <v>2724</v>
      </c>
      <c r="C83">
        <v>10176</v>
      </c>
      <c r="D83" t="s">
        <v>281</v>
      </c>
      <c r="E83" s="691">
        <v>2022</v>
      </c>
      <c r="F83" s="596">
        <v>303</v>
      </c>
      <c r="G83" s="15">
        <v>3738.2</v>
      </c>
      <c r="H83" t="s">
        <v>229</v>
      </c>
      <c r="I83" s="594">
        <f t="shared" si="3"/>
        <v>303</v>
      </c>
    </row>
    <row r="84" spans="1:15">
      <c r="A84" t="s">
        <v>81</v>
      </c>
      <c r="B84" t="s">
        <v>251</v>
      </c>
      <c r="C84">
        <v>10307</v>
      </c>
      <c r="D84">
        <v>1</v>
      </c>
      <c r="E84" s="691">
        <v>2022</v>
      </c>
      <c r="F84" s="596">
        <v>45074.976999999999</v>
      </c>
      <c r="G84" s="15">
        <v>757585.95400000003</v>
      </c>
      <c r="H84" t="s">
        <v>232</v>
      </c>
      <c r="I84" s="594">
        <f>F84</f>
        <v>45074.976999999999</v>
      </c>
      <c r="J84" s="20"/>
    </row>
    <row r="85" spans="1:15">
      <c r="A85" t="s">
        <v>81</v>
      </c>
      <c r="B85" t="s">
        <v>251</v>
      </c>
      <c r="C85">
        <v>10307</v>
      </c>
      <c r="D85">
        <v>2</v>
      </c>
      <c r="E85" s="691">
        <v>2022</v>
      </c>
      <c r="F85" s="596">
        <v>67601.517999999996</v>
      </c>
      <c r="G85" s="15">
        <v>1112094.3999999999</v>
      </c>
      <c r="H85" t="s">
        <v>232</v>
      </c>
      <c r="I85" s="594">
        <f>F85</f>
        <v>67601.517999999996</v>
      </c>
    </row>
    <row r="86" spans="1:15">
      <c r="A86" t="s">
        <v>81</v>
      </c>
      <c r="B86" t="s">
        <v>458</v>
      </c>
      <c r="C86">
        <v>10726</v>
      </c>
      <c r="D86">
        <v>1</v>
      </c>
      <c r="E86" s="691">
        <v>2022</v>
      </c>
      <c r="F86" s="15">
        <v>63195.5</v>
      </c>
      <c r="G86" s="15">
        <v>1063379.9750000001</v>
      </c>
      <c r="H86" t="s">
        <v>232</v>
      </c>
      <c r="I86" s="594"/>
      <c r="J86" s="25" t="s">
        <v>2993</v>
      </c>
      <c r="K86" s="2"/>
      <c r="M86" s="2"/>
      <c r="O86" s="20"/>
    </row>
    <row r="87" spans="1:15">
      <c r="A87" t="s">
        <v>81</v>
      </c>
      <c r="B87" t="s">
        <v>458</v>
      </c>
      <c r="C87">
        <v>10726</v>
      </c>
      <c r="D87">
        <v>2</v>
      </c>
      <c r="E87" s="691">
        <v>2022</v>
      </c>
      <c r="F87" s="15">
        <v>56534.95</v>
      </c>
      <c r="G87" s="15">
        <v>951308</v>
      </c>
      <c r="H87" t="s">
        <v>232</v>
      </c>
      <c r="I87" s="594"/>
      <c r="J87" s="25" t="s">
        <v>2993</v>
      </c>
    </row>
    <row r="88" spans="1:15">
      <c r="A88" t="s">
        <v>81</v>
      </c>
      <c r="B88" t="s">
        <v>455</v>
      </c>
      <c r="C88">
        <v>10823</v>
      </c>
      <c r="D88" t="s">
        <v>456</v>
      </c>
      <c r="E88" s="691">
        <v>2022</v>
      </c>
      <c r="F88" s="15">
        <v>344.84100000000001</v>
      </c>
      <c r="G88" s="15">
        <v>4249.8609999999999</v>
      </c>
      <c r="H88" t="s">
        <v>229</v>
      </c>
      <c r="I88" s="594"/>
      <c r="J88" s="20" t="s">
        <v>2042</v>
      </c>
    </row>
    <row r="89" spans="1:15">
      <c r="A89" t="s">
        <v>81</v>
      </c>
      <c r="B89" t="s">
        <v>455</v>
      </c>
      <c r="C89">
        <v>10823</v>
      </c>
      <c r="D89" t="s">
        <v>457</v>
      </c>
      <c r="E89" s="691">
        <v>2022</v>
      </c>
      <c r="F89" s="15">
        <v>309.03899999999999</v>
      </c>
      <c r="G89" s="15">
        <v>3810.5419999999999</v>
      </c>
      <c r="H89" t="s">
        <v>229</v>
      </c>
      <c r="I89" s="594"/>
      <c r="J89" s="20" t="s">
        <v>2042</v>
      </c>
    </row>
    <row r="90" spans="1:15">
      <c r="A90" t="s">
        <v>81</v>
      </c>
      <c r="B90" t="s">
        <v>466</v>
      </c>
      <c r="C90">
        <v>50002</v>
      </c>
      <c r="D90">
        <v>1</v>
      </c>
      <c r="E90" s="691">
        <v>2022</v>
      </c>
      <c r="F90" s="596">
        <v>10035.698</v>
      </c>
      <c r="G90" s="15">
        <v>168725.394</v>
      </c>
      <c r="H90" t="s">
        <v>232</v>
      </c>
      <c r="I90" s="594">
        <f>F90</f>
        <v>10035.698</v>
      </c>
      <c r="J90" s="20"/>
    </row>
    <row r="91" spans="1:15">
      <c r="A91" t="s">
        <v>81</v>
      </c>
      <c r="B91" t="s">
        <v>466</v>
      </c>
      <c r="C91">
        <v>50002</v>
      </c>
      <c r="D91">
        <v>2</v>
      </c>
      <c r="E91" s="691">
        <v>2022</v>
      </c>
      <c r="F91" s="596">
        <v>10862.308999999999</v>
      </c>
      <c r="G91" s="15">
        <v>182572.978</v>
      </c>
      <c r="H91" t="s">
        <v>232</v>
      </c>
      <c r="I91" s="594">
        <f>F91</f>
        <v>10862.308999999999</v>
      </c>
    </row>
    <row r="92" spans="1:15">
      <c r="A92" t="s">
        <v>81</v>
      </c>
      <c r="B92" t="s">
        <v>466</v>
      </c>
      <c r="C92">
        <v>50002</v>
      </c>
      <c r="D92">
        <v>3</v>
      </c>
      <c r="E92" s="691">
        <v>2022</v>
      </c>
      <c r="F92" s="596">
        <v>10399.423000000001</v>
      </c>
      <c r="G92" s="15">
        <v>174769.73499999999</v>
      </c>
      <c r="H92" t="s">
        <v>232</v>
      </c>
      <c r="I92" s="594">
        <f>F92</f>
        <v>10399.423000000001</v>
      </c>
    </row>
    <row r="93" spans="1:15">
      <c r="A93" t="s">
        <v>81</v>
      </c>
      <c r="B93" t="s">
        <v>254</v>
      </c>
      <c r="C93">
        <v>52026</v>
      </c>
      <c r="D93">
        <v>1</v>
      </c>
      <c r="E93" s="691">
        <v>2022</v>
      </c>
      <c r="F93" s="15">
        <v>23454.753000000001</v>
      </c>
      <c r="G93" s="15">
        <v>387947.15</v>
      </c>
      <c r="H93" t="s">
        <v>232</v>
      </c>
      <c r="I93" s="594"/>
      <c r="J93" s="20" t="s">
        <v>2041</v>
      </c>
    </row>
    <row r="94" spans="1:15">
      <c r="A94" t="s">
        <v>81</v>
      </c>
      <c r="B94" t="s">
        <v>1861</v>
      </c>
      <c r="C94">
        <v>54586</v>
      </c>
      <c r="D94">
        <v>2</v>
      </c>
      <c r="E94" s="691">
        <v>2022</v>
      </c>
      <c r="F94" s="596">
        <v>12741.117</v>
      </c>
      <c r="G94" s="15">
        <v>213342.35399999999</v>
      </c>
      <c r="H94" t="s">
        <v>232</v>
      </c>
      <c r="I94" s="594">
        <f t="shared" ref="I94:I106" si="4">F94</f>
        <v>12741.117</v>
      </c>
      <c r="J94" s="20"/>
    </row>
    <row r="95" spans="1:15">
      <c r="A95" t="s">
        <v>81</v>
      </c>
      <c r="B95" t="s">
        <v>1651</v>
      </c>
      <c r="C95">
        <v>54805</v>
      </c>
      <c r="D95">
        <v>1</v>
      </c>
      <c r="E95" s="691">
        <v>2022</v>
      </c>
      <c r="F95" s="596">
        <v>77666.159</v>
      </c>
      <c r="G95" s="15">
        <v>1306885.1070000001</v>
      </c>
      <c r="H95" t="s">
        <v>232</v>
      </c>
      <c r="I95" s="594">
        <f t="shared" si="4"/>
        <v>77666.159</v>
      </c>
    </row>
    <row r="96" spans="1:15">
      <c r="A96" t="s">
        <v>81</v>
      </c>
      <c r="B96" t="s">
        <v>255</v>
      </c>
      <c r="C96">
        <v>55026</v>
      </c>
      <c r="D96">
        <v>1</v>
      </c>
      <c r="E96" s="691">
        <v>2022</v>
      </c>
      <c r="F96" s="596">
        <v>119386.516</v>
      </c>
      <c r="G96" s="15">
        <v>2008910.003</v>
      </c>
      <c r="H96" t="s">
        <v>232</v>
      </c>
      <c r="I96" s="594">
        <f t="shared" si="4"/>
        <v>119386.516</v>
      </c>
    </row>
    <row r="97" spans="1:10">
      <c r="A97" t="s">
        <v>81</v>
      </c>
      <c r="B97" t="s">
        <v>158</v>
      </c>
      <c r="C97">
        <v>55041</v>
      </c>
      <c r="D97">
        <v>1</v>
      </c>
      <c r="E97" s="691">
        <v>2022</v>
      </c>
      <c r="F97" s="596">
        <v>232879.53700000001</v>
      </c>
      <c r="G97" s="15">
        <v>4011936.1310000001</v>
      </c>
      <c r="H97" t="s">
        <v>232</v>
      </c>
      <c r="I97" s="594">
        <f t="shared" si="4"/>
        <v>232879.53700000001</v>
      </c>
    </row>
    <row r="98" spans="1:10">
      <c r="A98" t="s">
        <v>81</v>
      </c>
      <c r="B98" t="s">
        <v>165</v>
      </c>
      <c r="C98">
        <v>55079</v>
      </c>
      <c r="D98">
        <v>1</v>
      </c>
      <c r="E98" s="691">
        <v>2022</v>
      </c>
      <c r="F98" s="596">
        <v>488838.30099999998</v>
      </c>
      <c r="G98" s="15">
        <v>8225659.2759999996</v>
      </c>
      <c r="H98" t="s">
        <v>232</v>
      </c>
      <c r="I98" s="594">
        <f t="shared" si="4"/>
        <v>488838.30099999998</v>
      </c>
      <c r="J98" s="20"/>
    </row>
    <row r="99" spans="1:10">
      <c r="A99" t="s">
        <v>81</v>
      </c>
      <c r="B99" t="s">
        <v>3017</v>
      </c>
      <c r="C99">
        <v>55211</v>
      </c>
      <c r="D99">
        <v>1</v>
      </c>
      <c r="E99" s="691">
        <v>2022</v>
      </c>
      <c r="F99" s="596">
        <v>513557.52299999999</v>
      </c>
      <c r="G99" s="15">
        <v>8641572.2740000002</v>
      </c>
      <c r="H99" t="s">
        <v>232</v>
      </c>
      <c r="I99" s="594">
        <f t="shared" si="4"/>
        <v>513557.52299999999</v>
      </c>
    </row>
    <row r="100" spans="1:10">
      <c r="A100" t="s">
        <v>81</v>
      </c>
      <c r="B100" t="s">
        <v>3017</v>
      </c>
      <c r="C100">
        <v>55211</v>
      </c>
      <c r="D100">
        <v>2</v>
      </c>
      <c r="E100" s="691">
        <v>2022</v>
      </c>
      <c r="F100" s="596">
        <v>526956.70499999996</v>
      </c>
      <c r="G100" s="15">
        <v>8867087.5309999995</v>
      </c>
      <c r="H100" t="s">
        <v>232</v>
      </c>
      <c r="I100" s="594">
        <f t="shared" si="4"/>
        <v>526956.70499999996</v>
      </c>
    </row>
    <row r="101" spans="1:10">
      <c r="A101" t="s">
        <v>81</v>
      </c>
      <c r="B101" t="s">
        <v>3018</v>
      </c>
      <c r="C101">
        <v>55212</v>
      </c>
      <c r="D101">
        <v>1</v>
      </c>
      <c r="E101" s="691">
        <v>2022</v>
      </c>
      <c r="F101" s="596">
        <v>565685.902</v>
      </c>
      <c r="G101" s="15">
        <v>9518765.3690000009</v>
      </c>
      <c r="H101" t="s">
        <v>232</v>
      </c>
      <c r="I101" s="594">
        <f t="shared" si="4"/>
        <v>565685.902</v>
      </c>
      <c r="J101" s="20"/>
    </row>
    <row r="102" spans="1:10">
      <c r="A102" t="s">
        <v>81</v>
      </c>
      <c r="B102" t="s">
        <v>3018</v>
      </c>
      <c r="C102">
        <v>55212</v>
      </c>
      <c r="D102">
        <v>2</v>
      </c>
      <c r="E102" s="691">
        <v>2022</v>
      </c>
      <c r="F102" s="596">
        <v>587078.49399999995</v>
      </c>
      <c r="G102" s="15">
        <v>9878553.2599999998</v>
      </c>
      <c r="H102" t="s">
        <v>232</v>
      </c>
      <c r="I102" s="594">
        <f t="shared" si="4"/>
        <v>587078.49399999995</v>
      </c>
      <c r="J102" s="20"/>
    </row>
    <row r="103" spans="1:10">
      <c r="A103" t="s">
        <v>81</v>
      </c>
      <c r="B103" t="s">
        <v>1770</v>
      </c>
      <c r="C103">
        <v>55317</v>
      </c>
      <c r="D103">
        <v>11</v>
      </c>
      <c r="E103" s="691">
        <v>2022</v>
      </c>
      <c r="F103" s="596">
        <v>745883.56599999999</v>
      </c>
      <c r="G103" s="15">
        <v>12090231.77</v>
      </c>
      <c r="H103" t="s">
        <v>232</v>
      </c>
      <c r="I103" s="594">
        <f t="shared" si="4"/>
        <v>745883.56599999999</v>
      </c>
    </row>
    <row r="104" spans="1:10">
      <c r="A104" t="s">
        <v>81</v>
      </c>
      <c r="B104" t="s">
        <v>1770</v>
      </c>
      <c r="C104">
        <v>55317</v>
      </c>
      <c r="D104">
        <v>12</v>
      </c>
      <c r="E104" s="691">
        <v>2022</v>
      </c>
      <c r="F104" s="596">
        <v>806459.13600000006</v>
      </c>
      <c r="G104" s="15">
        <v>13284208.285</v>
      </c>
      <c r="H104" t="s">
        <v>232</v>
      </c>
      <c r="I104" s="594">
        <f t="shared" si="4"/>
        <v>806459.13600000006</v>
      </c>
    </row>
    <row r="105" spans="1:10">
      <c r="A105" t="s">
        <v>81</v>
      </c>
      <c r="B105" t="s">
        <v>2721</v>
      </c>
      <c r="C105">
        <v>59882</v>
      </c>
      <c r="D105" t="s">
        <v>2722</v>
      </c>
      <c r="E105" s="691">
        <v>2022</v>
      </c>
      <c r="F105" s="596">
        <v>81245.567999999999</v>
      </c>
      <c r="G105" s="15">
        <v>1336850.486</v>
      </c>
      <c r="H105" t="s">
        <v>229</v>
      </c>
      <c r="I105" s="594">
        <f t="shared" si="4"/>
        <v>81245.567999999999</v>
      </c>
    </row>
    <row r="106" spans="1:10">
      <c r="A106" t="s">
        <v>81</v>
      </c>
      <c r="B106" t="s">
        <v>2721</v>
      </c>
      <c r="C106">
        <v>59882</v>
      </c>
      <c r="D106" t="s">
        <v>2723</v>
      </c>
      <c r="E106" s="691">
        <v>2022</v>
      </c>
      <c r="F106" s="596">
        <v>52458.177000000003</v>
      </c>
      <c r="G106" s="15">
        <v>857748.62199999997</v>
      </c>
      <c r="H106" t="s">
        <v>229</v>
      </c>
      <c r="I106" s="594">
        <f t="shared" si="4"/>
        <v>52458.177000000003</v>
      </c>
    </row>
    <row r="107" spans="1:10">
      <c r="A107" t="s">
        <v>81</v>
      </c>
      <c r="B107" t="s">
        <v>2259</v>
      </c>
      <c r="C107">
        <v>60903</v>
      </c>
      <c r="D107">
        <v>1</v>
      </c>
      <c r="E107" s="691">
        <v>2022</v>
      </c>
      <c r="F107" s="596">
        <v>141674.24900000001</v>
      </c>
      <c r="G107" s="15">
        <v>2383976.2650000001</v>
      </c>
      <c r="H107" t="s">
        <v>232</v>
      </c>
      <c r="I107" s="594">
        <f>F107</f>
        <v>141674.24900000001</v>
      </c>
    </row>
    <row r="108" spans="1:10">
      <c r="A108" t="s">
        <v>81</v>
      </c>
      <c r="B108" t="s">
        <v>2259</v>
      </c>
      <c r="C108">
        <v>60903</v>
      </c>
      <c r="D108">
        <v>2</v>
      </c>
      <c r="E108" s="691">
        <v>2022</v>
      </c>
      <c r="F108" s="596">
        <v>102971.856</v>
      </c>
      <c r="G108" s="15">
        <v>1732694.7849999999</v>
      </c>
      <c r="H108" t="s">
        <v>232</v>
      </c>
      <c r="I108" s="594">
        <f>F108</f>
        <v>102971.856</v>
      </c>
    </row>
    <row r="109" spans="1:10">
      <c r="A109" s="746" t="s">
        <v>90</v>
      </c>
      <c r="B109" t="s">
        <v>4</v>
      </c>
      <c r="C109">
        <v>1507</v>
      </c>
      <c r="D109">
        <v>3</v>
      </c>
      <c r="E109" s="691">
        <v>2022</v>
      </c>
      <c r="F109" s="596">
        <v>20190.116999999998</v>
      </c>
      <c r="G109" s="15">
        <v>240352.929</v>
      </c>
      <c r="H109" t="s">
        <v>236</v>
      </c>
      <c r="I109" s="594">
        <f>F109</f>
        <v>20190.116999999998</v>
      </c>
      <c r="J109" s="25" t="s">
        <v>2991</v>
      </c>
    </row>
    <row r="110" spans="1:10">
      <c r="A110" t="s">
        <v>90</v>
      </c>
      <c r="B110" t="s">
        <v>4</v>
      </c>
      <c r="C110">
        <v>1507</v>
      </c>
      <c r="D110">
        <v>4</v>
      </c>
      <c r="E110" s="691">
        <v>2022</v>
      </c>
      <c r="F110" s="596">
        <v>198272.05900000001</v>
      </c>
      <c r="G110" s="15">
        <v>2323425.0060000001</v>
      </c>
      <c r="H110" t="s">
        <v>242</v>
      </c>
      <c r="I110" s="594">
        <f>F110</f>
        <v>198272.05900000001</v>
      </c>
      <c r="J110" s="25" t="s">
        <v>2991</v>
      </c>
    </row>
    <row r="111" spans="1:10">
      <c r="A111" t="s">
        <v>90</v>
      </c>
      <c r="B111" t="s">
        <v>1657</v>
      </c>
      <c r="C111">
        <v>50243</v>
      </c>
      <c r="D111" t="s">
        <v>261</v>
      </c>
      <c r="E111" s="691">
        <v>2022</v>
      </c>
      <c r="F111" s="596">
        <v>7243.0929999999998</v>
      </c>
      <c r="G111" s="15">
        <v>114025.55</v>
      </c>
      <c r="H111" t="s">
        <v>232</v>
      </c>
      <c r="I111" s="594">
        <f>F111</f>
        <v>7243.0929999999998</v>
      </c>
      <c r="J111" s="25" t="s">
        <v>3935</v>
      </c>
    </row>
    <row r="112" spans="1:10">
      <c r="A112" t="s">
        <v>90</v>
      </c>
      <c r="B112" t="s">
        <v>260</v>
      </c>
      <c r="C112">
        <v>55031</v>
      </c>
      <c r="D112" t="s">
        <v>244</v>
      </c>
      <c r="E112" s="691">
        <v>2022</v>
      </c>
      <c r="F112" s="15">
        <v>98999.096000000005</v>
      </c>
      <c r="G112" s="15">
        <v>1664616.003</v>
      </c>
      <c r="H112" t="s">
        <v>229</v>
      </c>
      <c r="I112" s="594"/>
      <c r="J112" s="20" t="s">
        <v>2039</v>
      </c>
    </row>
    <row r="113" spans="1:10">
      <c r="A113" t="s">
        <v>90</v>
      </c>
      <c r="B113" t="s">
        <v>260</v>
      </c>
      <c r="C113">
        <v>55031</v>
      </c>
      <c r="D113" t="s">
        <v>245</v>
      </c>
      <c r="E113" s="691">
        <v>2022</v>
      </c>
      <c r="F113" s="15">
        <v>192632.37400000001</v>
      </c>
      <c r="G113" s="15">
        <v>3204937.3470000001</v>
      </c>
      <c r="H113" t="s">
        <v>229</v>
      </c>
      <c r="I113" s="594"/>
      <c r="J113" s="20" t="s">
        <v>2039</v>
      </c>
    </row>
    <row r="114" spans="1:10">
      <c r="A114" t="s">
        <v>90</v>
      </c>
      <c r="B114" t="s">
        <v>260</v>
      </c>
      <c r="C114">
        <v>55031</v>
      </c>
      <c r="D114" t="s">
        <v>248</v>
      </c>
      <c r="E114" s="691">
        <v>2022</v>
      </c>
      <c r="F114" s="15">
        <v>22652.699000000001</v>
      </c>
      <c r="G114" s="15">
        <v>379600.05800000002</v>
      </c>
      <c r="H114" t="s">
        <v>229</v>
      </c>
      <c r="I114" s="594"/>
      <c r="J114" s="20" t="s">
        <v>2039</v>
      </c>
    </row>
    <row r="115" spans="1:10">
      <c r="A115" t="s">
        <v>90</v>
      </c>
      <c r="B115" t="s">
        <v>163</v>
      </c>
      <c r="C115">
        <v>55068</v>
      </c>
      <c r="D115">
        <v>1</v>
      </c>
      <c r="E115" s="691">
        <v>2022</v>
      </c>
      <c r="F115" s="596">
        <v>101669.33199999999</v>
      </c>
      <c r="G115" s="15">
        <v>1710758.075</v>
      </c>
      <c r="H115" t="s">
        <v>232</v>
      </c>
      <c r="I115" s="594">
        <f t="shared" ref="I115:I121" si="5">F115</f>
        <v>101669.33199999999</v>
      </c>
    </row>
    <row r="116" spans="1:10">
      <c r="A116" t="s">
        <v>90</v>
      </c>
      <c r="B116" t="s">
        <v>163</v>
      </c>
      <c r="C116">
        <v>55068</v>
      </c>
      <c r="D116">
        <v>2</v>
      </c>
      <c r="E116" s="691">
        <v>2022</v>
      </c>
      <c r="F116" s="596">
        <v>192084.39</v>
      </c>
      <c r="G116" s="15">
        <v>3232179.966</v>
      </c>
      <c r="H116" t="s">
        <v>232</v>
      </c>
      <c r="I116" s="594">
        <f t="shared" si="5"/>
        <v>192084.39</v>
      </c>
    </row>
    <row r="117" spans="1:10">
      <c r="A117" t="s">
        <v>90</v>
      </c>
      <c r="B117" t="s">
        <v>166</v>
      </c>
      <c r="C117">
        <v>55100</v>
      </c>
      <c r="D117">
        <v>1</v>
      </c>
      <c r="E117" s="691">
        <v>2022</v>
      </c>
      <c r="F117" s="596">
        <v>189862.31400000001</v>
      </c>
      <c r="G117" s="15">
        <v>3194788.199</v>
      </c>
      <c r="H117" t="s">
        <v>232</v>
      </c>
      <c r="I117" s="594">
        <f t="shared" si="5"/>
        <v>189862.31400000001</v>
      </c>
      <c r="J117" s="20"/>
    </row>
    <row r="118" spans="1:10">
      <c r="A118" t="s">
        <v>90</v>
      </c>
      <c r="B118" t="s">
        <v>177</v>
      </c>
      <c r="C118">
        <v>55294</v>
      </c>
      <c r="D118">
        <v>1</v>
      </c>
      <c r="E118" s="691">
        <v>2022</v>
      </c>
      <c r="F118" s="596">
        <v>565574.88199999998</v>
      </c>
      <c r="G118" s="15">
        <v>9516885.0710000005</v>
      </c>
      <c r="H118" t="s">
        <v>232</v>
      </c>
      <c r="I118" s="594">
        <f t="shared" si="5"/>
        <v>565574.88199999998</v>
      </c>
      <c r="J118" s="20"/>
    </row>
    <row r="119" spans="1:10">
      <c r="A119" t="s">
        <v>90</v>
      </c>
      <c r="B119" t="s">
        <v>177</v>
      </c>
      <c r="C119">
        <v>55294</v>
      </c>
      <c r="D119">
        <v>2</v>
      </c>
      <c r="E119" s="691">
        <v>2022</v>
      </c>
      <c r="F119" s="596">
        <v>446536.636</v>
      </c>
      <c r="G119" s="15">
        <v>7513915.1160000004</v>
      </c>
      <c r="H119" t="s">
        <v>232</v>
      </c>
      <c r="I119" s="594">
        <f t="shared" si="5"/>
        <v>446536.636</v>
      </c>
    </row>
    <row r="120" spans="1:10">
      <c r="A120" s="746" t="s">
        <v>96</v>
      </c>
      <c r="B120" t="s">
        <v>101</v>
      </c>
      <c r="C120">
        <v>2364</v>
      </c>
      <c r="D120">
        <v>1</v>
      </c>
      <c r="E120" s="691">
        <v>2022</v>
      </c>
      <c r="F120" s="596">
        <v>150719.13800000001</v>
      </c>
      <c r="G120" s="15">
        <v>1468998.3689999999</v>
      </c>
      <c r="H120" t="s">
        <v>235</v>
      </c>
      <c r="I120" s="594">
        <f t="shared" si="5"/>
        <v>150719.13800000001</v>
      </c>
    </row>
    <row r="121" spans="1:10">
      <c r="A121" t="s">
        <v>96</v>
      </c>
      <c r="B121" t="s">
        <v>101</v>
      </c>
      <c r="C121">
        <v>2364</v>
      </c>
      <c r="D121">
        <v>2</v>
      </c>
      <c r="E121" s="691">
        <v>2022</v>
      </c>
      <c r="F121" s="596">
        <v>212738.14199999999</v>
      </c>
      <c r="G121" s="15">
        <v>2073469.6129999999</v>
      </c>
      <c r="H121" t="s">
        <v>235</v>
      </c>
      <c r="I121" s="594">
        <f t="shared" si="5"/>
        <v>212738.14199999999</v>
      </c>
    </row>
    <row r="122" spans="1:10">
      <c r="A122" t="s">
        <v>96</v>
      </c>
      <c r="B122" t="s">
        <v>102</v>
      </c>
      <c r="C122">
        <v>2367</v>
      </c>
      <c r="D122">
        <v>4</v>
      </c>
      <c r="E122" s="691">
        <v>2022</v>
      </c>
      <c r="F122" s="15"/>
      <c r="G122" s="15"/>
      <c r="H122" t="s">
        <v>242</v>
      </c>
      <c r="I122" s="594"/>
      <c r="J122" s="20" t="s">
        <v>2044</v>
      </c>
    </row>
    <row r="123" spans="1:10">
      <c r="A123" t="s">
        <v>96</v>
      </c>
      <c r="B123" t="s">
        <v>102</v>
      </c>
      <c r="C123">
        <v>2367</v>
      </c>
      <c r="D123">
        <v>5</v>
      </c>
      <c r="E123" s="691">
        <v>2022</v>
      </c>
      <c r="F123" s="15"/>
      <c r="G123" s="15"/>
      <c r="H123" t="s">
        <v>263</v>
      </c>
      <c r="I123" s="594"/>
      <c r="J123" s="20" t="s">
        <v>2044</v>
      </c>
    </row>
    <row r="124" spans="1:10">
      <c r="A124" t="s">
        <v>96</v>
      </c>
      <c r="B124" t="s">
        <v>102</v>
      </c>
      <c r="C124">
        <v>2367</v>
      </c>
      <c r="D124">
        <v>6</v>
      </c>
      <c r="E124" s="691">
        <v>2022</v>
      </c>
      <c r="F124" s="15"/>
      <c r="G124" s="15"/>
      <c r="H124" t="s">
        <v>242</v>
      </c>
      <c r="I124" s="594"/>
      <c r="J124" s="20" t="s">
        <v>2044</v>
      </c>
    </row>
    <row r="125" spans="1:10">
      <c r="A125" t="s">
        <v>96</v>
      </c>
      <c r="B125" t="s">
        <v>145</v>
      </c>
      <c r="C125">
        <v>8002</v>
      </c>
      <c r="D125">
        <v>1</v>
      </c>
      <c r="E125" s="691">
        <v>2022</v>
      </c>
      <c r="F125" s="596">
        <v>134064.908</v>
      </c>
      <c r="G125" s="15">
        <v>1769483.3130000001</v>
      </c>
      <c r="H125" t="s">
        <v>236</v>
      </c>
      <c r="I125" s="594">
        <f t="shared" ref="I125:I136" si="6">F125</f>
        <v>134064.908</v>
      </c>
    </row>
    <row r="126" spans="1:10">
      <c r="A126" t="s">
        <v>96</v>
      </c>
      <c r="B126" t="s">
        <v>262</v>
      </c>
      <c r="C126">
        <v>55170</v>
      </c>
      <c r="D126">
        <v>1</v>
      </c>
      <c r="E126" s="691">
        <v>2022</v>
      </c>
      <c r="F126" s="596">
        <v>686363.14899999998</v>
      </c>
      <c r="G126" s="15">
        <v>11549385.634</v>
      </c>
      <c r="H126" t="s">
        <v>232</v>
      </c>
      <c r="I126" s="594">
        <f t="shared" si="6"/>
        <v>686363.14899999998</v>
      </c>
      <c r="J126" s="20"/>
    </row>
    <row r="127" spans="1:10">
      <c r="A127" t="s">
        <v>96</v>
      </c>
      <c r="B127" t="s">
        <v>262</v>
      </c>
      <c r="C127">
        <v>55170</v>
      </c>
      <c r="D127">
        <v>2</v>
      </c>
      <c r="E127" s="691">
        <v>2022</v>
      </c>
      <c r="F127" s="596">
        <v>774774.32299999997</v>
      </c>
      <c r="G127" s="15">
        <v>13037026.413000001</v>
      </c>
      <c r="H127" t="s">
        <v>232</v>
      </c>
      <c r="I127" s="594">
        <f t="shared" si="6"/>
        <v>774774.32299999997</v>
      </c>
    </row>
    <row r="128" spans="1:10">
      <c r="A128" t="s">
        <v>96</v>
      </c>
      <c r="B128" t="s">
        <v>2080</v>
      </c>
      <c r="C128">
        <v>55661</v>
      </c>
      <c r="D128">
        <v>1</v>
      </c>
      <c r="E128" s="691">
        <v>2022</v>
      </c>
      <c r="F128" s="596">
        <v>315589.125</v>
      </c>
      <c r="G128" s="15">
        <v>4859236.477</v>
      </c>
      <c r="H128" t="s">
        <v>232</v>
      </c>
      <c r="I128" s="594">
        <f t="shared" si="6"/>
        <v>315589.125</v>
      </c>
    </row>
    <row r="129" spans="1:10">
      <c r="A129" t="s">
        <v>96</v>
      </c>
      <c r="B129" t="s">
        <v>2080</v>
      </c>
      <c r="C129">
        <v>55661</v>
      </c>
      <c r="D129">
        <v>2</v>
      </c>
      <c r="E129" s="691">
        <v>2022</v>
      </c>
      <c r="F129" s="596">
        <v>324585.63699999999</v>
      </c>
      <c r="G129" s="15">
        <v>5006780.9649999999</v>
      </c>
      <c r="H129" t="s">
        <v>232</v>
      </c>
      <c r="I129" s="594">
        <f t="shared" si="6"/>
        <v>324585.63699999999</v>
      </c>
    </row>
    <row r="130" spans="1:10">
      <c r="A130" s="746" t="s">
        <v>57</v>
      </c>
      <c r="B130" t="s">
        <v>103</v>
      </c>
      <c r="C130">
        <v>2480</v>
      </c>
      <c r="D130">
        <v>1</v>
      </c>
      <c r="E130" s="691">
        <v>2022</v>
      </c>
      <c r="F130" s="596">
        <v>1041.8720000000001</v>
      </c>
      <c r="G130" s="15">
        <v>17569.146000000001</v>
      </c>
      <c r="H130" t="s">
        <v>236</v>
      </c>
      <c r="I130" s="594">
        <f t="shared" si="6"/>
        <v>1041.8720000000001</v>
      </c>
      <c r="J130" s="20"/>
    </row>
    <row r="131" spans="1:10">
      <c r="A131" t="s">
        <v>57</v>
      </c>
      <c r="B131" t="s">
        <v>103</v>
      </c>
      <c r="C131">
        <v>2480</v>
      </c>
      <c r="D131">
        <v>2</v>
      </c>
      <c r="E131" s="691">
        <v>2022</v>
      </c>
      <c r="F131" s="596">
        <v>1004.662</v>
      </c>
      <c r="G131" s="15">
        <v>16951.636999999999</v>
      </c>
      <c r="H131" t="s">
        <v>236</v>
      </c>
      <c r="I131" s="594">
        <f t="shared" si="6"/>
        <v>1004.662</v>
      </c>
      <c r="J131" s="20"/>
    </row>
    <row r="132" spans="1:10">
      <c r="A132" t="s">
        <v>57</v>
      </c>
      <c r="B132" t="s">
        <v>103</v>
      </c>
      <c r="C132">
        <v>2480</v>
      </c>
      <c r="D132">
        <v>3</v>
      </c>
      <c r="E132" s="691">
        <v>2022</v>
      </c>
      <c r="F132" s="596">
        <v>3724.8519999999999</v>
      </c>
      <c r="G132" s="15">
        <v>62836.720999999998</v>
      </c>
      <c r="H132" t="s">
        <v>236</v>
      </c>
      <c r="I132" s="594">
        <f t="shared" si="6"/>
        <v>3724.8519999999999</v>
      </c>
      <c r="J132" s="20"/>
    </row>
    <row r="133" spans="1:10">
      <c r="A133" t="s">
        <v>57</v>
      </c>
      <c r="B133" t="s">
        <v>103</v>
      </c>
      <c r="C133">
        <v>2480</v>
      </c>
      <c r="D133">
        <v>4</v>
      </c>
      <c r="E133" s="691">
        <v>2022</v>
      </c>
      <c r="F133" s="596">
        <v>5071.8239999999996</v>
      </c>
      <c r="G133" s="15">
        <v>85556.345000000001</v>
      </c>
      <c r="H133" t="s">
        <v>236</v>
      </c>
      <c r="I133" s="594">
        <f t="shared" si="6"/>
        <v>5071.8239999999996</v>
      </c>
    </row>
    <row r="134" spans="1:10">
      <c r="A134" t="s">
        <v>57</v>
      </c>
      <c r="B134" t="s">
        <v>266</v>
      </c>
      <c r="C134">
        <v>2490</v>
      </c>
      <c r="D134">
        <v>20</v>
      </c>
      <c r="E134" s="691">
        <v>2022</v>
      </c>
      <c r="F134" s="596">
        <v>452211.58500000002</v>
      </c>
      <c r="G134" s="15">
        <v>7609291.8099999996</v>
      </c>
      <c r="H134" t="s">
        <v>242</v>
      </c>
      <c r="I134" s="594">
        <f t="shared" si="6"/>
        <v>452211.58500000002</v>
      </c>
      <c r="J134" s="20"/>
    </row>
    <row r="135" spans="1:10">
      <c r="A135" t="s">
        <v>57</v>
      </c>
      <c r="B135" t="s">
        <v>266</v>
      </c>
      <c r="C135">
        <v>2490</v>
      </c>
      <c r="D135">
        <v>30</v>
      </c>
      <c r="E135" s="691">
        <v>2022</v>
      </c>
      <c r="F135" s="596">
        <v>195258.62599999999</v>
      </c>
      <c r="G135" s="15">
        <v>3285610.09</v>
      </c>
      <c r="H135" t="s">
        <v>236</v>
      </c>
      <c r="I135" s="594">
        <f t="shared" si="6"/>
        <v>195258.62599999999</v>
      </c>
      <c r="J135" s="20"/>
    </row>
    <row r="136" spans="1:10">
      <c r="A136" t="s">
        <v>57</v>
      </c>
      <c r="B136" t="s">
        <v>266</v>
      </c>
      <c r="C136">
        <v>2490</v>
      </c>
      <c r="D136" t="s">
        <v>3567</v>
      </c>
      <c r="E136" s="691">
        <v>2022</v>
      </c>
      <c r="F136" s="596">
        <v>1826.6</v>
      </c>
      <c r="G136" s="15">
        <v>30898</v>
      </c>
      <c r="H136" t="s">
        <v>229</v>
      </c>
      <c r="I136" s="594">
        <f t="shared" si="6"/>
        <v>1826.6</v>
      </c>
      <c r="J136" s="20"/>
    </row>
    <row r="137" spans="1:10">
      <c r="A137" t="s">
        <v>57</v>
      </c>
      <c r="B137" t="s">
        <v>106</v>
      </c>
      <c r="C137">
        <v>2493</v>
      </c>
      <c r="D137">
        <v>1</v>
      </c>
      <c r="E137" s="691">
        <v>2022</v>
      </c>
      <c r="F137" s="15">
        <v>707030.25</v>
      </c>
      <c r="G137" s="15">
        <v>11897235.050000001</v>
      </c>
      <c r="H137" t="s">
        <v>232</v>
      </c>
      <c r="I137" s="594"/>
      <c r="J137" s="20" t="s">
        <v>1653</v>
      </c>
    </row>
    <row r="138" spans="1:10">
      <c r="A138" t="s">
        <v>57</v>
      </c>
      <c r="B138" t="s">
        <v>106</v>
      </c>
      <c r="C138">
        <v>2493</v>
      </c>
      <c r="D138">
        <v>2</v>
      </c>
      <c r="E138" s="691">
        <v>2022</v>
      </c>
      <c r="F138" s="15">
        <v>730447.25</v>
      </c>
      <c r="G138" s="15">
        <v>12291197.725</v>
      </c>
      <c r="H138" t="s">
        <v>232</v>
      </c>
      <c r="I138" s="594"/>
      <c r="J138" s="20" t="s">
        <v>1653</v>
      </c>
    </row>
    <row r="139" spans="1:10">
      <c r="A139" t="s">
        <v>57</v>
      </c>
      <c r="B139" t="s">
        <v>106</v>
      </c>
      <c r="C139">
        <v>2493</v>
      </c>
      <c r="D139">
        <v>60</v>
      </c>
      <c r="E139" s="691">
        <v>2022</v>
      </c>
      <c r="F139" s="15">
        <v>391817.25</v>
      </c>
      <c r="G139" s="15">
        <v>6555222.875</v>
      </c>
      <c r="H139" t="s">
        <v>242</v>
      </c>
      <c r="I139" s="594"/>
      <c r="J139" s="20" t="s">
        <v>1653</v>
      </c>
    </row>
    <row r="140" spans="1:10">
      <c r="A140" t="s">
        <v>57</v>
      </c>
      <c r="B140" t="s">
        <v>106</v>
      </c>
      <c r="C140">
        <v>2493</v>
      </c>
      <c r="D140">
        <v>70</v>
      </c>
      <c r="E140" s="691">
        <v>2022</v>
      </c>
      <c r="F140" s="15">
        <v>313506.72499999998</v>
      </c>
      <c r="G140" s="15">
        <v>5197399.4000000004</v>
      </c>
      <c r="H140" t="s">
        <v>242</v>
      </c>
      <c r="I140" s="594"/>
      <c r="J140" s="20" t="s">
        <v>1653</v>
      </c>
    </row>
    <row r="141" spans="1:10">
      <c r="A141" t="s">
        <v>57</v>
      </c>
      <c r="B141" t="s">
        <v>3538</v>
      </c>
      <c r="C141">
        <v>2494</v>
      </c>
      <c r="D141" t="s">
        <v>3539</v>
      </c>
      <c r="E141" s="691">
        <v>2022</v>
      </c>
      <c r="F141" s="596">
        <v>104.7</v>
      </c>
      <c r="G141" s="15">
        <v>1293.0999999999999</v>
      </c>
      <c r="H141" t="s">
        <v>229</v>
      </c>
      <c r="I141" s="594">
        <f>F141</f>
        <v>104.7</v>
      </c>
      <c r="J141" s="20"/>
    </row>
    <row r="142" spans="1:10">
      <c r="A142" t="s">
        <v>57</v>
      </c>
      <c r="B142" t="s">
        <v>3538</v>
      </c>
      <c r="C142">
        <v>2494</v>
      </c>
      <c r="D142" t="s">
        <v>3540</v>
      </c>
      <c r="E142" s="691">
        <v>2022</v>
      </c>
      <c r="F142" s="596">
        <v>60.3</v>
      </c>
      <c r="G142" s="15">
        <v>744</v>
      </c>
      <c r="H142" t="s">
        <v>229</v>
      </c>
      <c r="I142" s="594">
        <f t="shared" ref="I142:I191" si="7">F142</f>
        <v>60.3</v>
      </c>
      <c r="J142" s="20"/>
    </row>
    <row r="143" spans="1:10">
      <c r="A143" t="s">
        <v>57</v>
      </c>
      <c r="B143" t="s">
        <v>3538</v>
      </c>
      <c r="C143">
        <v>2494</v>
      </c>
      <c r="D143" t="s">
        <v>3541</v>
      </c>
      <c r="E143" s="691">
        <v>2022</v>
      </c>
      <c r="F143" s="596">
        <v>167.7</v>
      </c>
      <c r="G143" s="15">
        <v>2070.8000000000002</v>
      </c>
      <c r="H143" t="s">
        <v>229</v>
      </c>
      <c r="I143" s="594">
        <f t="shared" si="7"/>
        <v>167.7</v>
      </c>
      <c r="J143" s="20"/>
    </row>
    <row r="144" spans="1:10">
      <c r="A144" t="s">
        <v>57</v>
      </c>
      <c r="B144" t="s">
        <v>3538</v>
      </c>
      <c r="C144">
        <v>2494</v>
      </c>
      <c r="D144" t="s">
        <v>3542</v>
      </c>
      <c r="E144" s="691">
        <v>2022</v>
      </c>
      <c r="F144" s="596">
        <v>183.7</v>
      </c>
      <c r="G144" s="15">
        <v>2268.5</v>
      </c>
      <c r="H144" t="s">
        <v>229</v>
      </c>
      <c r="I144" s="594">
        <f t="shared" si="7"/>
        <v>183.7</v>
      </c>
      <c r="J144" s="20"/>
    </row>
    <row r="145" spans="1:10">
      <c r="A145" t="s">
        <v>57</v>
      </c>
      <c r="B145" t="s">
        <v>3538</v>
      </c>
      <c r="C145">
        <v>2494</v>
      </c>
      <c r="D145" t="s">
        <v>3543</v>
      </c>
      <c r="E145" s="691">
        <v>2022</v>
      </c>
      <c r="F145" s="596">
        <v>90.7</v>
      </c>
      <c r="G145" s="15">
        <v>1120.2</v>
      </c>
      <c r="H145" t="s">
        <v>229</v>
      </c>
      <c r="I145" s="594">
        <f t="shared" si="7"/>
        <v>90.7</v>
      </c>
      <c r="J145" s="20"/>
    </row>
    <row r="146" spans="1:10">
      <c r="A146" t="s">
        <v>57</v>
      </c>
      <c r="B146" t="s">
        <v>3538</v>
      </c>
      <c r="C146">
        <v>2494</v>
      </c>
      <c r="D146" t="s">
        <v>3544</v>
      </c>
      <c r="E146" s="691">
        <v>2022</v>
      </c>
      <c r="F146" s="596">
        <v>211.9</v>
      </c>
      <c r="G146" s="15">
        <v>2618.3000000000002</v>
      </c>
      <c r="H146" t="s">
        <v>229</v>
      </c>
      <c r="I146" s="594">
        <f t="shared" si="7"/>
        <v>211.9</v>
      </c>
      <c r="J146" s="20"/>
    </row>
    <row r="147" spans="1:10">
      <c r="A147" t="s">
        <v>57</v>
      </c>
      <c r="B147" t="s">
        <v>3538</v>
      </c>
      <c r="C147">
        <v>2494</v>
      </c>
      <c r="D147" t="s">
        <v>3545</v>
      </c>
      <c r="E147" s="691">
        <v>2022</v>
      </c>
      <c r="F147" s="596">
        <v>247.6</v>
      </c>
      <c r="G147" s="15">
        <v>3057.9</v>
      </c>
      <c r="H147" t="s">
        <v>229</v>
      </c>
      <c r="I147" s="594">
        <f t="shared" si="7"/>
        <v>247.6</v>
      </c>
      <c r="J147" s="20"/>
    </row>
    <row r="148" spans="1:10">
      <c r="A148" t="s">
        <v>57</v>
      </c>
      <c r="B148" t="s">
        <v>3538</v>
      </c>
      <c r="C148">
        <v>2494</v>
      </c>
      <c r="D148" t="s">
        <v>3546</v>
      </c>
      <c r="E148" s="691">
        <v>2022</v>
      </c>
      <c r="F148" s="596"/>
      <c r="G148" s="15"/>
      <c r="H148" t="s">
        <v>229</v>
      </c>
      <c r="I148" s="594">
        <f t="shared" si="7"/>
        <v>0</v>
      </c>
      <c r="J148" s="20"/>
    </row>
    <row r="149" spans="1:10">
      <c r="A149" t="s">
        <v>57</v>
      </c>
      <c r="B149" t="s">
        <v>3538</v>
      </c>
      <c r="C149">
        <v>2494</v>
      </c>
      <c r="D149" t="s">
        <v>529</v>
      </c>
      <c r="E149" s="691">
        <v>2022</v>
      </c>
      <c r="F149" s="596">
        <v>880.5</v>
      </c>
      <c r="G149" s="15">
        <v>14394.4</v>
      </c>
      <c r="H149" t="s">
        <v>229</v>
      </c>
      <c r="I149" s="594">
        <f t="shared" si="7"/>
        <v>880.5</v>
      </c>
      <c r="J149" s="20"/>
    </row>
    <row r="150" spans="1:10">
      <c r="A150" t="s">
        <v>57</v>
      </c>
      <c r="B150" t="s">
        <v>3538</v>
      </c>
      <c r="C150">
        <v>2494</v>
      </c>
      <c r="D150" t="s">
        <v>530</v>
      </c>
      <c r="E150" s="691">
        <v>2022</v>
      </c>
      <c r="F150" s="596">
        <v>1167.5</v>
      </c>
      <c r="G150" s="15">
        <v>19109.099999999999</v>
      </c>
      <c r="H150" t="s">
        <v>229</v>
      </c>
      <c r="I150" s="594">
        <f t="shared" si="7"/>
        <v>1167.5</v>
      </c>
      <c r="J150" s="20"/>
    </row>
    <row r="151" spans="1:10">
      <c r="A151" t="s">
        <v>57</v>
      </c>
      <c r="B151" t="s">
        <v>3538</v>
      </c>
      <c r="C151">
        <v>2494</v>
      </c>
      <c r="D151" t="s">
        <v>531</v>
      </c>
      <c r="E151" s="691">
        <v>2022</v>
      </c>
      <c r="F151" s="596">
        <v>1194.2</v>
      </c>
      <c r="G151" s="15">
        <v>19740.3</v>
      </c>
      <c r="H151" t="s">
        <v>229</v>
      </c>
      <c r="I151" s="594">
        <f t="shared" si="7"/>
        <v>1194.2</v>
      </c>
      <c r="J151" s="20"/>
    </row>
    <row r="152" spans="1:10">
      <c r="A152" t="s">
        <v>57</v>
      </c>
      <c r="B152" t="s">
        <v>3538</v>
      </c>
      <c r="C152">
        <v>2494</v>
      </c>
      <c r="D152" t="s">
        <v>532</v>
      </c>
      <c r="E152" s="691">
        <v>2022</v>
      </c>
      <c r="F152" s="596">
        <v>1020.1</v>
      </c>
      <c r="G152" s="15">
        <v>17300.099999999999</v>
      </c>
      <c r="H152" t="s">
        <v>229</v>
      </c>
      <c r="I152" s="594">
        <f t="shared" si="7"/>
        <v>1020.1</v>
      </c>
      <c r="J152" s="20"/>
    </row>
    <row r="153" spans="1:10">
      <c r="A153" t="s">
        <v>57</v>
      </c>
      <c r="B153" t="s">
        <v>3538</v>
      </c>
      <c r="C153">
        <v>2494</v>
      </c>
      <c r="D153" t="s">
        <v>3547</v>
      </c>
      <c r="E153" s="691">
        <v>2022</v>
      </c>
      <c r="F153" s="596">
        <v>1083.3</v>
      </c>
      <c r="G153" s="15">
        <v>18366</v>
      </c>
      <c r="H153" t="s">
        <v>229</v>
      </c>
      <c r="I153" s="594">
        <f t="shared" si="7"/>
        <v>1083.3</v>
      </c>
      <c r="J153" s="20"/>
    </row>
    <row r="154" spans="1:10">
      <c r="A154" t="s">
        <v>57</v>
      </c>
      <c r="B154" t="s">
        <v>3538</v>
      </c>
      <c r="C154">
        <v>2494</v>
      </c>
      <c r="D154" t="s">
        <v>3548</v>
      </c>
      <c r="E154" s="691">
        <v>2022</v>
      </c>
      <c r="F154" s="596">
        <v>1131.9000000000001</v>
      </c>
      <c r="G154" s="15">
        <v>19188.599999999999</v>
      </c>
      <c r="H154" t="s">
        <v>229</v>
      </c>
      <c r="I154" s="594">
        <f t="shared" si="7"/>
        <v>1131.9000000000001</v>
      </c>
      <c r="J154" s="20"/>
    </row>
    <row r="155" spans="1:10">
      <c r="A155" t="s">
        <v>57</v>
      </c>
      <c r="B155" t="s">
        <v>3538</v>
      </c>
      <c r="C155">
        <v>2494</v>
      </c>
      <c r="D155" t="s">
        <v>3549</v>
      </c>
      <c r="E155" s="691">
        <v>2022</v>
      </c>
      <c r="F155" s="596">
        <v>1126.3</v>
      </c>
      <c r="G155" s="15">
        <v>19099.400000000001</v>
      </c>
      <c r="H155" t="s">
        <v>229</v>
      </c>
      <c r="I155" s="594">
        <f t="shared" si="7"/>
        <v>1126.3</v>
      </c>
      <c r="J155" s="20"/>
    </row>
    <row r="156" spans="1:10">
      <c r="A156" t="s">
        <v>57</v>
      </c>
      <c r="B156" t="s">
        <v>3538</v>
      </c>
      <c r="C156">
        <v>2494</v>
      </c>
      <c r="D156" t="s">
        <v>3550</v>
      </c>
      <c r="E156" s="691">
        <v>2022</v>
      </c>
      <c r="F156" s="596">
        <v>772.2</v>
      </c>
      <c r="G156" s="15">
        <v>13084.8</v>
      </c>
      <c r="H156" t="s">
        <v>229</v>
      </c>
      <c r="I156" s="594">
        <f t="shared" si="7"/>
        <v>772.2</v>
      </c>
      <c r="J156" s="20"/>
    </row>
    <row r="157" spans="1:10">
      <c r="A157" t="s">
        <v>57</v>
      </c>
      <c r="B157" t="s">
        <v>3538</v>
      </c>
      <c r="C157">
        <v>2494</v>
      </c>
      <c r="D157" t="s">
        <v>533</v>
      </c>
      <c r="E157" s="691">
        <v>2022</v>
      </c>
      <c r="F157" s="596">
        <v>755</v>
      </c>
      <c r="G157" s="15">
        <v>12788</v>
      </c>
      <c r="H157" t="s">
        <v>229</v>
      </c>
      <c r="I157" s="594">
        <f t="shared" si="7"/>
        <v>755</v>
      </c>
      <c r="J157" s="20"/>
    </row>
    <row r="158" spans="1:10">
      <c r="A158" t="s">
        <v>57</v>
      </c>
      <c r="B158" t="s">
        <v>3538</v>
      </c>
      <c r="C158">
        <v>2494</v>
      </c>
      <c r="D158" t="s">
        <v>534</v>
      </c>
      <c r="E158" s="691">
        <v>2022</v>
      </c>
      <c r="F158" s="596">
        <v>825</v>
      </c>
      <c r="G158" s="15">
        <v>13290.6</v>
      </c>
      <c r="H158" t="s">
        <v>229</v>
      </c>
      <c r="I158" s="594">
        <f t="shared" si="7"/>
        <v>825</v>
      </c>
      <c r="J158" s="20"/>
    </row>
    <row r="159" spans="1:10">
      <c r="A159" t="s">
        <v>57</v>
      </c>
      <c r="B159" t="s">
        <v>3538</v>
      </c>
      <c r="C159">
        <v>2494</v>
      </c>
      <c r="D159" t="s">
        <v>535</v>
      </c>
      <c r="E159" s="691">
        <v>2022</v>
      </c>
      <c r="F159" s="596">
        <v>1005.1</v>
      </c>
      <c r="G159" s="15">
        <v>16557.599999999999</v>
      </c>
      <c r="H159" t="s">
        <v>229</v>
      </c>
      <c r="I159" s="594">
        <f t="shared" si="7"/>
        <v>1005.1</v>
      </c>
      <c r="J159" s="20"/>
    </row>
    <row r="160" spans="1:10">
      <c r="A160" t="s">
        <v>57</v>
      </c>
      <c r="B160" t="s">
        <v>3538</v>
      </c>
      <c r="C160">
        <v>2494</v>
      </c>
      <c r="D160" t="s">
        <v>536</v>
      </c>
      <c r="E160" s="691">
        <v>2022</v>
      </c>
      <c r="F160" s="596">
        <v>795.5</v>
      </c>
      <c r="G160" s="15">
        <v>12823.1</v>
      </c>
      <c r="H160" t="s">
        <v>229</v>
      </c>
      <c r="I160" s="594">
        <f t="shared" si="7"/>
        <v>795.5</v>
      </c>
      <c r="J160" s="20"/>
    </row>
    <row r="161" spans="1:10">
      <c r="A161" t="s">
        <v>57</v>
      </c>
      <c r="B161" t="s">
        <v>3538</v>
      </c>
      <c r="C161">
        <v>2494</v>
      </c>
      <c r="D161" t="s">
        <v>3551</v>
      </c>
      <c r="E161" s="691">
        <v>2022</v>
      </c>
      <c r="F161" s="596">
        <v>877.3</v>
      </c>
      <c r="G161" s="15">
        <v>14877.3</v>
      </c>
      <c r="H161" t="s">
        <v>229</v>
      </c>
      <c r="I161" s="594">
        <f t="shared" si="7"/>
        <v>877.3</v>
      </c>
      <c r="J161" s="20"/>
    </row>
    <row r="162" spans="1:10">
      <c r="A162" t="s">
        <v>57</v>
      </c>
      <c r="B162" t="s">
        <v>3538</v>
      </c>
      <c r="C162">
        <v>2494</v>
      </c>
      <c r="D162" t="s">
        <v>3552</v>
      </c>
      <c r="E162" s="691">
        <v>2022</v>
      </c>
      <c r="F162" s="596">
        <v>638.79999999999995</v>
      </c>
      <c r="G162" s="15">
        <v>10830.1</v>
      </c>
      <c r="H162" t="s">
        <v>229</v>
      </c>
      <c r="I162" s="594">
        <f t="shared" si="7"/>
        <v>638.79999999999995</v>
      </c>
      <c r="J162" s="20"/>
    </row>
    <row r="163" spans="1:10">
      <c r="A163" t="s">
        <v>57</v>
      </c>
      <c r="B163" t="s">
        <v>3538</v>
      </c>
      <c r="C163">
        <v>2494</v>
      </c>
      <c r="D163" t="s">
        <v>3553</v>
      </c>
      <c r="E163" s="691">
        <v>2022</v>
      </c>
      <c r="F163" s="596">
        <v>714.2</v>
      </c>
      <c r="G163" s="15">
        <v>11435.5</v>
      </c>
      <c r="H163" t="s">
        <v>229</v>
      </c>
      <c r="I163" s="594">
        <f t="shared" si="7"/>
        <v>714.2</v>
      </c>
      <c r="J163" s="20"/>
    </row>
    <row r="164" spans="1:10">
      <c r="A164" t="s">
        <v>57</v>
      </c>
      <c r="B164" t="s">
        <v>3538</v>
      </c>
      <c r="C164">
        <v>2494</v>
      </c>
      <c r="D164" t="s">
        <v>3554</v>
      </c>
      <c r="E164" s="691">
        <v>2022</v>
      </c>
      <c r="F164" s="596">
        <v>848.7</v>
      </c>
      <c r="G164" s="15">
        <v>14256</v>
      </c>
      <c r="H164" t="s">
        <v>229</v>
      </c>
      <c r="I164" s="594">
        <f t="shared" si="7"/>
        <v>848.7</v>
      </c>
      <c r="J164" s="20"/>
    </row>
    <row r="165" spans="1:10">
      <c r="A165" t="s">
        <v>57</v>
      </c>
      <c r="B165" t="s">
        <v>3538</v>
      </c>
      <c r="C165">
        <v>2494</v>
      </c>
      <c r="D165" t="s">
        <v>3555</v>
      </c>
      <c r="E165" s="691">
        <v>2022</v>
      </c>
      <c r="F165" s="596">
        <v>142.6</v>
      </c>
      <c r="G165" s="15">
        <v>1758.7</v>
      </c>
      <c r="H165" t="s">
        <v>229</v>
      </c>
      <c r="I165" s="594">
        <f t="shared" si="7"/>
        <v>142.6</v>
      </c>
      <c r="J165" s="20"/>
    </row>
    <row r="166" spans="1:10">
      <c r="A166" t="s">
        <v>57</v>
      </c>
      <c r="B166" t="s">
        <v>3538</v>
      </c>
      <c r="C166">
        <v>2494</v>
      </c>
      <c r="D166" t="s">
        <v>3556</v>
      </c>
      <c r="E166" s="691">
        <v>2022</v>
      </c>
      <c r="F166" s="596">
        <v>94.8</v>
      </c>
      <c r="G166" s="15">
        <v>1169.2</v>
      </c>
      <c r="H166" t="s">
        <v>229</v>
      </c>
      <c r="I166" s="594">
        <f t="shared" si="7"/>
        <v>94.8</v>
      </c>
      <c r="J166" s="20"/>
    </row>
    <row r="167" spans="1:10">
      <c r="A167" t="s">
        <v>57</v>
      </c>
      <c r="B167" t="s">
        <v>3538</v>
      </c>
      <c r="C167">
        <v>2494</v>
      </c>
      <c r="D167" t="s">
        <v>3557</v>
      </c>
      <c r="E167" s="691">
        <v>2022</v>
      </c>
      <c r="F167" s="596">
        <v>103.7</v>
      </c>
      <c r="G167" s="15">
        <v>1281.2</v>
      </c>
      <c r="H167" t="s">
        <v>229</v>
      </c>
      <c r="I167" s="594">
        <f t="shared" si="7"/>
        <v>103.7</v>
      </c>
      <c r="J167" s="20"/>
    </row>
    <row r="168" spans="1:10">
      <c r="A168" t="s">
        <v>57</v>
      </c>
      <c r="B168" t="s">
        <v>3538</v>
      </c>
      <c r="C168">
        <v>2494</v>
      </c>
      <c r="D168" t="s">
        <v>3558</v>
      </c>
      <c r="E168" s="691">
        <v>2022</v>
      </c>
      <c r="F168" s="596">
        <v>95.6</v>
      </c>
      <c r="G168" s="15">
        <v>1181.2</v>
      </c>
      <c r="H168" t="s">
        <v>229</v>
      </c>
      <c r="I168" s="594">
        <f t="shared" si="7"/>
        <v>95.6</v>
      </c>
      <c r="J168" s="20"/>
    </row>
    <row r="169" spans="1:10">
      <c r="A169" t="s">
        <v>57</v>
      </c>
      <c r="B169" t="s">
        <v>3538</v>
      </c>
      <c r="C169">
        <v>2494</v>
      </c>
      <c r="D169" t="s">
        <v>3559</v>
      </c>
      <c r="E169" s="691">
        <v>2022</v>
      </c>
      <c r="F169" s="596">
        <v>96.7</v>
      </c>
      <c r="G169" s="15">
        <v>1192.9000000000001</v>
      </c>
      <c r="H169" t="s">
        <v>229</v>
      </c>
      <c r="I169" s="594">
        <f t="shared" si="7"/>
        <v>96.7</v>
      </c>
      <c r="J169" s="20"/>
    </row>
    <row r="170" spans="1:10">
      <c r="A170" t="s">
        <v>57</v>
      </c>
      <c r="B170" t="s">
        <v>3538</v>
      </c>
      <c r="C170">
        <v>2494</v>
      </c>
      <c r="D170" t="s">
        <v>3560</v>
      </c>
      <c r="E170" s="691">
        <v>2022</v>
      </c>
      <c r="F170" s="596">
        <v>106.4</v>
      </c>
      <c r="G170" s="15">
        <v>1314.2</v>
      </c>
      <c r="H170" t="s">
        <v>229</v>
      </c>
      <c r="I170" s="594">
        <f t="shared" si="7"/>
        <v>106.4</v>
      </c>
      <c r="J170" s="20"/>
    </row>
    <row r="171" spans="1:10">
      <c r="A171" t="s">
        <v>57</v>
      </c>
      <c r="B171" t="s">
        <v>3538</v>
      </c>
      <c r="C171">
        <v>2494</v>
      </c>
      <c r="D171" t="s">
        <v>3561</v>
      </c>
      <c r="E171" s="691">
        <v>2022</v>
      </c>
      <c r="F171" s="596">
        <v>107.3</v>
      </c>
      <c r="G171" s="15">
        <v>1326.1</v>
      </c>
      <c r="H171" t="s">
        <v>229</v>
      </c>
      <c r="I171" s="594">
        <f t="shared" si="7"/>
        <v>107.3</v>
      </c>
      <c r="J171" s="20"/>
    </row>
    <row r="172" spans="1:10">
      <c r="A172" t="s">
        <v>57</v>
      </c>
      <c r="B172" t="s">
        <v>3538</v>
      </c>
      <c r="C172">
        <v>2494</v>
      </c>
      <c r="D172" t="s">
        <v>3562</v>
      </c>
      <c r="E172" s="691">
        <v>2022</v>
      </c>
      <c r="F172" s="596">
        <v>35.9</v>
      </c>
      <c r="G172" s="15">
        <v>444.3</v>
      </c>
      <c r="H172" t="s">
        <v>229</v>
      </c>
      <c r="I172" s="594">
        <f t="shared" si="7"/>
        <v>35.9</v>
      </c>
      <c r="J172" s="20"/>
    </row>
    <row r="173" spans="1:10">
      <c r="A173" t="s">
        <v>57</v>
      </c>
      <c r="B173" t="s">
        <v>616</v>
      </c>
      <c r="C173">
        <v>2496</v>
      </c>
      <c r="D173" t="s">
        <v>3563</v>
      </c>
      <c r="E173" s="691">
        <v>2022</v>
      </c>
      <c r="F173" s="596">
        <v>439.1</v>
      </c>
      <c r="G173" s="15">
        <v>5426.5</v>
      </c>
      <c r="H173" t="s">
        <v>229</v>
      </c>
      <c r="I173" s="594">
        <f t="shared" si="7"/>
        <v>439.1</v>
      </c>
      <c r="J173" s="20"/>
    </row>
    <row r="174" spans="1:10">
      <c r="A174" t="s">
        <v>57</v>
      </c>
      <c r="B174" t="s">
        <v>616</v>
      </c>
      <c r="C174">
        <v>2496</v>
      </c>
      <c r="D174" t="s">
        <v>3564</v>
      </c>
      <c r="E174" s="691">
        <v>2022</v>
      </c>
      <c r="F174" s="596"/>
      <c r="G174" s="15"/>
      <c r="H174" t="s">
        <v>229</v>
      </c>
      <c r="I174" s="594">
        <f t="shared" si="7"/>
        <v>0</v>
      </c>
      <c r="J174" s="20"/>
    </row>
    <row r="175" spans="1:10">
      <c r="A175" t="s">
        <v>57</v>
      </c>
      <c r="B175" t="s">
        <v>616</v>
      </c>
      <c r="C175">
        <v>2496</v>
      </c>
      <c r="D175" t="s">
        <v>3565</v>
      </c>
      <c r="E175" s="691">
        <v>2022</v>
      </c>
      <c r="F175" s="596">
        <v>342</v>
      </c>
      <c r="G175" s="15">
        <v>4230</v>
      </c>
      <c r="H175" t="s">
        <v>229</v>
      </c>
      <c r="I175" s="594">
        <f t="shared" si="7"/>
        <v>342</v>
      </c>
      <c r="J175" s="20"/>
    </row>
    <row r="176" spans="1:10">
      <c r="A176" t="s">
        <v>57</v>
      </c>
      <c r="B176" t="s">
        <v>3566</v>
      </c>
      <c r="C176">
        <v>2499</v>
      </c>
      <c r="D176" t="s">
        <v>3539</v>
      </c>
      <c r="E176" s="691">
        <v>2022</v>
      </c>
      <c r="F176" s="596">
        <v>3573.2</v>
      </c>
      <c r="G176" s="15">
        <v>59096.2</v>
      </c>
      <c r="H176" t="s">
        <v>229</v>
      </c>
      <c r="I176" s="594">
        <f t="shared" si="7"/>
        <v>3573.2</v>
      </c>
      <c r="J176" s="20"/>
    </row>
    <row r="177" spans="1:10">
      <c r="A177" t="s">
        <v>57</v>
      </c>
      <c r="B177" t="s">
        <v>3566</v>
      </c>
      <c r="C177">
        <v>2499</v>
      </c>
      <c r="D177" t="s">
        <v>3540</v>
      </c>
      <c r="E177" s="691">
        <v>2022</v>
      </c>
      <c r="F177" s="596">
        <v>2960.2</v>
      </c>
      <c r="G177" s="15">
        <v>48081</v>
      </c>
      <c r="H177" t="s">
        <v>229</v>
      </c>
      <c r="I177" s="594">
        <f t="shared" si="7"/>
        <v>2960.2</v>
      </c>
      <c r="J177" s="20"/>
    </row>
    <row r="178" spans="1:10">
      <c r="A178" t="s">
        <v>57</v>
      </c>
      <c r="B178" t="s">
        <v>3566</v>
      </c>
      <c r="C178">
        <v>2499</v>
      </c>
      <c r="D178" t="s">
        <v>3541</v>
      </c>
      <c r="E178" s="691">
        <v>2022</v>
      </c>
      <c r="F178" s="596">
        <v>2416.6</v>
      </c>
      <c r="G178" s="15">
        <v>40087.800000000003</v>
      </c>
      <c r="H178" t="s">
        <v>229</v>
      </c>
      <c r="I178" s="594">
        <f t="shared" si="7"/>
        <v>2416.6</v>
      </c>
      <c r="J178" s="20"/>
    </row>
    <row r="179" spans="1:10">
      <c r="A179" t="s">
        <v>57</v>
      </c>
      <c r="B179" t="s">
        <v>3566</v>
      </c>
      <c r="C179">
        <v>2499</v>
      </c>
      <c r="D179" t="s">
        <v>3542</v>
      </c>
      <c r="E179" s="691">
        <v>2022</v>
      </c>
      <c r="F179" s="596">
        <v>2530.4</v>
      </c>
      <c r="G179" s="15">
        <v>42048.6</v>
      </c>
      <c r="H179" t="s">
        <v>229</v>
      </c>
      <c r="I179" s="594">
        <f t="shared" si="7"/>
        <v>2530.4</v>
      </c>
      <c r="J179" s="20"/>
    </row>
    <row r="180" spans="1:10">
      <c r="A180" t="s">
        <v>57</v>
      </c>
      <c r="B180" t="s">
        <v>3566</v>
      </c>
      <c r="C180">
        <v>2499</v>
      </c>
      <c r="D180" t="s">
        <v>3543</v>
      </c>
      <c r="E180" s="691">
        <v>2022</v>
      </c>
      <c r="F180" s="596">
        <v>4775.2</v>
      </c>
      <c r="G180" s="15">
        <v>77141.7</v>
      </c>
      <c r="H180" t="s">
        <v>229</v>
      </c>
      <c r="I180" s="594">
        <f t="shared" si="7"/>
        <v>4775.2</v>
      </c>
      <c r="J180" s="20"/>
    </row>
    <row r="181" spans="1:10">
      <c r="A181" t="s">
        <v>57</v>
      </c>
      <c r="B181" t="s">
        <v>3566</v>
      </c>
      <c r="C181">
        <v>2499</v>
      </c>
      <c r="D181" t="s">
        <v>3544</v>
      </c>
      <c r="E181" s="691">
        <v>2022</v>
      </c>
      <c r="F181" s="596">
        <v>1924.2</v>
      </c>
      <c r="G181" s="15">
        <v>31495.599999999999</v>
      </c>
      <c r="H181" t="s">
        <v>229</v>
      </c>
      <c r="I181" s="594">
        <f t="shared" si="7"/>
        <v>1924.2</v>
      </c>
      <c r="J181" s="20"/>
    </row>
    <row r="182" spans="1:10">
      <c r="A182" t="s">
        <v>57</v>
      </c>
      <c r="B182" t="s">
        <v>3566</v>
      </c>
      <c r="C182">
        <v>2499</v>
      </c>
      <c r="D182" t="s">
        <v>3545</v>
      </c>
      <c r="E182" s="691">
        <v>2022</v>
      </c>
      <c r="F182" s="596">
        <v>3237</v>
      </c>
      <c r="G182" s="15">
        <v>54843.8</v>
      </c>
      <c r="H182" t="s">
        <v>229</v>
      </c>
      <c r="I182" s="594">
        <f t="shared" si="7"/>
        <v>3237</v>
      </c>
      <c r="J182" s="20"/>
    </row>
    <row r="183" spans="1:10">
      <c r="A183" t="s">
        <v>57</v>
      </c>
      <c r="B183" t="s">
        <v>3566</v>
      </c>
      <c r="C183">
        <v>2499</v>
      </c>
      <c r="D183" t="s">
        <v>3546</v>
      </c>
      <c r="E183" s="691">
        <v>2022</v>
      </c>
      <c r="F183" s="596">
        <v>2152.1999999999998</v>
      </c>
      <c r="G183" s="15">
        <v>35612.1</v>
      </c>
      <c r="H183" t="s">
        <v>229</v>
      </c>
      <c r="I183" s="594">
        <f t="shared" si="7"/>
        <v>2152.1999999999998</v>
      </c>
      <c r="J183" s="20"/>
    </row>
    <row r="184" spans="1:10">
      <c r="A184" t="s">
        <v>57</v>
      </c>
      <c r="B184" t="s">
        <v>3566</v>
      </c>
      <c r="C184">
        <v>2499</v>
      </c>
      <c r="D184" t="s">
        <v>529</v>
      </c>
      <c r="E184" s="691">
        <v>2022</v>
      </c>
      <c r="F184" s="596">
        <v>4209.3999999999996</v>
      </c>
      <c r="G184" s="15">
        <v>67819.899999999994</v>
      </c>
      <c r="H184" t="s">
        <v>229</v>
      </c>
      <c r="I184" s="594">
        <f t="shared" si="7"/>
        <v>4209.3999999999996</v>
      </c>
      <c r="J184" s="20"/>
    </row>
    <row r="185" spans="1:10">
      <c r="A185" t="s">
        <v>57</v>
      </c>
      <c r="B185" t="s">
        <v>3566</v>
      </c>
      <c r="C185">
        <v>2499</v>
      </c>
      <c r="D185" t="s">
        <v>530</v>
      </c>
      <c r="E185" s="691">
        <v>2022</v>
      </c>
      <c r="F185" s="596">
        <v>1806.7</v>
      </c>
      <c r="G185" s="15">
        <v>29237.3</v>
      </c>
      <c r="H185" t="s">
        <v>229</v>
      </c>
      <c r="I185" s="594">
        <f t="shared" si="7"/>
        <v>1806.7</v>
      </c>
      <c r="J185" s="20"/>
    </row>
    <row r="186" spans="1:10">
      <c r="A186" t="s">
        <v>57</v>
      </c>
      <c r="B186" t="s">
        <v>3566</v>
      </c>
      <c r="C186">
        <v>2499</v>
      </c>
      <c r="D186" t="s">
        <v>531</v>
      </c>
      <c r="E186" s="691">
        <v>2022</v>
      </c>
      <c r="F186" s="596">
        <v>2676</v>
      </c>
      <c r="G186" s="15">
        <v>43635.8</v>
      </c>
      <c r="H186" t="s">
        <v>229</v>
      </c>
      <c r="I186" s="594">
        <f t="shared" si="7"/>
        <v>2676</v>
      </c>
      <c r="J186" s="20"/>
    </row>
    <row r="187" spans="1:10">
      <c r="A187" t="s">
        <v>57</v>
      </c>
      <c r="B187" t="s">
        <v>3566</v>
      </c>
      <c r="C187">
        <v>2499</v>
      </c>
      <c r="D187" t="s">
        <v>532</v>
      </c>
      <c r="E187" s="691">
        <v>2022</v>
      </c>
      <c r="F187" s="596">
        <v>4158.5</v>
      </c>
      <c r="G187" s="15">
        <v>68608.7</v>
      </c>
      <c r="H187" t="s">
        <v>229</v>
      </c>
      <c r="I187" s="594">
        <f t="shared" si="7"/>
        <v>4158.5</v>
      </c>
      <c r="J187" s="20"/>
    </row>
    <row r="188" spans="1:10">
      <c r="A188" t="s">
        <v>57</v>
      </c>
      <c r="B188" t="s">
        <v>3566</v>
      </c>
      <c r="C188">
        <v>2499</v>
      </c>
      <c r="D188" t="s">
        <v>3547</v>
      </c>
      <c r="E188" s="691">
        <v>2022</v>
      </c>
      <c r="F188" s="596">
        <v>5484.8</v>
      </c>
      <c r="G188" s="15">
        <v>87740.4</v>
      </c>
      <c r="H188" t="s">
        <v>229</v>
      </c>
      <c r="I188" s="594">
        <f t="shared" si="7"/>
        <v>5484.8</v>
      </c>
      <c r="J188" s="20"/>
    </row>
    <row r="189" spans="1:10">
      <c r="A189" t="s">
        <v>57</v>
      </c>
      <c r="B189" t="s">
        <v>3566</v>
      </c>
      <c r="C189">
        <v>2499</v>
      </c>
      <c r="D189" t="s">
        <v>3548</v>
      </c>
      <c r="E189" s="691">
        <v>2022</v>
      </c>
      <c r="F189" s="596">
        <v>1635.1</v>
      </c>
      <c r="G189" s="15">
        <v>27671.9</v>
      </c>
      <c r="H189" t="s">
        <v>229</v>
      </c>
      <c r="I189" s="594">
        <f t="shared" si="7"/>
        <v>1635.1</v>
      </c>
      <c r="J189" s="20"/>
    </row>
    <row r="190" spans="1:10">
      <c r="A190" t="s">
        <v>57</v>
      </c>
      <c r="B190" t="s">
        <v>3566</v>
      </c>
      <c r="C190">
        <v>2499</v>
      </c>
      <c r="D190" t="s">
        <v>3549</v>
      </c>
      <c r="E190" s="691">
        <v>2022</v>
      </c>
      <c r="F190" s="596">
        <v>3457.8</v>
      </c>
      <c r="G190" s="15">
        <v>55295.199999999997</v>
      </c>
      <c r="H190" t="s">
        <v>229</v>
      </c>
      <c r="I190" s="594">
        <f t="shared" si="7"/>
        <v>3457.8</v>
      </c>
      <c r="J190" s="20"/>
    </row>
    <row r="191" spans="1:10">
      <c r="A191" t="s">
        <v>57</v>
      </c>
      <c r="B191" t="s">
        <v>3566</v>
      </c>
      <c r="C191">
        <v>2499</v>
      </c>
      <c r="D191" t="s">
        <v>3550</v>
      </c>
      <c r="E191" s="691">
        <v>2022</v>
      </c>
      <c r="F191" s="596">
        <v>1689.8</v>
      </c>
      <c r="G191" s="15">
        <v>28611.599999999999</v>
      </c>
      <c r="H191" t="s">
        <v>229</v>
      </c>
      <c r="I191" s="594">
        <f t="shared" si="7"/>
        <v>1689.8</v>
      </c>
      <c r="J191" s="20"/>
    </row>
    <row r="192" spans="1:10">
      <c r="A192" t="s">
        <v>57</v>
      </c>
      <c r="B192" t="s">
        <v>311</v>
      </c>
      <c r="C192">
        <v>2500</v>
      </c>
      <c r="D192">
        <v>10</v>
      </c>
      <c r="E192" s="691">
        <v>2022</v>
      </c>
      <c r="F192" s="596">
        <v>93354.466</v>
      </c>
      <c r="G192" s="15">
        <v>1542827.946</v>
      </c>
      <c r="H192" t="s">
        <v>236</v>
      </c>
      <c r="I192" s="594">
        <f t="shared" ref="I192:I257" si="8">F192</f>
        <v>93354.466</v>
      </c>
      <c r="J192" s="20"/>
    </row>
    <row r="193" spans="1:10">
      <c r="A193" t="s">
        <v>57</v>
      </c>
      <c r="B193" t="s">
        <v>311</v>
      </c>
      <c r="C193">
        <v>2500</v>
      </c>
      <c r="D193">
        <v>20</v>
      </c>
      <c r="E193" s="691">
        <v>2022</v>
      </c>
      <c r="F193" s="596">
        <v>137781.97700000001</v>
      </c>
      <c r="G193" s="15">
        <v>2311713.5639999998</v>
      </c>
      <c r="H193" t="s">
        <v>236</v>
      </c>
      <c r="I193" s="594">
        <f t="shared" si="8"/>
        <v>137781.97700000001</v>
      </c>
      <c r="J193" s="20"/>
    </row>
    <row r="194" spans="1:10">
      <c r="A194" t="s">
        <v>57</v>
      </c>
      <c r="B194" t="s">
        <v>311</v>
      </c>
      <c r="C194">
        <v>2500</v>
      </c>
      <c r="D194">
        <v>30</v>
      </c>
      <c r="E194" s="691">
        <v>2022</v>
      </c>
      <c r="F194" s="596">
        <v>124779.04</v>
      </c>
      <c r="G194" s="15">
        <v>2084997.331</v>
      </c>
      <c r="H194" t="s">
        <v>236</v>
      </c>
      <c r="I194" s="594">
        <f t="shared" si="8"/>
        <v>124779.04</v>
      </c>
      <c r="J194" s="20"/>
    </row>
    <row r="195" spans="1:10">
      <c r="A195" t="s">
        <v>57</v>
      </c>
      <c r="B195" t="s">
        <v>311</v>
      </c>
      <c r="C195">
        <v>2500</v>
      </c>
      <c r="D195" t="s">
        <v>3567</v>
      </c>
      <c r="E195" s="691">
        <v>2022</v>
      </c>
      <c r="F195" s="665"/>
      <c r="G195"/>
      <c r="H195" t="s">
        <v>229</v>
      </c>
      <c r="I195" s="594">
        <f t="shared" si="8"/>
        <v>0</v>
      </c>
      <c r="J195" s="20"/>
    </row>
    <row r="196" spans="1:10">
      <c r="A196" t="s">
        <v>57</v>
      </c>
      <c r="B196" t="s">
        <v>311</v>
      </c>
      <c r="C196">
        <v>2500</v>
      </c>
      <c r="D196" t="s">
        <v>3568</v>
      </c>
      <c r="E196" s="691">
        <v>2022</v>
      </c>
      <c r="F196" s="665">
        <v>3849.2</v>
      </c>
      <c r="G196">
        <v>65211.9</v>
      </c>
      <c r="H196" t="s">
        <v>229</v>
      </c>
      <c r="I196" s="594">
        <f t="shared" si="8"/>
        <v>3849.2</v>
      </c>
      <c r="J196" s="20"/>
    </row>
    <row r="197" spans="1:10">
      <c r="A197" t="s">
        <v>57</v>
      </c>
      <c r="B197" t="s">
        <v>311</v>
      </c>
      <c r="C197">
        <v>2500</v>
      </c>
      <c r="D197" t="s">
        <v>3569</v>
      </c>
      <c r="E197" s="691">
        <v>2022</v>
      </c>
      <c r="F197" s="665"/>
      <c r="G197"/>
      <c r="H197" t="s">
        <v>229</v>
      </c>
      <c r="I197" s="594">
        <f t="shared" si="8"/>
        <v>0</v>
      </c>
      <c r="J197" s="20"/>
    </row>
    <row r="198" spans="1:10">
      <c r="A198" t="s">
        <v>57</v>
      </c>
      <c r="B198" t="s">
        <v>311</v>
      </c>
      <c r="C198">
        <v>2500</v>
      </c>
      <c r="D198" t="s">
        <v>312</v>
      </c>
      <c r="E198" s="691">
        <v>2022</v>
      </c>
      <c r="F198" s="596">
        <v>683963.91</v>
      </c>
      <c r="G198" s="15">
        <v>11382089.997</v>
      </c>
      <c r="H198" t="s">
        <v>232</v>
      </c>
      <c r="I198" s="594">
        <f t="shared" si="8"/>
        <v>683963.91</v>
      </c>
      <c r="J198" s="20"/>
    </row>
    <row r="199" spans="1:10">
      <c r="A199" t="s">
        <v>57</v>
      </c>
      <c r="B199" t="s">
        <v>112</v>
      </c>
      <c r="C199">
        <v>2504</v>
      </c>
      <c r="D199" t="s">
        <v>3567</v>
      </c>
      <c r="E199" s="691">
        <v>2022</v>
      </c>
      <c r="F199" s="665">
        <v>126.7</v>
      </c>
      <c r="G199">
        <v>1561</v>
      </c>
      <c r="H199" t="s">
        <v>229</v>
      </c>
      <c r="I199" s="594">
        <f t="shared" si="8"/>
        <v>126.7</v>
      </c>
      <c r="J199" s="20"/>
    </row>
    <row r="200" spans="1:10">
      <c r="A200" t="s">
        <v>57</v>
      </c>
      <c r="B200" t="s">
        <v>112</v>
      </c>
      <c r="C200">
        <v>2504</v>
      </c>
      <c r="D200" t="s">
        <v>3570</v>
      </c>
      <c r="E200" s="691">
        <v>2022</v>
      </c>
      <c r="F200" s="665">
        <v>144.80000000000001</v>
      </c>
      <c r="G200">
        <v>1784</v>
      </c>
      <c r="H200" t="s">
        <v>229</v>
      </c>
      <c r="I200" s="594">
        <f t="shared" si="8"/>
        <v>144.80000000000001</v>
      </c>
      <c r="J200" s="20"/>
    </row>
    <row r="201" spans="1:10">
      <c r="A201" t="s">
        <v>57</v>
      </c>
      <c r="B201" t="s">
        <v>113</v>
      </c>
      <c r="C201">
        <v>2511</v>
      </c>
      <c r="D201">
        <v>10</v>
      </c>
      <c r="E201" s="691">
        <v>2022</v>
      </c>
      <c r="F201" s="596">
        <v>525162.49300000002</v>
      </c>
      <c r="G201" s="15">
        <v>8776397.9240000006</v>
      </c>
      <c r="H201" t="s">
        <v>236</v>
      </c>
      <c r="I201" s="594">
        <f t="shared" si="8"/>
        <v>525162.49300000002</v>
      </c>
    </row>
    <row r="202" spans="1:10">
      <c r="A202" t="s">
        <v>57</v>
      </c>
      <c r="B202" t="s">
        <v>113</v>
      </c>
      <c r="C202">
        <v>2511</v>
      </c>
      <c r="D202">
        <v>20</v>
      </c>
      <c r="E202" s="691">
        <v>2022</v>
      </c>
      <c r="F202" s="596">
        <v>231046.378</v>
      </c>
      <c r="G202" s="15">
        <v>3865988.8450000002</v>
      </c>
      <c r="H202" t="s">
        <v>236</v>
      </c>
      <c r="I202" s="594">
        <f t="shared" si="8"/>
        <v>231046.378</v>
      </c>
    </row>
    <row r="203" spans="1:10">
      <c r="A203" t="s">
        <v>57</v>
      </c>
      <c r="B203" t="s">
        <v>113</v>
      </c>
      <c r="C203">
        <v>2511</v>
      </c>
      <c r="D203" t="s">
        <v>518</v>
      </c>
      <c r="E203" s="691">
        <v>2022</v>
      </c>
      <c r="F203" s="596">
        <v>8120.1</v>
      </c>
      <c r="G203" s="15">
        <v>137012.20000000001</v>
      </c>
      <c r="H203" t="s">
        <v>229</v>
      </c>
      <c r="I203" s="594">
        <f t="shared" si="8"/>
        <v>8120.1</v>
      </c>
    </row>
    <row r="204" spans="1:10">
      <c r="A204" t="s">
        <v>57</v>
      </c>
      <c r="B204" t="s">
        <v>113</v>
      </c>
      <c r="C204">
        <v>2511</v>
      </c>
      <c r="D204" t="s">
        <v>519</v>
      </c>
      <c r="E204" s="691">
        <v>2022</v>
      </c>
      <c r="F204" s="596">
        <v>10496.1</v>
      </c>
      <c r="G204" s="15">
        <v>174826.7</v>
      </c>
      <c r="H204" t="s">
        <v>229</v>
      </c>
      <c r="I204" s="594">
        <f t="shared" si="8"/>
        <v>10496.1</v>
      </c>
    </row>
    <row r="205" spans="1:10">
      <c r="A205" t="s">
        <v>57</v>
      </c>
      <c r="B205" t="s">
        <v>113</v>
      </c>
      <c r="C205">
        <v>2511</v>
      </c>
      <c r="D205" t="s">
        <v>520</v>
      </c>
      <c r="E205" s="691">
        <v>2022</v>
      </c>
      <c r="F205" s="596">
        <v>9037.9</v>
      </c>
      <c r="G205" s="15">
        <v>152185.1</v>
      </c>
      <c r="H205" t="s">
        <v>229</v>
      </c>
      <c r="I205" s="594">
        <f t="shared" si="8"/>
        <v>9037.9</v>
      </c>
    </row>
    <row r="206" spans="1:10">
      <c r="A206" t="s">
        <v>57</v>
      </c>
      <c r="B206" t="s">
        <v>113</v>
      </c>
      <c r="C206">
        <v>2511</v>
      </c>
      <c r="D206" t="s">
        <v>521</v>
      </c>
      <c r="E206" s="691">
        <v>2022</v>
      </c>
      <c r="F206" s="596">
        <v>6761.7</v>
      </c>
      <c r="G206" s="15">
        <v>113187.3</v>
      </c>
      <c r="H206" t="s">
        <v>229</v>
      </c>
      <c r="I206" s="594">
        <f t="shared" si="8"/>
        <v>6761.7</v>
      </c>
    </row>
    <row r="207" spans="1:10">
      <c r="A207" t="s">
        <v>57</v>
      </c>
      <c r="B207" t="s">
        <v>113</v>
      </c>
      <c r="C207">
        <v>2511</v>
      </c>
      <c r="D207" t="s">
        <v>522</v>
      </c>
      <c r="E207" s="691">
        <v>2022</v>
      </c>
      <c r="F207" s="596">
        <v>5702.9</v>
      </c>
      <c r="G207" s="15">
        <v>95491.9</v>
      </c>
      <c r="H207" t="s">
        <v>229</v>
      </c>
      <c r="I207" s="594">
        <f t="shared" si="8"/>
        <v>5702.9</v>
      </c>
    </row>
    <row r="208" spans="1:10">
      <c r="A208" t="s">
        <v>57</v>
      </c>
      <c r="B208" t="s">
        <v>113</v>
      </c>
      <c r="C208">
        <v>2511</v>
      </c>
      <c r="D208" t="s">
        <v>523</v>
      </c>
      <c r="E208" s="691">
        <v>2022</v>
      </c>
      <c r="F208" s="596">
        <v>5756.9</v>
      </c>
      <c r="G208" s="15">
        <v>96900.3</v>
      </c>
      <c r="H208" t="s">
        <v>229</v>
      </c>
      <c r="I208" s="594">
        <f t="shared" si="8"/>
        <v>5756.9</v>
      </c>
    </row>
    <row r="209" spans="1:10">
      <c r="A209" t="s">
        <v>57</v>
      </c>
      <c r="B209" t="s">
        <v>113</v>
      </c>
      <c r="C209">
        <v>2511</v>
      </c>
      <c r="D209" t="s">
        <v>525</v>
      </c>
      <c r="E209" s="691">
        <v>2022</v>
      </c>
      <c r="F209" s="596">
        <v>5698.9</v>
      </c>
      <c r="G209" s="15">
        <v>95408.4</v>
      </c>
      <c r="H209" t="s">
        <v>229</v>
      </c>
      <c r="I209" s="594">
        <f t="shared" si="8"/>
        <v>5698.9</v>
      </c>
    </row>
    <row r="210" spans="1:10">
      <c r="A210" t="s">
        <v>57</v>
      </c>
      <c r="B210" t="s">
        <v>113</v>
      </c>
      <c r="C210">
        <v>2511</v>
      </c>
      <c r="D210" t="s">
        <v>501</v>
      </c>
      <c r="E210" s="691">
        <v>2022</v>
      </c>
      <c r="F210" s="596">
        <v>16230.6</v>
      </c>
      <c r="G210" s="15">
        <v>271481</v>
      </c>
      <c r="H210" t="s">
        <v>229</v>
      </c>
      <c r="I210" s="594">
        <f t="shared" si="8"/>
        <v>16230.6</v>
      </c>
    </row>
    <row r="211" spans="1:10">
      <c r="A211" t="s">
        <v>57</v>
      </c>
      <c r="B211" t="s">
        <v>113</v>
      </c>
      <c r="C211">
        <v>2511</v>
      </c>
      <c r="D211" t="s">
        <v>502</v>
      </c>
      <c r="E211" s="691">
        <v>2022</v>
      </c>
      <c r="F211" s="596">
        <v>16230.6</v>
      </c>
      <c r="G211" s="15">
        <v>271481</v>
      </c>
      <c r="H211" t="s">
        <v>229</v>
      </c>
      <c r="I211" s="594">
        <f t="shared" si="8"/>
        <v>16230.6</v>
      </c>
    </row>
    <row r="212" spans="1:10">
      <c r="A212" t="s">
        <v>57</v>
      </c>
      <c r="B212" t="s">
        <v>113</v>
      </c>
      <c r="C212">
        <v>2511</v>
      </c>
      <c r="D212" t="s">
        <v>503</v>
      </c>
      <c r="E212" s="691">
        <v>2022</v>
      </c>
      <c r="F212" s="596">
        <v>16843.7</v>
      </c>
      <c r="G212" s="15">
        <v>280574.7</v>
      </c>
      <c r="H212" t="s">
        <v>229</v>
      </c>
      <c r="I212" s="594">
        <f t="shared" si="8"/>
        <v>16843.7</v>
      </c>
    </row>
    <row r="213" spans="1:10">
      <c r="A213" t="s">
        <v>57</v>
      </c>
      <c r="B213" t="s">
        <v>113</v>
      </c>
      <c r="C213">
        <v>2511</v>
      </c>
      <c r="D213" t="s">
        <v>504</v>
      </c>
      <c r="E213" s="691">
        <v>2022</v>
      </c>
      <c r="F213" s="596">
        <v>16843.7</v>
      </c>
      <c r="G213" s="15">
        <v>280574.7</v>
      </c>
      <c r="H213" t="s">
        <v>229</v>
      </c>
      <c r="I213" s="594">
        <f t="shared" si="8"/>
        <v>16843.7</v>
      </c>
    </row>
    <row r="214" spans="1:10">
      <c r="A214" t="s">
        <v>57</v>
      </c>
      <c r="B214" t="s">
        <v>113</v>
      </c>
      <c r="C214">
        <v>2511</v>
      </c>
      <c r="D214" t="s">
        <v>505</v>
      </c>
      <c r="E214" s="691">
        <v>2022</v>
      </c>
      <c r="F214" s="596">
        <v>12504</v>
      </c>
      <c r="G214" s="15">
        <v>207063.3</v>
      </c>
      <c r="H214" t="s">
        <v>229</v>
      </c>
      <c r="I214" s="594">
        <f t="shared" si="8"/>
        <v>12504</v>
      </c>
    </row>
    <row r="215" spans="1:10">
      <c r="A215" t="s">
        <v>57</v>
      </c>
      <c r="B215" t="s">
        <v>113</v>
      </c>
      <c r="C215">
        <v>2511</v>
      </c>
      <c r="D215" t="s">
        <v>506</v>
      </c>
      <c r="E215" s="691">
        <v>2022</v>
      </c>
      <c r="F215" s="596">
        <v>12504</v>
      </c>
      <c r="G215" s="15">
        <v>207063.3</v>
      </c>
      <c r="H215" t="s">
        <v>229</v>
      </c>
      <c r="I215" s="594">
        <f t="shared" si="8"/>
        <v>12504</v>
      </c>
    </row>
    <row r="216" spans="1:10">
      <c r="A216" t="s">
        <v>57</v>
      </c>
      <c r="B216" t="s">
        <v>113</v>
      </c>
      <c r="C216">
        <v>2511</v>
      </c>
      <c r="D216" t="s">
        <v>507</v>
      </c>
      <c r="E216" s="691">
        <v>2022</v>
      </c>
      <c r="F216" s="596">
        <v>11802.7</v>
      </c>
      <c r="G216" s="15">
        <v>200258</v>
      </c>
      <c r="H216" t="s">
        <v>229</v>
      </c>
      <c r="I216" s="594">
        <f t="shared" si="8"/>
        <v>11802.7</v>
      </c>
    </row>
    <row r="217" spans="1:10">
      <c r="A217" t="s">
        <v>57</v>
      </c>
      <c r="B217" t="s">
        <v>113</v>
      </c>
      <c r="C217">
        <v>2511</v>
      </c>
      <c r="D217" t="s">
        <v>508</v>
      </c>
      <c r="E217" s="691">
        <v>2022</v>
      </c>
      <c r="F217" s="596">
        <v>11802.7</v>
      </c>
      <c r="G217" s="15">
        <v>200258</v>
      </c>
      <c r="H217" t="s">
        <v>229</v>
      </c>
      <c r="I217" s="594">
        <f t="shared" si="8"/>
        <v>11802.7</v>
      </c>
    </row>
    <row r="218" spans="1:10">
      <c r="A218" t="s">
        <v>57</v>
      </c>
      <c r="B218" t="s">
        <v>114</v>
      </c>
      <c r="C218">
        <v>2514</v>
      </c>
      <c r="D218" t="s">
        <v>511</v>
      </c>
      <c r="E218" s="691">
        <v>2022</v>
      </c>
      <c r="F218" s="596">
        <v>2440.1</v>
      </c>
      <c r="G218" s="15">
        <v>30134</v>
      </c>
      <c r="H218" t="s">
        <v>229</v>
      </c>
      <c r="I218" s="594">
        <f t="shared" si="8"/>
        <v>2440.1</v>
      </c>
    </row>
    <row r="219" spans="1:10">
      <c r="A219" t="s">
        <v>57</v>
      </c>
      <c r="B219" t="s">
        <v>114</v>
      </c>
      <c r="C219">
        <v>2514</v>
      </c>
      <c r="D219" t="s">
        <v>512</v>
      </c>
      <c r="E219" s="691">
        <v>2022</v>
      </c>
      <c r="F219" s="596">
        <v>1165.5999999999999</v>
      </c>
      <c r="G219" s="15">
        <v>14388.3</v>
      </c>
      <c r="H219" t="s">
        <v>229</v>
      </c>
      <c r="I219" s="594">
        <f t="shared" si="8"/>
        <v>1165.5999999999999</v>
      </c>
    </row>
    <row r="220" spans="1:10">
      <c r="A220" t="s">
        <v>57</v>
      </c>
      <c r="B220" t="s">
        <v>115</v>
      </c>
      <c r="C220">
        <v>2516</v>
      </c>
      <c r="D220">
        <v>1</v>
      </c>
      <c r="E220" s="691">
        <v>2022</v>
      </c>
      <c r="F220" s="596">
        <v>468636.853</v>
      </c>
      <c r="G220" s="15">
        <v>7736631.6239999998</v>
      </c>
      <c r="H220" t="s">
        <v>236</v>
      </c>
      <c r="I220" s="594">
        <f t="shared" si="8"/>
        <v>468636.853</v>
      </c>
      <c r="J220" s="20"/>
    </row>
    <row r="221" spans="1:10">
      <c r="A221" t="s">
        <v>57</v>
      </c>
      <c r="B221" t="s">
        <v>115</v>
      </c>
      <c r="C221">
        <v>2516</v>
      </c>
      <c r="D221">
        <v>2</v>
      </c>
      <c r="E221" s="691">
        <v>2022</v>
      </c>
      <c r="F221" s="596">
        <v>405372.12300000002</v>
      </c>
      <c r="G221" s="15">
        <v>6319121.8130000001</v>
      </c>
      <c r="H221" t="s">
        <v>236</v>
      </c>
      <c r="I221" s="594">
        <f t="shared" si="8"/>
        <v>405372.12300000002</v>
      </c>
      <c r="J221" s="20"/>
    </row>
    <row r="222" spans="1:10">
      <c r="A222" t="s">
        <v>57</v>
      </c>
      <c r="B222" t="s">
        <v>115</v>
      </c>
      <c r="C222">
        <v>2516</v>
      </c>
      <c r="D222">
        <v>3</v>
      </c>
      <c r="E222" s="691">
        <v>2022</v>
      </c>
      <c r="F222" s="596">
        <v>723578.61300000001</v>
      </c>
      <c r="G222" s="15">
        <v>11796822.097999999</v>
      </c>
      <c r="H222" t="s">
        <v>236</v>
      </c>
      <c r="I222" s="594">
        <f t="shared" si="8"/>
        <v>723578.61300000001</v>
      </c>
      <c r="J222" s="20"/>
    </row>
    <row r="223" spans="1:10">
      <c r="A223" t="s">
        <v>57</v>
      </c>
      <c r="B223" t="s">
        <v>115</v>
      </c>
      <c r="C223">
        <v>2516</v>
      </c>
      <c r="D223">
        <v>4</v>
      </c>
      <c r="E223" s="691">
        <v>2022</v>
      </c>
      <c r="F223" s="596">
        <v>356852.11599999998</v>
      </c>
      <c r="G223" s="15">
        <v>5654559.6679999996</v>
      </c>
      <c r="H223" t="s">
        <v>236</v>
      </c>
      <c r="I223" s="594">
        <f t="shared" si="8"/>
        <v>356852.11599999998</v>
      </c>
      <c r="J223" s="20"/>
    </row>
    <row r="224" spans="1:10">
      <c r="A224" t="s">
        <v>57</v>
      </c>
      <c r="B224" t="s">
        <v>115</v>
      </c>
      <c r="C224">
        <v>2516</v>
      </c>
      <c r="D224" t="s">
        <v>548</v>
      </c>
      <c r="E224" s="691">
        <v>2022</v>
      </c>
      <c r="F224" s="596">
        <v>204.4</v>
      </c>
      <c r="G224" s="15">
        <v>2521.9</v>
      </c>
      <c r="H224" t="s">
        <v>229</v>
      </c>
      <c r="I224" s="594">
        <f t="shared" si="8"/>
        <v>204.4</v>
      </c>
      <c r="J224" s="20"/>
    </row>
    <row r="225" spans="1:11">
      <c r="A225" t="s">
        <v>57</v>
      </c>
      <c r="B225" t="s">
        <v>306</v>
      </c>
      <c r="C225">
        <v>2517</v>
      </c>
      <c r="D225">
        <v>3</v>
      </c>
      <c r="E225" s="691">
        <v>2022</v>
      </c>
      <c r="F225" s="596">
        <v>177450.16699999999</v>
      </c>
      <c r="G225" s="15">
        <v>2658511.318</v>
      </c>
      <c r="H225" t="s">
        <v>236</v>
      </c>
      <c r="I225" s="594">
        <f t="shared" si="8"/>
        <v>177450.16699999999</v>
      </c>
      <c r="J225" s="20"/>
    </row>
    <row r="226" spans="1:11">
      <c r="A226" t="s">
        <v>57</v>
      </c>
      <c r="B226" t="s">
        <v>306</v>
      </c>
      <c r="C226">
        <v>2517</v>
      </c>
      <c r="D226">
        <v>4</v>
      </c>
      <c r="E226" s="691">
        <v>2022</v>
      </c>
      <c r="F226" s="596">
        <v>71573.057000000001</v>
      </c>
      <c r="G226" s="15">
        <v>1176242.612</v>
      </c>
      <c r="H226" t="s">
        <v>236</v>
      </c>
      <c r="I226" s="594">
        <f t="shared" si="8"/>
        <v>71573.057000000001</v>
      </c>
      <c r="J226" s="20"/>
    </row>
    <row r="227" spans="1:11">
      <c r="A227" t="s">
        <v>57</v>
      </c>
      <c r="B227" t="s">
        <v>306</v>
      </c>
      <c r="C227">
        <v>2517</v>
      </c>
      <c r="D227" t="s">
        <v>548</v>
      </c>
      <c r="E227" s="691">
        <v>2022</v>
      </c>
      <c r="F227" s="596">
        <v>212</v>
      </c>
      <c r="G227" s="15">
        <v>2617</v>
      </c>
      <c r="H227" t="s">
        <v>229</v>
      </c>
      <c r="I227" s="594">
        <f t="shared" si="8"/>
        <v>212</v>
      </c>
      <c r="J227" s="20"/>
    </row>
    <row r="228" spans="1:11">
      <c r="A228" t="s">
        <v>57</v>
      </c>
      <c r="B228" t="s">
        <v>306</v>
      </c>
      <c r="C228">
        <v>2517</v>
      </c>
      <c r="D228" t="s">
        <v>307</v>
      </c>
      <c r="E228" s="691">
        <v>2022</v>
      </c>
      <c r="F228" s="596">
        <v>29667.13</v>
      </c>
      <c r="G228" s="15">
        <v>493898.55900000001</v>
      </c>
      <c r="H228" t="s">
        <v>229</v>
      </c>
      <c r="I228" s="594">
        <f t="shared" si="8"/>
        <v>29667.13</v>
      </c>
      <c r="J228" s="20"/>
    </row>
    <row r="229" spans="1:11">
      <c r="A229" t="s">
        <v>57</v>
      </c>
      <c r="B229" t="s">
        <v>306</v>
      </c>
      <c r="C229">
        <v>2517</v>
      </c>
      <c r="D229" t="s">
        <v>308</v>
      </c>
      <c r="E229" s="691">
        <v>2022</v>
      </c>
      <c r="F229" s="596">
        <v>29759.223000000002</v>
      </c>
      <c r="G229" s="15">
        <v>496277.15399999998</v>
      </c>
      <c r="H229" t="s">
        <v>229</v>
      </c>
      <c r="I229" s="594">
        <f t="shared" si="8"/>
        <v>29759.223000000002</v>
      </c>
      <c r="J229" s="20"/>
    </row>
    <row r="230" spans="1:11">
      <c r="A230" t="s">
        <v>57</v>
      </c>
      <c r="B230" t="s">
        <v>547</v>
      </c>
      <c r="C230">
        <v>2521</v>
      </c>
      <c r="D230" t="s">
        <v>548</v>
      </c>
      <c r="E230" s="691">
        <v>2022</v>
      </c>
      <c r="F230" s="596">
        <v>64.099999999999994</v>
      </c>
      <c r="G230" s="15">
        <v>793</v>
      </c>
      <c r="H230" t="s">
        <v>229</v>
      </c>
      <c r="I230" s="594">
        <f t="shared" si="8"/>
        <v>64.099999999999994</v>
      </c>
      <c r="J230" s="20"/>
    </row>
    <row r="231" spans="1:11">
      <c r="A231" t="s">
        <v>57</v>
      </c>
      <c r="B231" t="s">
        <v>1551</v>
      </c>
      <c r="C231">
        <v>2527</v>
      </c>
      <c r="D231">
        <v>6</v>
      </c>
      <c r="E231" s="691">
        <v>2022</v>
      </c>
      <c r="F231" s="692">
        <v>343046.31</v>
      </c>
      <c r="G231" s="15">
        <v>5786849.8880000003</v>
      </c>
      <c r="H231" t="s">
        <v>236</v>
      </c>
      <c r="I231" s="594">
        <f t="shared" si="8"/>
        <v>343046.31</v>
      </c>
      <c r="J231" s="25" t="s">
        <v>3936</v>
      </c>
    </row>
    <row r="232" spans="1:11">
      <c r="A232" t="s">
        <v>57</v>
      </c>
      <c r="B232" t="s">
        <v>272</v>
      </c>
      <c r="C232">
        <v>2539</v>
      </c>
      <c r="D232">
        <v>10001</v>
      </c>
      <c r="E232" s="691">
        <v>2022</v>
      </c>
      <c r="F232" s="596">
        <v>677335.12199999997</v>
      </c>
      <c r="G232" s="15">
        <v>11397484.950999999</v>
      </c>
      <c r="H232" t="s">
        <v>232</v>
      </c>
      <c r="I232" s="594">
        <f t="shared" si="8"/>
        <v>677335.12199999997</v>
      </c>
    </row>
    <row r="233" spans="1:11">
      <c r="A233" t="s">
        <v>57</v>
      </c>
      <c r="B233" t="s">
        <v>272</v>
      </c>
      <c r="C233">
        <v>2539</v>
      </c>
      <c r="D233">
        <v>10002</v>
      </c>
      <c r="E233" s="691">
        <v>2022</v>
      </c>
      <c r="F233" s="596">
        <v>740668.71900000004</v>
      </c>
      <c r="G233" s="15">
        <v>12463146.308</v>
      </c>
      <c r="H233" t="s">
        <v>232</v>
      </c>
      <c r="I233" s="594">
        <f t="shared" si="8"/>
        <v>740668.71900000004</v>
      </c>
    </row>
    <row r="234" spans="1:11">
      <c r="A234" t="s">
        <v>57</v>
      </c>
      <c r="B234" t="s">
        <v>272</v>
      </c>
      <c r="C234">
        <v>2539</v>
      </c>
      <c r="D234">
        <v>10003</v>
      </c>
      <c r="E234" s="691">
        <v>2022</v>
      </c>
      <c r="F234" s="596">
        <v>674753.68200000003</v>
      </c>
      <c r="G234" s="15">
        <v>11354094.017999999</v>
      </c>
      <c r="H234" t="s">
        <v>232</v>
      </c>
      <c r="I234" s="594">
        <f t="shared" si="8"/>
        <v>674753.68200000003</v>
      </c>
    </row>
    <row r="235" spans="1:11">
      <c r="A235" t="s">
        <v>57</v>
      </c>
      <c r="B235" t="s">
        <v>120</v>
      </c>
      <c r="C235">
        <v>2594</v>
      </c>
      <c r="D235">
        <v>5</v>
      </c>
      <c r="E235" s="691">
        <v>2022</v>
      </c>
      <c r="F235" s="596">
        <v>25199.886999999999</v>
      </c>
      <c r="G235" s="15">
        <v>311337.598</v>
      </c>
      <c r="H235" t="s">
        <v>242</v>
      </c>
      <c r="I235" s="594">
        <f t="shared" si="8"/>
        <v>25199.886999999999</v>
      </c>
      <c r="J235" s="20"/>
      <c r="K235" s="20"/>
    </row>
    <row r="236" spans="1:11">
      <c r="A236" t="s">
        <v>57</v>
      </c>
      <c r="B236" t="s">
        <v>120</v>
      </c>
      <c r="C236">
        <v>2594</v>
      </c>
      <c r="D236">
        <v>6</v>
      </c>
      <c r="E236" s="691">
        <v>2022</v>
      </c>
      <c r="F236" s="596">
        <v>34834.712</v>
      </c>
      <c r="G236" s="15">
        <v>435534.83600000001</v>
      </c>
      <c r="H236" t="s">
        <v>242</v>
      </c>
      <c r="I236" s="594">
        <f t="shared" si="8"/>
        <v>34834.712</v>
      </c>
      <c r="J236" s="20"/>
      <c r="K236" s="20"/>
    </row>
    <row r="237" spans="1:11">
      <c r="A237" t="s">
        <v>57</v>
      </c>
      <c r="B237" t="s">
        <v>278</v>
      </c>
      <c r="C237">
        <v>2625</v>
      </c>
      <c r="D237">
        <v>1</v>
      </c>
      <c r="E237" s="691">
        <v>2022</v>
      </c>
      <c r="F237" s="596">
        <v>607209.32900000003</v>
      </c>
      <c r="G237" s="15">
        <v>10081195.926999999</v>
      </c>
      <c r="H237" t="s">
        <v>236</v>
      </c>
      <c r="I237" s="594">
        <f t="shared" si="8"/>
        <v>607209.32900000003</v>
      </c>
      <c r="J237" s="20"/>
      <c r="K237" s="20"/>
    </row>
    <row r="238" spans="1:11">
      <c r="A238" t="s">
        <v>57</v>
      </c>
      <c r="B238" t="s">
        <v>278</v>
      </c>
      <c r="C238">
        <v>2625</v>
      </c>
      <c r="D238">
        <v>2</v>
      </c>
      <c r="E238" s="691">
        <v>2022</v>
      </c>
      <c r="F238" s="596">
        <v>298187.147</v>
      </c>
      <c r="G238" s="15">
        <v>5028768.0889999997</v>
      </c>
      <c r="H238" t="s">
        <v>242</v>
      </c>
      <c r="I238" s="594">
        <f t="shared" si="8"/>
        <v>298187.147</v>
      </c>
      <c r="J238" s="20"/>
      <c r="K238" s="20"/>
    </row>
    <row r="239" spans="1:11">
      <c r="A239" t="s">
        <v>57</v>
      </c>
      <c r="B239" t="s">
        <v>513</v>
      </c>
      <c r="C239">
        <v>2628</v>
      </c>
      <c r="D239">
        <v>1</v>
      </c>
      <c r="E239" s="691">
        <v>2022</v>
      </c>
      <c r="F239" s="596">
        <v>1345.85</v>
      </c>
      <c r="G239" s="15">
        <v>22613.202000000001</v>
      </c>
      <c r="H239" t="s">
        <v>229</v>
      </c>
      <c r="I239" s="594">
        <f t="shared" si="8"/>
        <v>1345.85</v>
      </c>
      <c r="K239" s="20"/>
    </row>
    <row r="240" spans="1:11">
      <c r="A240" t="s">
        <v>57</v>
      </c>
      <c r="B240" t="s">
        <v>542</v>
      </c>
      <c r="C240">
        <v>2632</v>
      </c>
      <c r="D240">
        <v>1</v>
      </c>
      <c r="E240" s="691">
        <v>2022</v>
      </c>
      <c r="F240" s="596">
        <v>465.82100000000003</v>
      </c>
      <c r="G240" s="15">
        <v>7807.4809999999998</v>
      </c>
      <c r="H240" t="s">
        <v>229</v>
      </c>
      <c r="I240" s="594">
        <f t="shared" si="8"/>
        <v>465.82100000000003</v>
      </c>
      <c r="J240" s="20"/>
      <c r="K240" s="20"/>
    </row>
    <row r="241" spans="1:10">
      <c r="A241" t="s">
        <v>57</v>
      </c>
      <c r="B241" t="s">
        <v>284</v>
      </c>
      <c r="C241">
        <v>2679</v>
      </c>
      <c r="D241">
        <v>5</v>
      </c>
      <c r="E241" s="691">
        <v>2022</v>
      </c>
      <c r="F241" s="596">
        <v>33644.377999999997</v>
      </c>
      <c r="G241" s="15">
        <v>556274.26</v>
      </c>
      <c r="H241" t="s">
        <v>229</v>
      </c>
      <c r="I241" s="594">
        <f t="shared" si="8"/>
        <v>33644.377999999997</v>
      </c>
    </row>
    <row r="242" spans="1:10">
      <c r="A242" t="s">
        <v>57</v>
      </c>
      <c r="B242" t="s">
        <v>284</v>
      </c>
      <c r="C242">
        <v>2679</v>
      </c>
      <c r="D242" t="s">
        <v>1078</v>
      </c>
      <c r="E242" s="691">
        <v>2022</v>
      </c>
      <c r="F242" s="596">
        <v>776.6</v>
      </c>
      <c r="G242" s="15">
        <v>9581.6</v>
      </c>
      <c r="H242" t="s">
        <v>229</v>
      </c>
      <c r="I242" s="594">
        <f t="shared" si="8"/>
        <v>776.6</v>
      </c>
    </row>
    <row r="243" spans="1:10">
      <c r="A243" t="s">
        <v>57</v>
      </c>
      <c r="B243" t="s">
        <v>124</v>
      </c>
      <c r="C243">
        <v>2682</v>
      </c>
      <c r="D243">
        <v>20</v>
      </c>
      <c r="E243" s="691">
        <v>2022</v>
      </c>
      <c r="F243" s="596">
        <v>41731</v>
      </c>
      <c r="G243" s="15">
        <v>702172.57499999995</v>
      </c>
      <c r="H243" t="s">
        <v>232</v>
      </c>
      <c r="I243" s="594">
        <f t="shared" si="8"/>
        <v>41731</v>
      </c>
      <c r="J243" s="20"/>
    </row>
    <row r="244" spans="1:10">
      <c r="A244" t="s">
        <v>57</v>
      </c>
      <c r="B244" t="s">
        <v>543</v>
      </c>
      <c r="C244">
        <v>7146</v>
      </c>
      <c r="D244" t="s">
        <v>544</v>
      </c>
      <c r="E244" s="691">
        <v>2022</v>
      </c>
      <c r="F244" s="596">
        <v>7594.4669999999996</v>
      </c>
      <c r="G244" s="15">
        <v>93591.505999999994</v>
      </c>
      <c r="H244" t="s">
        <v>229</v>
      </c>
      <c r="I244" s="594">
        <f t="shared" si="8"/>
        <v>7594.4669999999996</v>
      </c>
      <c r="J244" s="20"/>
    </row>
    <row r="245" spans="1:10">
      <c r="A245" t="s">
        <v>57</v>
      </c>
      <c r="B245" t="s">
        <v>543</v>
      </c>
      <c r="C245">
        <v>7146</v>
      </c>
      <c r="D245" t="s">
        <v>545</v>
      </c>
      <c r="E245" s="691">
        <v>2022</v>
      </c>
      <c r="F245" s="596">
        <v>6126.2030000000004</v>
      </c>
      <c r="G245" s="15">
        <v>75493.126000000004</v>
      </c>
      <c r="H245" t="s">
        <v>229</v>
      </c>
      <c r="I245" s="594">
        <f t="shared" si="8"/>
        <v>6126.2030000000004</v>
      </c>
      <c r="J245" s="20"/>
    </row>
    <row r="246" spans="1:10">
      <c r="A246" t="s">
        <v>57</v>
      </c>
      <c r="B246" t="s">
        <v>543</v>
      </c>
      <c r="C246">
        <v>7146</v>
      </c>
      <c r="D246" t="s">
        <v>546</v>
      </c>
      <c r="E246" s="691">
        <v>2022</v>
      </c>
      <c r="F246" s="596">
        <v>9183.1</v>
      </c>
      <c r="G246" s="15">
        <v>113170.92600000001</v>
      </c>
      <c r="H246" t="s">
        <v>229</v>
      </c>
      <c r="I246" s="594">
        <f t="shared" si="8"/>
        <v>9183.1</v>
      </c>
      <c r="J246" s="20"/>
    </row>
    <row r="247" spans="1:10">
      <c r="A247" t="s">
        <v>57</v>
      </c>
      <c r="B247" t="s">
        <v>543</v>
      </c>
      <c r="C247">
        <v>7146</v>
      </c>
      <c r="D247" t="s">
        <v>287</v>
      </c>
      <c r="E247" s="691">
        <v>2022</v>
      </c>
      <c r="F247" s="596">
        <v>719.2</v>
      </c>
      <c r="G247" s="15">
        <v>8879</v>
      </c>
      <c r="H247" t="s">
        <v>229</v>
      </c>
      <c r="I247" s="594">
        <f t="shared" si="8"/>
        <v>719.2</v>
      </c>
      <c r="J247" s="20"/>
    </row>
    <row r="248" spans="1:10">
      <c r="A248" t="s">
        <v>57</v>
      </c>
      <c r="B248" t="s">
        <v>543</v>
      </c>
      <c r="C248">
        <v>7146</v>
      </c>
      <c r="D248" t="s">
        <v>3571</v>
      </c>
      <c r="E248" s="691">
        <v>2022</v>
      </c>
      <c r="F248" s="596">
        <v>692.9</v>
      </c>
      <c r="G248" s="15">
        <v>8553.1</v>
      </c>
      <c r="H248" t="s">
        <v>229</v>
      </c>
      <c r="I248" s="594">
        <f t="shared" si="8"/>
        <v>692.9</v>
      </c>
      <c r="J248" s="20"/>
    </row>
    <row r="249" spans="1:10">
      <c r="A249" t="s">
        <v>57</v>
      </c>
      <c r="B249" t="s">
        <v>314</v>
      </c>
      <c r="C249">
        <v>7314</v>
      </c>
      <c r="D249">
        <v>1</v>
      </c>
      <c r="E249" s="691">
        <v>2022</v>
      </c>
      <c r="F249" s="596">
        <v>359947.26799999998</v>
      </c>
      <c r="G249" s="15">
        <v>5778094.0099999998</v>
      </c>
      <c r="H249" t="s">
        <v>232</v>
      </c>
      <c r="I249" s="594">
        <f t="shared" si="8"/>
        <v>359947.26799999998</v>
      </c>
      <c r="J249" s="20"/>
    </row>
    <row r="250" spans="1:10">
      <c r="A250" t="s">
        <v>57</v>
      </c>
      <c r="B250" t="s">
        <v>285</v>
      </c>
      <c r="C250">
        <v>7869</v>
      </c>
      <c r="D250" t="s">
        <v>3572</v>
      </c>
      <c r="E250" s="691">
        <v>2022</v>
      </c>
      <c r="F250" s="596">
        <v>7.7</v>
      </c>
      <c r="G250" s="15">
        <v>94</v>
      </c>
      <c r="H250" t="s">
        <v>229</v>
      </c>
      <c r="I250" s="594">
        <f t="shared" si="8"/>
        <v>7.7</v>
      </c>
      <c r="J250" s="20"/>
    </row>
    <row r="251" spans="1:10">
      <c r="A251" t="s">
        <v>57</v>
      </c>
      <c r="B251" t="s">
        <v>285</v>
      </c>
      <c r="C251">
        <v>7869</v>
      </c>
      <c r="D251" t="s">
        <v>286</v>
      </c>
      <c r="E251" s="691">
        <v>2022</v>
      </c>
      <c r="F251" s="596">
        <v>65252.002999999997</v>
      </c>
      <c r="G251" s="15">
        <v>1090451.7490000001</v>
      </c>
      <c r="H251" t="s">
        <v>229</v>
      </c>
      <c r="I251" s="594">
        <f t="shared" si="8"/>
        <v>65252.002999999997</v>
      </c>
      <c r="J251" s="20"/>
    </row>
    <row r="252" spans="1:10">
      <c r="A252" t="s">
        <v>57</v>
      </c>
      <c r="B252" t="s">
        <v>285</v>
      </c>
      <c r="C252">
        <v>7869</v>
      </c>
      <c r="D252" t="s">
        <v>287</v>
      </c>
      <c r="E252" s="691">
        <v>2022</v>
      </c>
      <c r="F252" s="596">
        <v>59629.014000000003</v>
      </c>
      <c r="G252" s="15">
        <v>996384.46200000006</v>
      </c>
      <c r="H252" t="s">
        <v>229</v>
      </c>
      <c r="I252" s="594">
        <f t="shared" si="8"/>
        <v>59629.014000000003</v>
      </c>
    </row>
    <row r="253" spans="1:10">
      <c r="A253" t="s">
        <v>57</v>
      </c>
      <c r="B253" t="s">
        <v>28</v>
      </c>
      <c r="C253">
        <v>7909</v>
      </c>
      <c r="D253" t="s">
        <v>315</v>
      </c>
      <c r="E253" s="691">
        <v>2022</v>
      </c>
      <c r="F253" s="596">
        <v>40117.006000000001</v>
      </c>
      <c r="G253" s="15">
        <v>675045.06099999999</v>
      </c>
      <c r="H253" t="s">
        <v>229</v>
      </c>
      <c r="I253" s="594">
        <f t="shared" si="8"/>
        <v>40117.006000000001</v>
      </c>
    </row>
    <row r="254" spans="1:10">
      <c r="A254" t="s">
        <v>57</v>
      </c>
      <c r="B254" t="s">
        <v>28</v>
      </c>
      <c r="C254">
        <v>7909</v>
      </c>
      <c r="D254" t="s">
        <v>316</v>
      </c>
      <c r="E254" s="691">
        <v>2022</v>
      </c>
      <c r="F254" s="596">
        <v>39002.574999999997</v>
      </c>
      <c r="G254" s="15">
        <v>656293.04500000004</v>
      </c>
      <c r="H254" t="s">
        <v>229</v>
      </c>
      <c r="I254" s="594">
        <f t="shared" si="8"/>
        <v>39002.574999999997</v>
      </c>
    </row>
    <row r="255" spans="1:10">
      <c r="A255" t="s">
        <v>57</v>
      </c>
      <c r="B255" t="s">
        <v>264</v>
      </c>
      <c r="C255">
        <v>7910</v>
      </c>
      <c r="D255">
        <v>2301</v>
      </c>
      <c r="E255" s="691">
        <v>2022</v>
      </c>
      <c r="F255" s="596">
        <v>39464.055</v>
      </c>
      <c r="G255" s="15">
        <v>664000.19799999997</v>
      </c>
      <c r="H255" t="s">
        <v>229</v>
      </c>
      <c r="I255" s="594">
        <f t="shared" si="8"/>
        <v>39464.055</v>
      </c>
      <c r="J255" s="20"/>
    </row>
    <row r="256" spans="1:10">
      <c r="A256" t="s">
        <v>57</v>
      </c>
      <c r="B256" t="s">
        <v>264</v>
      </c>
      <c r="C256">
        <v>7910</v>
      </c>
      <c r="D256">
        <v>2302</v>
      </c>
      <c r="E256" s="691">
        <v>2022</v>
      </c>
      <c r="F256" s="596">
        <v>35975.531000000003</v>
      </c>
      <c r="G256" s="15">
        <v>605362.29299999995</v>
      </c>
      <c r="H256" t="s">
        <v>229</v>
      </c>
      <c r="I256" s="594">
        <f t="shared" si="8"/>
        <v>35975.531000000003</v>
      </c>
      <c r="J256" s="20"/>
    </row>
    <row r="257" spans="1:10">
      <c r="A257" t="s">
        <v>57</v>
      </c>
      <c r="B257" t="s">
        <v>29</v>
      </c>
      <c r="C257">
        <v>7912</v>
      </c>
      <c r="D257" t="s">
        <v>279</v>
      </c>
      <c r="E257" s="691">
        <v>2022</v>
      </c>
      <c r="F257" s="596">
        <v>43153.837</v>
      </c>
      <c r="G257" s="15">
        <v>726157.87100000004</v>
      </c>
      <c r="H257" t="s">
        <v>229</v>
      </c>
      <c r="I257" s="594">
        <f t="shared" si="8"/>
        <v>43153.837</v>
      </c>
      <c r="J257" s="20"/>
    </row>
    <row r="258" spans="1:10">
      <c r="A258" t="s">
        <v>57</v>
      </c>
      <c r="B258" t="s">
        <v>30</v>
      </c>
      <c r="C258">
        <v>7913</v>
      </c>
      <c r="D258" t="s">
        <v>292</v>
      </c>
      <c r="E258" s="691">
        <v>2022</v>
      </c>
      <c r="F258" s="596">
        <v>39187.425000000003</v>
      </c>
      <c r="G258" s="15">
        <v>659404.04599999997</v>
      </c>
      <c r="H258" t="s">
        <v>229</v>
      </c>
      <c r="I258" s="594">
        <f t="shared" ref="I258:I292" si="9">F258</f>
        <v>39187.425000000003</v>
      </c>
      <c r="J258" s="20"/>
    </row>
    <row r="259" spans="1:10">
      <c r="A259" t="s">
        <v>57</v>
      </c>
      <c r="B259" t="s">
        <v>30</v>
      </c>
      <c r="C259">
        <v>7913</v>
      </c>
      <c r="D259" t="s">
        <v>293</v>
      </c>
      <c r="E259" s="691">
        <v>2022</v>
      </c>
      <c r="F259" s="596">
        <v>34445.661</v>
      </c>
      <c r="G259" s="15">
        <v>579630.36199999996</v>
      </c>
      <c r="H259" t="s">
        <v>229</v>
      </c>
      <c r="I259" s="594">
        <f t="shared" si="9"/>
        <v>34445.661</v>
      </c>
      <c r="J259" s="20"/>
    </row>
    <row r="260" spans="1:10">
      <c r="A260" t="s">
        <v>57</v>
      </c>
      <c r="B260" t="s">
        <v>31</v>
      </c>
      <c r="C260">
        <v>7914</v>
      </c>
      <c r="D260" t="s">
        <v>288</v>
      </c>
      <c r="E260" s="691">
        <v>2022</v>
      </c>
      <c r="F260" s="596">
        <v>39842.023999999998</v>
      </c>
      <c r="G260" s="15">
        <v>670406.44700000004</v>
      </c>
      <c r="H260" t="s">
        <v>229</v>
      </c>
      <c r="I260" s="594">
        <f t="shared" si="9"/>
        <v>39842.023999999998</v>
      </c>
    </row>
    <row r="261" spans="1:10">
      <c r="A261" t="s">
        <v>57</v>
      </c>
      <c r="B261" t="s">
        <v>31</v>
      </c>
      <c r="C261">
        <v>7914</v>
      </c>
      <c r="D261" t="s">
        <v>289</v>
      </c>
      <c r="E261" s="691">
        <v>2022</v>
      </c>
      <c r="F261" s="596">
        <v>34667.08</v>
      </c>
      <c r="G261" s="15">
        <v>583347.70799999998</v>
      </c>
      <c r="H261" t="s">
        <v>229</v>
      </c>
      <c r="I261" s="594">
        <f t="shared" si="9"/>
        <v>34667.08</v>
      </c>
      <c r="J261" s="20"/>
    </row>
    <row r="262" spans="1:10">
      <c r="A262" t="s">
        <v>57</v>
      </c>
      <c r="B262" t="s">
        <v>32</v>
      </c>
      <c r="C262">
        <v>7915</v>
      </c>
      <c r="D262" t="s">
        <v>301</v>
      </c>
      <c r="E262" s="691">
        <v>2022</v>
      </c>
      <c r="F262" s="596">
        <v>45636.231</v>
      </c>
      <c r="G262" s="15">
        <v>767899.34900000005</v>
      </c>
      <c r="H262" t="s">
        <v>229</v>
      </c>
      <c r="I262" s="594">
        <f t="shared" si="9"/>
        <v>45636.231</v>
      </c>
    </row>
    <row r="263" spans="1:10">
      <c r="A263" t="s">
        <v>57</v>
      </c>
      <c r="B263" t="s">
        <v>1773</v>
      </c>
      <c r="C263">
        <v>8006</v>
      </c>
      <c r="D263">
        <v>1</v>
      </c>
      <c r="E263" s="691">
        <v>2022</v>
      </c>
      <c r="F263" s="596">
        <v>208110.44</v>
      </c>
      <c r="G263" s="15">
        <v>2786086.4870000002</v>
      </c>
      <c r="H263" t="s">
        <v>236</v>
      </c>
      <c r="I263" s="594">
        <f t="shared" si="9"/>
        <v>208110.44</v>
      </c>
    </row>
    <row r="264" spans="1:10">
      <c r="A264" t="s">
        <v>57</v>
      </c>
      <c r="B264" t="s">
        <v>1773</v>
      </c>
      <c r="C264">
        <v>8006</v>
      </c>
      <c r="D264">
        <v>2</v>
      </c>
      <c r="E264" s="691">
        <v>2022</v>
      </c>
      <c r="F264" s="596">
        <v>151146.75899999999</v>
      </c>
      <c r="G264" s="15">
        <v>2228486.0759999999</v>
      </c>
      <c r="H264" t="s">
        <v>236</v>
      </c>
      <c r="I264" s="594">
        <f t="shared" si="9"/>
        <v>151146.75899999999</v>
      </c>
      <c r="J264" s="20"/>
    </row>
    <row r="265" spans="1:10">
      <c r="A265" t="s">
        <v>57</v>
      </c>
      <c r="B265" t="s">
        <v>514</v>
      </c>
      <c r="C265">
        <v>8007</v>
      </c>
      <c r="D265" t="s">
        <v>515</v>
      </c>
      <c r="E265" s="691">
        <v>2022</v>
      </c>
      <c r="F265" s="596">
        <v>1593.4</v>
      </c>
      <c r="G265" s="15">
        <v>19662.900000000001</v>
      </c>
      <c r="H265" t="s">
        <v>229</v>
      </c>
      <c r="I265" s="594">
        <f t="shared" si="9"/>
        <v>1593.4</v>
      </c>
    </row>
    <row r="266" spans="1:10">
      <c r="A266" t="s">
        <v>57</v>
      </c>
      <c r="B266" t="s">
        <v>514</v>
      </c>
      <c r="C266">
        <v>8007</v>
      </c>
      <c r="D266" t="s">
        <v>516</v>
      </c>
      <c r="E266" s="691">
        <v>2022</v>
      </c>
      <c r="F266" s="596">
        <v>1594.5</v>
      </c>
      <c r="G266" s="15">
        <v>19676</v>
      </c>
      <c r="H266" t="s">
        <v>229</v>
      </c>
      <c r="I266" s="594">
        <f t="shared" si="9"/>
        <v>1594.5</v>
      </c>
    </row>
    <row r="267" spans="1:10">
      <c r="A267" t="s">
        <v>57</v>
      </c>
      <c r="B267" t="s">
        <v>514</v>
      </c>
      <c r="C267">
        <v>8007</v>
      </c>
      <c r="D267" t="s">
        <v>517</v>
      </c>
      <c r="E267" s="691">
        <v>2022</v>
      </c>
      <c r="F267" s="596">
        <v>1553.1</v>
      </c>
      <c r="G267" s="15">
        <v>19169</v>
      </c>
      <c r="H267" t="s">
        <v>229</v>
      </c>
      <c r="I267" s="594">
        <f t="shared" si="9"/>
        <v>1553.1</v>
      </c>
      <c r="J267" s="20"/>
    </row>
    <row r="268" spans="1:10">
      <c r="A268" t="s">
        <v>57</v>
      </c>
      <c r="B268" t="s">
        <v>514</v>
      </c>
      <c r="C268">
        <v>8007</v>
      </c>
      <c r="D268" t="s">
        <v>518</v>
      </c>
      <c r="E268" s="691">
        <v>2022</v>
      </c>
      <c r="F268" s="596">
        <v>1554.2</v>
      </c>
      <c r="G268" s="15">
        <v>19182.5</v>
      </c>
      <c r="H268" t="s">
        <v>229</v>
      </c>
      <c r="I268" s="594">
        <f t="shared" si="9"/>
        <v>1554.2</v>
      </c>
      <c r="J268" s="20"/>
    </row>
    <row r="269" spans="1:10">
      <c r="A269" t="s">
        <v>57</v>
      </c>
      <c r="B269" t="s">
        <v>514</v>
      </c>
      <c r="C269">
        <v>8007</v>
      </c>
      <c r="D269" t="s">
        <v>519</v>
      </c>
      <c r="E269" s="691">
        <v>2022</v>
      </c>
      <c r="F269" s="596">
        <v>1675.3</v>
      </c>
      <c r="G269" s="15">
        <v>20684.3</v>
      </c>
      <c r="H269" t="s">
        <v>229</v>
      </c>
      <c r="I269" s="594">
        <f t="shared" si="9"/>
        <v>1675.3</v>
      </c>
      <c r="J269" s="20"/>
    </row>
    <row r="270" spans="1:10">
      <c r="A270" t="s">
        <v>57</v>
      </c>
      <c r="B270" t="s">
        <v>514</v>
      </c>
      <c r="C270">
        <v>8007</v>
      </c>
      <c r="D270" t="s">
        <v>520</v>
      </c>
      <c r="E270" s="691">
        <v>2022</v>
      </c>
      <c r="F270" s="596">
        <v>1675.3</v>
      </c>
      <c r="G270" s="15">
        <v>20684.3</v>
      </c>
      <c r="H270" t="s">
        <v>229</v>
      </c>
      <c r="I270" s="594">
        <f t="shared" si="9"/>
        <v>1675.3</v>
      </c>
      <c r="J270" s="20"/>
    </row>
    <row r="271" spans="1:10">
      <c r="A271" t="s">
        <v>57</v>
      </c>
      <c r="B271" t="s">
        <v>514</v>
      </c>
      <c r="C271">
        <v>8007</v>
      </c>
      <c r="D271" t="s">
        <v>521</v>
      </c>
      <c r="E271" s="691">
        <v>2022</v>
      </c>
      <c r="F271" s="596">
        <v>847.7</v>
      </c>
      <c r="G271" s="15">
        <v>10463.200000000001</v>
      </c>
      <c r="H271" t="s">
        <v>229</v>
      </c>
      <c r="I271" s="594">
        <f t="shared" si="9"/>
        <v>847.7</v>
      </c>
      <c r="J271" s="20"/>
    </row>
    <row r="272" spans="1:10">
      <c r="A272" t="s">
        <v>57</v>
      </c>
      <c r="B272" t="s">
        <v>514</v>
      </c>
      <c r="C272">
        <v>8007</v>
      </c>
      <c r="D272" t="s">
        <v>522</v>
      </c>
      <c r="E272" s="691">
        <v>2022</v>
      </c>
      <c r="F272" s="596">
        <v>845.4</v>
      </c>
      <c r="G272" s="15">
        <v>10435.6</v>
      </c>
      <c r="H272" t="s">
        <v>229</v>
      </c>
      <c r="I272" s="594">
        <f t="shared" si="9"/>
        <v>845.4</v>
      </c>
      <c r="J272" s="20"/>
    </row>
    <row r="273" spans="1:10">
      <c r="A273" t="s">
        <v>57</v>
      </c>
      <c r="B273" t="s">
        <v>514</v>
      </c>
      <c r="C273">
        <v>8007</v>
      </c>
      <c r="D273" t="s">
        <v>523</v>
      </c>
      <c r="E273" s="691">
        <v>2022</v>
      </c>
      <c r="F273" s="596">
        <v>1082.3</v>
      </c>
      <c r="G273" s="15">
        <v>13358</v>
      </c>
      <c r="H273" t="s">
        <v>229</v>
      </c>
      <c r="I273" s="594">
        <f t="shared" si="9"/>
        <v>1082.3</v>
      </c>
    </row>
    <row r="274" spans="1:10">
      <c r="A274" t="s">
        <v>57</v>
      </c>
      <c r="B274" t="s">
        <v>514</v>
      </c>
      <c r="C274">
        <v>8007</v>
      </c>
      <c r="D274" t="s">
        <v>524</v>
      </c>
      <c r="E274" s="691">
        <v>2022</v>
      </c>
      <c r="F274" s="596">
        <v>1082.3</v>
      </c>
      <c r="G274" s="15">
        <v>13358</v>
      </c>
      <c r="H274" t="s">
        <v>229</v>
      </c>
      <c r="I274" s="594">
        <f t="shared" si="9"/>
        <v>1082.3</v>
      </c>
      <c r="J274" s="20"/>
    </row>
    <row r="275" spans="1:10">
      <c r="A275" t="s">
        <v>57</v>
      </c>
      <c r="B275" t="s">
        <v>514</v>
      </c>
      <c r="C275">
        <v>8007</v>
      </c>
      <c r="D275" t="s">
        <v>525</v>
      </c>
      <c r="E275" s="691">
        <v>2022</v>
      </c>
      <c r="F275" s="596">
        <v>4082.2</v>
      </c>
      <c r="G275" s="15">
        <v>50382.2</v>
      </c>
      <c r="H275" t="s">
        <v>229</v>
      </c>
      <c r="I275" s="594">
        <f t="shared" si="9"/>
        <v>4082.2</v>
      </c>
      <c r="J275" s="20"/>
    </row>
    <row r="276" spans="1:10">
      <c r="A276" t="s">
        <v>57</v>
      </c>
      <c r="B276" t="s">
        <v>514</v>
      </c>
      <c r="C276">
        <v>8007</v>
      </c>
      <c r="D276" t="s">
        <v>501</v>
      </c>
      <c r="E276" s="691">
        <v>2022</v>
      </c>
      <c r="F276" s="596">
        <v>4349.8999999999996</v>
      </c>
      <c r="G276" s="15">
        <v>53687.199999999997</v>
      </c>
      <c r="H276" t="s">
        <v>229</v>
      </c>
      <c r="I276" s="594">
        <f t="shared" si="9"/>
        <v>4349.8999999999996</v>
      </c>
      <c r="J276" s="20"/>
    </row>
    <row r="277" spans="1:10">
      <c r="A277" t="s">
        <v>57</v>
      </c>
      <c r="B277" t="s">
        <v>514</v>
      </c>
      <c r="C277">
        <v>8007</v>
      </c>
      <c r="D277" t="s">
        <v>502</v>
      </c>
      <c r="E277" s="691">
        <v>2022</v>
      </c>
      <c r="F277" s="596">
        <v>780.6</v>
      </c>
      <c r="G277" s="15">
        <v>9638.5</v>
      </c>
      <c r="H277" t="s">
        <v>229</v>
      </c>
      <c r="I277" s="594">
        <f t="shared" si="9"/>
        <v>780.6</v>
      </c>
      <c r="J277" s="20"/>
    </row>
    <row r="278" spans="1:10">
      <c r="A278" t="s">
        <v>57</v>
      </c>
      <c r="B278" t="s">
        <v>514</v>
      </c>
      <c r="C278">
        <v>8007</v>
      </c>
      <c r="D278" t="s">
        <v>503</v>
      </c>
      <c r="E278" s="691">
        <v>2022</v>
      </c>
      <c r="F278" s="596">
        <v>781.7</v>
      </c>
      <c r="G278" s="15">
        <v>9651.6</v>
      </c>
      <c r="H278" t="s">
        <v>229</v>
      </c>
      <c r="I278" s="594">
        <f t="shared" si="9"/>
        <v>781.7</v>
      </c>
      <c r="J278" s="20"/>
    </row>
    <row r="279" spans="1:10">
      <c r="A279" t="s">
        <v>57</v>
      </c>
      <c r="B279" t="s">
        <v>514</v>
      </c>
      <c r="C279">
        <v>8007</v>
      </c>
      <c r="D279" t="s">
        <v>504</v>
      </c>
      <c r="E279" s="691">
        <v>2022</v>
      </c>
      <c r="F279" s="596">
        <v>1013</v>
      </c>
      <c r="G279" s="15">
        <v>12499.6</v>
      </c>
      <c r="H279" t="s">
        <v>229</v>
      </c>
      <c r="I279" s="594">
        <f t="shared" si="9"/>
        <v>1013</v>
      </c>
      <c r="J279" s="20"/>
    </row>
    <row r="280" spans="1:10">
      <c r="A280" t="s">
        <v>57</v>
      </c>
      <c r="B280" t="s">
        <v>514</v>
      </c>
      <c r="C280">
        <v>8007</v>
      </c>
      <c r="D280" t="s">
        <v>505</v>
      </c>
      <c r="E280" s="691">
        <v>2022</v>
      </c>
      <c r="F280" s="596">
        <v>1008.6</v>
      </c>
      <c r="G280" s="15">
        <v>12445.6</v>
      </c>
      <c r="H280" t="s">
        <v>229</v>
      </c>
      <c r="I280" s="594">
        <f t="shared" si="9"/>
        <v>1008.6</v>
      </c>
      <c r="J280" s="20"/>
    </row>
    <row r="281" spans="1:10">
      <c r="A281" t="s">
        <v>57</v>
      </c>
      <c r="B281" t="s">
        <v>514</v>
      </c>
      <c r="C281">
        <v>8007</v>
      </c>
      <c r="D281" t="s">
        <v>506</v>
      </c>
      <c r="E281" s="691">
        <v>2022</v>
      </c>
      <c r="F281" s="596">
        <v>2426.6</v>
      </c>
      <c r="G281" s="15">
        <v>29970.5</v>
      </c>
      <c r="H281" t="s">
        <v>229</v>
      </c>
      <c r="I281" s="594">
        <f t="shared" si="9"/>
        <v>2426.6</v>
      </c>
      <c r="J281" s="20"/>
    </row>
    <row r="282" spans="1:10">
      <c r="A282" t="s">
        <v>57</v>
      </c>
      <c r="B282" t="s">
        <v>514</v>
      </c>
      <c r="C282">
        <v>8007</v>
      </c>
      <c r="D282" t="s">
        <v>507</v>
      </c>
      <c r="E282" s="691">
        <v>2022</v>
      </c>
      <c r="F282" s="596">
        <v>2425.5</v>
      </c>
      <c r="G282" s="15">
        <v>29956.6</v>
      </c>
      <c r="H282" t="s">
        <v>229</v>
      </c>
      <c r="I282" s="594">
        <f t="shared" si="9"/>
        <v>2425.5</v>
      </c>
      <c r="J282" s="20"/>
    </row>
    <row r="283" spans="1:10">
      <c r="A283" t="s">
        <v>57</v>
      </c>
      <c r="B283" t="s">
        <v>514</v>
      </c>
      <c r="C283">
        <v>8007</v>
      </c>
      <c r="D283" t="s">
        <v>508</v>
      </c>
      <c r="E283" s="691">
        <v>2022</v>
      </c>
      <c r="F283" s="596">
        <v>3353.5</v>
      </c>
      <c r="G283" s="15">
        <v>41404.199999999997</v>
      </c>
      <c r="H283" t="s">
        <v>229</v>
      </c>
      <c r="I283" s="594">
        <f t="shared" si="9"/>
        <v>3353.5</v>
      </c>
      <c r="J283" s="20"/>
    </row>
    <row r="284" spans="1:10">
      <c r="A284" t="s">
        <v>57</v>
      </c>
      <c r="B284" t="s">
        <v>514</v>
      </c>
      <c r="C284">
        <v>8007</v>
      </c>
      <c r="D284" t="s">
        <v>511</v>
      </c>
      <c r="E284" s="691">
        <v>2022</v>
      </c>
      <c r="F284" s="596">
        <v>3354.6</v>
      </c>
      <c r="G284" s="15">
        <v>41417.699999999997</v>
      </c>
      <c r="H284" t="s">
        <v>229</v>
      </c>
      <c r="I284" s="594">
        <f t="shared" si="9"/>
        <v>3354.6</v>
      </c>
      <c r="J284" s="20"/>
    </row>
    <row r="285" spans="1:10">
      <c r="A285" t="s">
        <v>57</v>
      </c>
      <c r="B285" t="s">
        <v>309</v>
      </c>
      <c r="C285">
        <v>8053</v>
      </c>
      <c r="D285" t="s">
        <v>310</v>
      </c>
      <c r="E285" s="691">
        <v>2022</v>
      </c>
      <c r="F285" s="596">
        <v>38639.137999999999</v>
      </c>
      <c r="G285" s="15">
        <v>650178.85199999996</v>
      </c>
      <c r="H285" t="s">
        <v>229</v>
      </c>
      <c r="I285" s="594">
        <f t="shared" si="9"/>
        <v>38639.137999999999</v>
      </c>
      <c r="J285" s="20"/>
    </row>
    <row r="286" spans="1:10">
      <c r="A286" t="s">
        <v>57</v>
      </c>
      <c r="B286" t="s">
        <v>150</v>
      </c>
      <c r="C286">
        <v>8906</v>
      </c>
      <c r="D286">
        <v>20</v>
      </c>
      <c r="E286" s="691">
        <v>2022</v>
      </c>
      <c r="F286" s="596">
        <v>9690.9179999999997</v>
      </c>
      <c r="G286" s="15">
        <v>163061.72</v>
      </c>
      <c r="H286" t="s">
        <v>242</v>
      </c>
      <c r="I286" s="594">
        <f t="shared" si="9"/>
        <v>9690.9179999999997</v>
      </c>
    </row>
    <row r="287" spans="1:10">
      <c r="A287" t="s">
        <v>57</v>
      </c>
      <c r="B287" t="s">
        <v>150</v>
      </c>
      <c r="C287">
        <v>8906</v>
      </c>
      <c r="D287" t="s">
        <v>493</v>
      </c>
      <c r="E287" s="691">
        <v>2022</v>
      </c>
      <c r="F287" s="596">
        <v>147539.628</v>
      </c>
      <c r="G287" s="15">
        <v>2458204.4670000002</v>
      </c>
      <c r="H287" t="s">
        <v>242</v>
      </c>
      <c r="I287" s="594">
        <f t="shared" si="9"/>
        <v>147539.628</v>
      </c>
    </row>
    <row r="288" spans="1:10">
      <c r="A288" t="s">
        <v>57</v>
      </c>
      <c r="B288" t="s">
        <v>150</v>
      </c>
      <c r="C288">
        <v>8906</v>
      </c>
      <c r="D288" t="s">
        <v>494</v>
      </c>
      <c r="E288" s="691">
        <v>2022</v>
      </c>
      <c r="F288" s="596">
        <v>141208.38200000001</v>
      </c>
      <c r="G288" s="15">
        <v>2351534.2930000001</v>
      </c>
      <c r="H288" t="s">
        <v>242</v>
      </c>
      <c r="I288" s="594">
        <f t="shared" si="9"/>
        <v>141208.38200000001</v>
      </c>
    </row>
    <row r="289" spans="1:11">
      <c r="A289" t="s">
        <v>57</v>
      </c>
      <c r="B289" t="s">
        <v>150</v>
      </c>
      <c r="C289">
        <v>8906</v>
      </c>
      <c r="D289" t="s">
        <v>495</v>
      </c>
      <c r="E289" s="691">
        <v>2022</v>
      </c>
      <c r="F289" s="596">
        <v>150069.77299999999</v>
      </c>
      <c r="G289" s="15">
        <v>2486911.8659999999</v>
      </c>
      <c r="H289" t="s">
        <v>236</v>
      </c>
      <c r="I289" s="594">
        <f t="shared" si="9"/>
        <v>150069.77299999999</v>
      </c>
    </row>
    <row r="290" spans="1:11">
      <c r="A290" t="s">
        <v>57</v>
      </c>
      <c r="B290" t="s">
        <v>150</v>
      </c>
      <c r="C290">
        <v>8906</v>
      </c>
      <c r="D290" t="s">
        <v>496</v>
      </c>
      <c r="E290" s="691">
        <v>2022</v>
      </c>
      <c r="F290" s="596">
        <v>153147.285</v>
      </c>
      <c r="G290" s="15">
        <v>2535796.6579999998</v>
      </c>
      <c r="H290" t="s">
        <v>236</v>
      </c>
      <c r="I290" s="594">
        <f t="shared" si="9"/>
        <v>153147.285</v>
      </c>
    </row>
    <row r="291" spans="1:11">
      <c r="A291" t="s">
        <v>57</v>
      </c>
      <c r="B291" t="s">
        <v>150</v>
      </c>
      <c r="C291">
        <v>8906</v>
      </c>
      <c r="D291" t="s">
        <v>3567</v>
      </c>
      <c r="E291" s="691">
        <v>2022</v>
      </c>
      <c r="F291" s="596">
        <v>1399.8</v>
      </c>
      <c r="G291" s="15">
        <v>23734.9</v>
      </c>
      <c r="H291" t="s">
        <v>229</v>
      </c>
      <c r="I291" s="594">
        <f t="shared" si="9"/>
        <v>1399.8</v>
      </c>
    </row>
    <row r="292" spans="1:11">
      <c r="A292" t="s">
        <v>57</v>
      </c>
      <c r="B292" t="s">
        <v>283</v>
      </c>
      <c r="C292">
        <v>10190</v>
      </c>
      <c r="D292">
        <v>1</v>
      </c>
      <c r="E292" s="691">
        <v>2022</v>
      </c>
      <c r="F292" s="596">
        <v>98307.944000000003</v>
      </c>
      <c r="G292" s="15">
        <v>1653893.4450000001</v>
      </c>
      <c r="H292" t="s">
        <v>232</v>
      </c>
      <c r="I292" s="594">
        <f t="shared" si="9"/>
        <v>98307.944000000003</v>
      </c>
      <c r="J292" s="20"/>
    </row>
    <row r="293" spans="1:11">
      <c r="A293" t="s">
        <v>57</v>
      </c>
      <c r="B293" t="s">
        <v>497</v>
      </c>
      <c r="C293">
        <v>10464</v>
      </c>
      <c r="D293" t="s">
        <v>498</v>
      </c>
      <c r="E293" s="691">
        <v>2022</v>
      </c>
      <c r="F293" s="15">
        <v>168405.67499999999</v>
      </c>
      <c r="G293" s="15">
        <v>1589685.6270000001</v>
      </c>
      <c r="H293" t="s">
        <v>263</v>
      </c>
      <c r="I293" s="594"/>
      <c r="J293" s="20" t="s">
        <v>2045</v>
      </c>
    </row>
    <row r="294" spans="1:11">
      <c r="A294" t="s">
        <v>57</v>
      </c>
      <c r="B294" t="s">
        <v>497</v>
      </c>
      <c r="C294">
        <v>10464</v>
      </c>
      <c r="D294" t="s">
        <v>499</v>
      </c>
      <c r="E294" s="691">
        <v>2022</v>
      </c>
      <c r="F294" s="15">
        <v>172268.91500000001</v>
      </c>
      <c r="G294" s="15">
        <v>1624370.7220000001</v>
      </c>
      <c r="H294" t="s">
        <v>263</v>
      </c>
      <c r="I294" s="594"/>
      <c r="J294" s="20" t="s">
        <v>2045</v>
      </c>
    </row>
    <row r="295" spans="1:11">
      <c r="A295" t="s">
        <v>57</v>
      </c>
      <c r="B295" t="s">
        <v>497</v>
      </c>
      <c r="C295">
        <v>10464</v>
      </c>
      <c r="D295" t="s">
        <v>500</v>
      </c>
      <c r="E295" s="691">
        <v>2022</v>
      </c>
      <c r="F295" s="15">
        <v>166308.83199999999</v>
      </c>
      <c r="G295" s="15">
        <v>1568822.9939999999</v>
      </c>
      <c r="H295" t="s">
        <v>263</v>
      </c>
      <c r="I295" s="594"/>
      <c r="J295" s="20" t="s">
        <v>2045</v>
      </c>
    </row>
    <row r="296" spans="1:11">
      <c r="A296" t="s">
        <v>57</v>
      </c>
      <c r="B296" t="s">
        <v>1771</v>
      </c>
      <c r="C296">
        <v>10617</v>
      </c>
      <c r="D296">
        <v>1</v>
      </c>
      <c r="E296" s="691">
        <v>2022</v>
      </c>
      <c r="F296" s="15">
        <v>3028.9259999999999</v>
      </c>
      <c r="G296" s="15">
        <v>50966.076000000001</v>
      </c>
      <c r="H296" t="s">
        <v>232</v>
      </c>
      <c r="I296" s="594"/>
      <c r="J296" s="20" t="s">
        <v>1653</v>
      </c>
    </row>
    <row r="297" spans="1:11">
      <c r="A297" t="s">
        <v>57</v>
      </c>
      <c r="B297" t="s">
        <v>265</v>
      </c>
      <c r="C297">
        <v>10619</v>
      </c>
      <c r="D297">
        <v>1</v>
      </c>
      <c r="E297" s="691">
        <v>2022</v>
      </c>
      <c r="F297" s="596">
        <v>21280.83</v>
      </c>
      <c r="G297" s="15">
        <v>358112.69300000003</v>
      </c>
      <c r="H297" t="s">
        <v>232</v>
      </c>
      <c r="I297" s="594">
        <f>F297</f>
        <v>21280.83</v>
      </c>
      <c r="J297" s="25" t="s">
        <v>2046</v>
      </c>
    </row>
    <row r="298" spans="1:11">
      <c r="A298" t="s">
        <v>57</v>
      </c>
      <c r="B298" t="s">
        <v>282</v>
      </c>
      <c r="C298">
        <v>10620</v>
      </c>
      <c r="D298">
        <v>1</v>
      </c>
      <c r="E298" s="691">
        <v>2022</v>
      </c>
      <c r="F298" s="596">
        <v>1541.585</v>
      </c>
      <c r="G298" s="15">
        <v>25931.063999999998</v>
      </c>
      <c r="H298" t="s">
        <v>232</v>
      </c>
      <c r="I298" s="594">
        <f>F298</f>
        <v>1541.585</v>
      </c>
    </row>
    <row r="299" spans="1:11">
      <c r="A299" t="s">
        <v>57</v>
      </c>
      <c r="B299" t="s">
        <v>1774</v>
      </c>
      <c r="C299">
        <v>10621</v>
      </c>
      <c r="D299">
        <v>1</v>
      </c>
      <c r="E299" s="691">
        <v>2022</v>
      </c>
      <c r="F299" s="596">
        <v>1739.5050000000001</v>
      </c>
      <c r="G299" s="15">
        <v>29269.106</v>
      </c>
      <c r="H299" t="s">
        <v>232</v>
      </c>
      <c r="I299" s="594">
        <f>F299</f>
        <v>1739.5050000000001</v>
      </c>
    </row>
    <row r="300" spans="1:11">
      <c r="A300" t="s">
        <v>57</v>
      </c>
      <c r="B300" t="s">
        <v>538</v>
      </c>
      <c r="C300">
        <v>10725</v>
      </c>
      <c r="D300" t="s">
        <v>539</v>
      </c>
      <c r="E300" s="691">
        <v>2022</v>
      </c>
      <c r="F300" s="656">
        <v>29524.178</v>
      </c>
      <c r="G300" s="656">
        <v>496784.39500000002</v>
      </c>
      <c r="H300" t="s">
        <v>232</v>
      </c>
      <c r="I300" s="668"/>
      <c r="J300" s="655" t="s">
        <v>1653</v>
      </c>
    </row>
    <row r="301" spans="1:11">
      <c r="A301" t="s">
        <v>57</v>
      </c>
      <c r="B301" t="s">
        <v>538</v>
      </c>
      <c r="C301">
        <v>10725</v>
      </c>
      <c r="D301" t="s">
        <v>540</v>
      </c>
      <c r="E301" s="691">
        <v>2022</v>
      </c>
      <c r="F301" s="656">
        <v>79735.493000000002</v>
      </c>
      <c r="G301" s="656">
        <v>1341650.17</v>
      </c>
      <c r="H301" t="s">
        <v>232</v>
      </c>
      <c r="I301" s="668"/>
      <c r="J301" s="655" t="s">
        <v>1653</v>
      </c>
    </row>
    <row r="302" spans="1:11">
      <c r="A302" t="s">
        <v>57</v>
      </c>
      <c r="B302" t="s">
        <v>538</v>
      </c>
      <c r="C302">
        <v>10725</v>
      </c>
      <c r="D302" t="s">
        <v>541</v>
      </c>
      <c r="E302" s="691">
        <v>2022</v>
      </c>
      <c r="F302" s="656">
        <v>73021.456000000006</v>
      </c>
      <c r="G302" s="656">
        <v>1228746.9240000001</v>
      </c>
      <c r="H302" t="s">
        <v>232</v>
      </c>
      <c r="I302" s="668"/>
      <c r="J302" s="655" t="s">
        <v>1653</v>
      </c>
    </row>
    <row r="303" spans="1:11">
      <c r="A303" t="s">
        <v>57</v>
      </c>
      <c r="B303" t="s">
        <v>1077</v>
      </c>
      <c r="C303">
        <v>10803</v>
      </c>
      <c r="D303">
        <v>1</v>
      </c>
      <c r="E303" s="691">
        <v>2022</v>
      </c>
      <c r="F303" s="596"/>
      <c r="G303" s="15"/>
      <c r="H303" t="s">
        <v>232</v>
      </c>
      <c r="I303" s="594">
        <f t="shared" ref="I303:I304" si="10">F303</f>
        <v>0</v>
      </c>
      <c r="J303" s="25" t="s">
        <v>2046</v>
      </c>
      <c r="K303" s="20"/>
    </row>
    <row r="304" spans="1:11">
      <c r="A304" t="s">
        <v>57</v>
      </c>
      <c r="B304" t="s">
        <v>1077</v>
      </c>
      <c r="C304">
        <v>10803</v>
      </c>
      <c r="D304">
        <v>2</v>
      </c>
      <c r="E304" s="691">
        <v>2022</v>
      </c>
      <c r="F304" s="596"/>
      <c r="G304" s="15"/>
      <c r="H304" t="s">
        <v>232</v>
      </c>
      <c r="I304" s="594">
        <f t="shared" si="10"/>
        <v>0</v>
      </c>
      <c r="J304" s="25" t="s">
        <v>2046</v>
      </c>
    </row>
    <row r="305" spans="1:11">
      <c r="A305" t="s">
        <v>57</v>
      </c>
      <c r="B305" t="s">
        <v>273</v>
      </c>
      <c r="C305">
        <v>50292</v>
      </c>
      <c r="D305" t="s">
        <v>274</v>
      </c>
      <c r="E305" s="691">
        <v>2022</v>
      </c>
      <c r="F305" s="596"/>
      <c r="G305" s="15"/>
      <c r="H305" t="s">
        <v>232</v>
      </c>
      <c r="I305" s="594">
        <f>F305</f>
        <v>0</v>
      </c>
      <c r="J305" s="20"/>
    </row>
    <row r="306" spans="1:11">
      <c r="A306" t="s">
        <v>57</v>
      </c>
      <c r="B306" t="s">
        <v>273</v>
      </c>
      <c r="C306">
        <v>50292</v>
      </c>
      <c r="D306" t="s">
        <v>275</v>
      </c>
      <c r="E306" s="691">
        <v>2022</v>
      </c>
      <c r="F306" s="596">
        <v>107241.82799999999</v>
      </c>
      <c r="G306" s="15">
        <v>1804760.879</v>
      </c>
      <c r="H306" t="s">
        <v>232</v>
      </c>
      <c r="I306" s="594">
        <f>F306</f>
        <v>107241.82799999999</v>
      </c>
    </row>
    <row r="307" spans="1:11">
      <c r="A307" t="s">
        <v>57</v>
      </c>
      <c r="B307" t="s">
        <v>273</v>
      </c>
      <c r="C307">
        <v>50292</v>
      </c>
      <c r="D307" t="s">
        <v>276</v>
      </c>
      <c r="E307" s="691">
        <v>2022</v>
      </c>
      <c r="F307" s="596">
        <v>116237.948</v>
      </c>
      <c r="G307" s="15">
        <v>1955933.537</v>
      </c>
      <c r="H307" t="s">
        <v>229</v>
      </c>
      <c r="I307" s="594">
        <f>F307</f>
        <v>116237.948</v>
      </c>
    </row>
    <row r="308" spans="1:11">
      <c r="A308" t="s">
        <v>57</v>
      </c>
      <c r="B308" t="s">
        <v>273</v>
      </c>
      <c r="C308">
        <v>50292</v>
      </c>
      <c r="D308" t="s">
        <v>277</v>
      </c>
      <c r="E308" s="691">
        <v>2022</v>
      </c>
      <c r="F308" s="596">
        <v>45904.186000000002</v>
      </c>
      <c r="G308" s="15">
        <v>772427.00300000003</v>
      </c>
      <c r="H308" t="s">
        <v>232</v>
      </c>
      <c r="I308" s="594">
        <f>F308</f>
        <v>45904.186000000002</v>
      </c>
      <c r="J308" s="20"/>
    </row>
    <row r="309" spans="1:11">
      <c r="A309" t="s">
        <v>57</v>
      </c>
      <c r="B309" t="s">
        <v>297</v>
      </c>
      <c r="C309">
        <v>50449</v>
      </c>
      <c r="D309">
        <v>1</v>
      </c>
      <c r="E309" s="691">
        <v>2022</v>
      </c>
      <c r="F309" s="15">
        <v>8941.7749999999996</v>
      </c>
      <c r="G309" s="15">
        <v>150460.29999999999</v>
      </c>
      <c r="H309" t="s">
        <v>232</v>
      </c>
      <c r="I309" s="594"/>
      <c r="J309" s="20" t="s">
        <v>1653</v>
      </c>
    </row>
    <row r="310" spans="1:11">
      <c r="A310" t="s">
        <v>57</v>
      </c>
      <c r="B310" t="s">
        <v>296</v>
      </c>
      <c r="C310">
        <v>50450</v>
      </c>
      <c r="D310">
        <v>1</v>
      </c>
      <c r="E310" s="691">
        <v>2022</v>
      </c>
      <c r="F310" s="15">
        <v>7214.2</v>
      </c>
      <c r="G310" s="15">
        <v>121385.625</v>
      </c>
      <c r="H310" t="s">
        <v>232</v>
      </c>
      <c r="I310" s="594"/>
      <c r="J310" s="20" t="s">
        <v>1653</v>
      </c>
    </row>
    <row r="311" spans="1:11">
      <c r="A311" t="s">
        <v>57</v>
      </c>
      <c r="B311" t="s">
        <v>298</v>
      </c>
      <c r="C311">
        <v>50451</v>
      </c>
      <c r="D311">
        <v>1</v>
      </c>
      <c r="E311" s="691">
        <v>2022</v>
      </c>
      <c r="F311" s="15">
        <v>8890.2000000000007</v>
      </c>
      <c r="G311" s="15">
        <v>149376.02499999999</v>
      </c>
      <c r="H311" t="s">
        <v>232</v>
      </c>
      <c r="I311" s="594"/>
      <c r="J311" s="20" t="s">
        <v>1653</v>
      </c>
      <c r="K311" s="20"/>
    </row>
    <row r="312" spans="1:11">
      <c r="A312" t="s">
        <v>57</v>
      </c>
      <c r="B312" t="s">
        <v>294</v>
      </c>
      <c r="C312">
        <v>50458</v>
      </c>
      <c r="D312">
        <v>1</v>
      </c>
      <c r="E312" s="691">
        <v>2022</v>
      </c>
      <c r="F312" s="15">
        <v>295010.125</v>
      </c>
      <c r="G312" s="15">
        <v>4964125.55</v>
      </c>
      <c r="H312" t="s">
        <v>232</v>
      </c>
      <c r="I312" s="594"/>
      <c r="J312" s="20" t="s">
        <v>1653</v>
      </c>
      <c r="K312" s="20"/>
    </row>
    <row r="313" spans="1:11">
      <c r="A313" t="s">
        <v>57</v>
      </c>
      <c r="B313" t="s">
        <v>1070</v>
      </c>
      <c r="C313">
        <v>50472</v>
      </c>
      <c r="D313" t="s">
        <v>1071</v>
      </c>
      <c r="E313" s="691">
        <v>2022</v>
      </c>
      <c r="F313" s="15">
        <v>12648.3</v>
      </c>
      <c r="G313" s="15">
        <v>212836.22500000001</v>
      </c>
      <c r="H313" t="s">
        <v>242</v>
      </c>
      <c r="I313" s="594"/>
      <c r="J313" s="20" t="s">
        <v>1653</v>
      </c>
      <c r="K313" s="20"/>
    </row>
    <row r="314" spans="1:11">
      <c r="A314" t="s">
        <v>57</v>
      </c>
      <c r="B314" t="s">
        <v>1070</v>
      </c>
      <c r="C314">
        <v>50472</v>
      </c>
      <c r="D314" t="s">
        <v>1777</v>
      </c>
      <c r="E314" s="691">
        <v>2022</v>
      </c>
      <c r="F314" s="15"/>
      <c r="G314" s="15"/>
      <c r="H314" t="s">
        <v>242</v>
      </c>
      <c r="I314" s="594"/>
      <c r="J314" s="20" t="s">
        <v>1653</v>
      </c>
    </row>
    <row r="315" spans="1:11">
      <c r="A315" t="s">
        <v>57</v>
      </c>
      <c r="B315" t="s">
        <v>198</v>
      </c>
      <c r="C315">
        <v>50744</v>
      </c>
      <c r="D315">
        <v>1</v>
      </c>
      <c r="E315" s="691">
        <v>2022</v>
      </c>
      <c r="F315" s="596">
        <v>1951.8489999999999</v>
      </c>
      <c r="G315" s="15">
        <v>32852.370000000003</v>
      </c>
      <c r="H315" t="s">
        <v>232</v>
      </c>
      <c r="I315" s="594">
        <f>F315</f>
        <v>1951.8489999999999</v>
      </c>
    </row>
    <row r="316" spans="1:11">
      <c r="A316" t="s">
        <v>57</v>
      </c>
      <c r="B316" t="s">
        <v>202</v>
      </c>
      <c r="C316">
        <v>50978</v>
      </c>
      <c r="D316" t="s">
        <v>280</v>
      </c>
      <c r="E316" s="691">
        <v>2022</v>
      </c>
      <c r="F316" s="596">
        <v>46135.212</v>
      </c>
      <c r="G316" s="15">
        <v>776254.13600000006</v>
      </c>
      <c r="H316" t="s">
        <v>232</v>
      </c>
      <c r="I316" s="594">
        <f>F316</f>
        <v>46135.212</v>
      </c>
    </row>
    <row r="317" spans="1:11">
      <c r="A317" t="s">
        <v>57</v>
      </c>
      <c r="B317" t="s">
        <v>202</v>
      </c>
      <c r="C317">
        <v>50978</v>
      </c>
      <c r="D317" t="s">
        <v>281</v>
      </c>
      <c r="E317" s="691">
        <v>2022</v>
      </c>
      <c r="F317" s="596">
        <v>40258.76</v>
      </c>
      <c r="G317" s="15">
        <v>677509.68799999997</v>
      </c>
      <c r="H317" t="s">
        <v>232</v>
      </c>
      <c r="I317" s="594">
        <f>F317</f>
        <v>40258.76</v>
      </c>
    </row>
    <row r="318" spans="1:11">
      <c r="A318" t="s">
        <v>57</v>
      </c>
      <c r="B318" t="s">
        <v>528</v>
      </c>
      <c r="C318">
        <v>52056</v>
      </c>
      <c r="D318">
        <v>4</v>
      </c>
      <c r="E318" s="691">
        <v>2022</v>
      </c>
      <c r="F318" s="15">
        <v>81459.813999999998</v>
      </c>
      <c r="G318" s="15">
        <v>1370703.084</v>
      </c>
      <c r="H318" t="s">
        <v>232</v>
      </c>
      <c r="I318" s="594"/>
      <c r="J318" s="20" t="s">
        <v>1653</v>
      </c>
    </row>
    <row r="319" spans="1:11">
      <c r="A319" t="s">
        <v>57</v>
      </c>
      <c r="B319" t="s">
        <v>18</v>
      </c>
      <c r="C319">
        <v>54034</v>
      </c>
      <c r="D319" t="s">
        <v>313</v>
      </c>
      <c r="E319" s="691">
        <v>2022</v>
      </c>
      <c r="F319" s="596">
        <v>37402.042000000001</v>
      </c>
      <c r="G319" s="15">
        <v>629363.32799999998</v>
      </c>
      <c r="H319" t="s">
        <v>232</v>
      </c>
      <c r="I319" s="594">
        <f>F319</f>
        <v>37402.042000000001</v>
      </c>
      <c r="J319" s="20" t="s">
        <v>2047</v>
      </c>
    </row>
    <row r="320" spans="1:11">
      <c r="A320" t="s">
        <v>57</v>
      </c>
      <c r="B320" t="s">
        <v>527</v>
      </c>
      <c r="C320">
        <v>54041</v>
      </c>
      <c r="D320">
        <v>11854</v>
      </c>
      <c r="E320" s="691">
        <v>2022</v>
      </c>
      <c r="F320" s="15">
        <v>42513.483999999997</v>
      </c>
      <c r="G320" s="15">
        <v>715364.55599999998</v>
      </c>
      <c r="H320" t="s">
        <v>232</v>
      </c>
      <c r="I320" s="594"/>
      <c r="J320" s="20" t="s">
        <v>1653</v>
      </c>
    </row>
    <row r="321" spans="1:10">
      <c r="A321" t="s">
        <v>57</v>
      </c>
      <c r="B321" t="s">
        <v>527</v>
      </c>
      <c r="C321">
        <v>54041</v>
      </c>
      <c r="D321">
        <v>11855</v>
      </c>
      <c r="E321" s="691">
        <v>2022</v>
      </c>
      <c r="F321" s="15">
        <v>34663.050000000003</v>
      </c>
      <c r="G321" s="15">
        <v>583299.46100000001</v>
      </c>
      <c r="H321" t="s">
        <v>232</v>
      </c>
      <c r="I321" s="594"/>
      <c r="J321" s="20" t="s">
        <v>1653</v>
      </c>
    </row>
    <row r="322" spans="1:10">
      <c r="A322" t="s">
        <v>57</v>
      </c>
      <c r="B322" t="s">
        <v>527</v>
      </c>
      <c r="C322">
        <v>54041</v>
      </c>
      <c r="D322">
        <v>11856</v>
      </c>
      <c r="E322" s="691">
        <v>2022</v>
      </c>
      <c r="F322" s="15">
        <v>30226.707999999999</v>
      </c>
      <c r="G322" s="15">
        <v>508612.59600000002</v>
      </c>
      <c r="H322" t="s">
        <v>232</v>
      </c>
      <c r="I322" s="594"/>
      <c r="J322" s="20" t="s">
        <v>1653</v>
      </c>
    </row>
    <row r="323" spans="1:10">
      <c r="A323" t="s">
        <v>57</v>
      </c>
      <c r="B323" t="s">
        <v>295</v>
      </c>
      <c r="C323">
        <v>54076</v>
      </c>
      <c r="D323">
        <v>1</v>
      </c>
      <c r="E323" s="691">
        <v>2022</v>
      </c>
      <c r="F323" s="15">
        <v>54040.7</v>
      </c>
      <c r="G323" s="15">
        <v>908254.35</v>
      </c>
      <c r="H323" t="s">
        <v>232</v>
      </c>
      <c r="I323" s="594"/>
      <c r="J323" s="20" t="s">
        <v>1653</v>
      </c>
    </row>
    <row r="324" spans="1:10">
      <c r="A324" t="s">
        <v>57</v>
      </c>
      <c r="B324" t="s">
        <v>526</v>
      </c>
      <c r="C324">
        <v>54114</v>
      </c>
      <c r="D324" t="s">
        <v>274</v>
      </c>
      <c r="E324" s="691">
        <v>2022</v>
      </c>
      <c r="F324" s="15">
        <v>185293.90100000001</v>
      </c>
      <c r="G324" s="15">
        <v>3117893.7570000002</v>
      </c>
      <c r="H324" t="s">
        <v>232</v>
      </c>
      <c r="I324" s="594"/>
      <c r="J324" s="20" t="s">
        <v>1653</v>
      </c>
    </row>
    <row r="325" spans="1:10">
      <c r="A325" t="s">
        <v>57</v>
      </c>
      <c r="B325" t="s">
        <v>526</v>
      </c>
      <c r="C325">
        <v>54114</v>
      </c>
      <c r="D325" t="s">
        <v>275</v>
      </c>
      <c r="E325" s="691">
        <v>2022</v>
      </c>
      <c r="F325" s="15">
        <v>135058.93700000001</v>
      </c>
      <c r="G325" s="15">
        <v>2265305.696</v>
      </c>
      <c r="H325" t="s">
        <v>232</v>
      </c>
      <c r="I325" s="594"/>
      <c r="J325" s="20" t="s">
        <v>1653</v>
      </c>
    </row>
    <row r="326" spans="1:10">
      <c r="A326" t="s">
        <v>57</v>
      </c>
      <c r="B326" t="s">
        <v>509</v>
      </c>
      <c r="C326">
        <v>54131</v>
      </c>
      <c r="D326" t="s">
        <v>510</v>
      </c>
      <c r="E326" s="691">
        <v>2022</v>
      </c>
      <c r="F326" s="15">
        <v>28886.865000000002</v>
      </c>
      <c r="G326" s="15">
        <v>486080.53200000001</v>
      </c>
      <c r="H326" t="s">
        <v>232</v>
      </c>
      <c r="I326" s="594"/>
      <c r="J326" s="20" t="s">
        <v>1653</v>
      </c>
    </row>
    <row r="327" spans="1:10">
      <c r="A327" t="s">
        <v>57</v>
      </c>
      <c r="B327" t="s">
        <v>1772</v>
      </c>
      <c r="C327">
        <v>54149</v>
      </c>
      <c r="D327">
        <v>1</v>
      </c>
      <c r="E327" s="691">
        <v>2022</v>
      </c>
      <c r="F327" s="15">
        <v>189738.62</v>
      </c>
      <c r="G327" s="15">
        <v>3187948.36</v>
      </c>
      <c r="H327" t="s">
        <v>229</v>
      </c>
      <c r="I327" s="594"/>
      <c r="J327" s="20" t="s">
        <v>1653</v>
      </c>
    </row>
    <row r="328" spans="1:10">
      <c r="A328" t="s">
        <v>57</v>
      </c>
      <c r="B328" t="s">
        <v>299</v>
      </c>
      <c r="C328">
        <v>54547</v>
      </c>
      <c r="D328">
        <v>1</v>
      </c>
      <c r="E328" s="691">
        <v>2022</v>
      </c>
      <c r="F328" s="15">
        <v>428269.13</v>
      </c>
      <c r="G328" s="15">
        <v>7206442.2050000001</v>
      </c>
      <c r="H328" t="s">
        <v>232</v>
      </c>
      <c r="I328" s="594"/>
      <c r="J328" s="20" t="s">
        <v>1653</v>
      </c>
    </row>
    <row r="329" spans="1:10">
      <c r="A329" t="s">
        <v>57</v>
      </c>
      <c r="B329" t="s">
        <v>299</v>
      </c>
      <c r="C329">
        <v>54547</v>
      </c>
      <c r="D329">
        <v>2</v>
      </c>
      <c r="E329" s="691">
        <v>2022</v>
      </c>
      <c r="F329" s="15">
        <v>453063.087</v>
      </c>
      <c r="G329" s="15">
        <v>7623688.5109999999</v>
      </c>
      <c r="H329" t="s">
        <v>232</v>
      </c>
      <c r="I329" s="594"/>
      <c r="J329" s="20" t="s">
        <v>1653</v>
      </c>
    </row>
    <row r="330" spans="1:10">
      <c r="A330" t="s">
        <v>57</v>
      </c>
      <c r="B330" t="s">
        <v>299</v>
      </c>
      <c r="C330">
        <v>54547</v>
      </c>
      <c r="D330">
        <v>3</v>
      </c>
      <c r="E330" s="691">
        <v>2022</v>
      </c>
      <c r="F330" s="15">
        <v>336047.174</v>
      </c>
      <c r="G330" s="15">
        <v>5654637.0109999999</v>
      </c>
      <c r="H330" t="s">
        <v>232</v>
      </c>
      <c r="I330" s="594"/>
      <c r="J330" s="20" t="s">
        <v>1653</v>
      </c>
    </row>
    <row r="331" spans="1:10">
      <c r="A331" t="s">
        <v>57</v>
      </c>
      <c r="B331" t="s">
        <v>299</v>
      </c>
      <c r="C331">
        <v>54547</v>
      </c>
      <c r="D331">
        <v>4</v>
      </c>
      <c r="E331" s="691">
        <v>2022</v>
      </c>
      <c r="F331" s="15">
        <v>361825.66700000002</v>
      </c>
      <c r="G331" s="15">
        <v>6088447.6050000004</v>
      </c>
      <c r="H331" t="s">
        <v>232</v>
      </c>
      <c r="I331" s="594"/>
      <c r="J331" s="20" t="s">
        <v>1653</v>
      </c>
    </row>
    <row r="332" spans="1:10">
      <c r="A332" t="s">
        <v>57</v>
      </c>
      <c r="B332" t="s">
        <v>537</v>
      </c>
      <c r="C332">
        <v>54574</v>
      </c>
      <c r="D332">
        <v>1</v>
      </c>
      <c r="E332" s="691">
        <v>2022</v>
      </c>
      <c r="F332" s="596">
        <v>47764.245999999999</v>
      </c>
      <c r="G332" s="15">
        <v>803701.92</v>
      </c>
      <c r="H332" t="s">
        <v>232</v>
      </c>
      <c r="I332" s="594">
        <f>F332</f>
        <v>47764.245999999999</v>
      </c>
    </row>
    <row r="333" spans="1:10">
      <c r="A333" t="s">
        <v>57</v>
      </c>
      <c r="B333" t="s">
        <v>537</v>
      </c>
      <c r="C333">
        <v>54574</v>
      </c>
      <c r="D333">
        <v>2</v>
      </c>
      <c r="E333" s="691">
        <v>2022</v>
      </c>
      <c r="F333" s="596">
        <v>8360.6749999999993</v>
      </c>
      <c r="G333" s="15">
        <v>140685.76000000001</v>
      </c>
      <c r="H333" t="s">
        <v>232</v>
      </c>
      <c r="I333" s="594">
        <f>F333</f>
        <v>8360.6749999999993</v>
      </c>
    </row>
    <row r="334" spans="1:10">
      <c r="A334" t="s">
        <v>57</v>
      </c>
      <c r="B334" t="s">
        <v>300</v>
      </c>
      <c r="C334">
        <v>54592</v>
      </c>
      <c r="D334">
        <v>1</v>
      </c>
      <c r="E334" s="691">
        <v>2022</v>
      </c>
      <c r="F334" s="15">
        <v>292.56700000000001</v>
      </c>
      <c r="G334" s="15">
        <v>4921.75</v>
      </c>
      <c r="H334" t="s">
        <v>232</v>
      </c>
      <c r="I334" s="594"/>
      <c r="J334" s="25" t="s">
        <v>3937</v>
      </c>
    </row>
    <row r="335" spans="1:10">
      <c r="A335" t="s">
        <v>57</v>
      </c>
      <c r="B335" t="s">
        <v>270</v>
      </c>
      <c r="C335">
        <v>54593</v>
      </c>
      <c r="D335">
        <v>1</v>
      </c>
      <c r="E335" s="691">
        <v>2022</v>
      </c>
      <c r="F335" s="596">
        <v>1345.7750000000001</v>
      </c>
      <c r="G335" s="15">
        <v>22651.751</v>
      </c>
      <c r="H335" t="s">
        <v>232</v>
      </c>
      <c r="I335" s="594">
        <f>F335</f>
        <v>1345.7750000000001</v>
      </c>
      <c r="J335" s="20"/>
    </row>
    <row r="336" spans="1:10">
      <c r="A336" t="s">
        <v>57</v>
      </c>
      <c r="B336" t="s">
        <v>155</v>
      </c>
      <c r="C336">
        <v>54914</v>
      </c>
      <c r="D336">
        <v>1</v>
      </c>
      <c r="E336" s="691">
        <v>2022</v>
      </c>
      <c r="F336" s="15">
        <v>526876.26899999997</v>
      </c>
      <c r="G336" s="15">
        <v>8833967.9800000004</v>
      </c>
      <c r="H336" t="s">
        <v>232</v>
      </c>
      <c r="I336" s="594"/>
      <c r="J336" s="20" t="s">
        <v>1653</v>
      </c>
    </row>
    <row r="337" spans="1:10">
      <c r="A337" t="s">
        <v>57</v>
      </c>
      <c r="B337" t="s">
        <v>155</v>
      </c>
      <c r="C337">
        <v>54914</v>
      </c>
      <c r="D337">
        <v>2</v>
      </c>
      <c r="E337" s="691">
        <v>2022</v>
      </c>
      <c r="F337" s="15">
        <v>459940.61499999999</v>
      </c>
      <c r="G337" s="15">
        <v>7696321.2390000001</v>
      </c>
      <c r="H337" t="s">
        <v>232</v>
      </c>
      <c r="I337" s="594"/>
      <c r="J337" s="20" t="s">
        <v>1653</v>
      </c>
    </row>
    <row r="338" spans="1:10">
      <c r="A338" t="s">
        <v>57</v>
      </c>
      <c r="B338" t="s">
        <v>468</v>
      </c>
      <c r="C338">
        <v>55243</v>
      </c>
      <c r="D338" t="s">
        <v>469</v>
      </c>
      <c r="E338" s="691">
        <v>2022</v>
      </c>
      <c r="F338" s="596">
        <v>1166.0999999999999</v>
      </c>
      <c r="G338" s="15">
        <v>18041.400000000001</v>
      </c>
      <c r="H338" t="s">
        <v>229</v>
      </c>
      <c r="I338" s="594">
        <f>F338</f>
        <v>1166.0999999999999</v>
      </c>
      <c r="J338" s="20"/>
    </row>
    <row r="339" spans="1:10">
      <c r="A339" t="s">
        <v>57</v>
      </c>
      <c r="B339" t="s">
        <v>468</v>
      </c>
      <c r="C339">
        <v>55243</v>
      </c>
      <c r="D339" t="s">
        <v>470</v>
      </c>
      <c r="E339" s="691">
        <v>2022</v>
      </c>
      <c r="F339" s="596">
        <v>1165.0999999999999</v>
      </c>
      <c r="G339" s="15">
        <v>18024.7</v>
      </c>
      <c r="H339" t="s">
        <v>229</v>
      </c>
      <c r="I339" s="594">
        <f t="shared" ref="I339:I387" si="11">F339</f>
        <v>1165.0999999999999</v>
      </c>
    </row>
    <row r="340" spans="1:10">
      <c r="A340" t="s">
        <v>57</v>
      </c>
      <c r="B340" t="s">
        <v>468</v>
      </c>
      <c r="C340">
        <v>55243</v>
      </c>
      <c r="D340" t="s">
        <v>471</v>
      </c>
      <c r="E340" s="691">
        <v>2022</v>
      </c>
      <c r="F340" s="596">
        <v>1608.3</v>
      </c>
      <c r="G340" s="15">
        <v>26201.200000000001</v>
      </c>
      <c r="H340" t="s">
        <v>229</v>
      </c>
      <c r="I340" s="594">
        <f t="shared" si="11"/>
        <v>1608.3</v>
      </c>
    </row>
    <row r="341" spans="1:10">
      <c r="A341" t="s">
        <v>57</v>
      </c>
      <c r="B341" t="s">
        <v>468</v>
      </c>
      <c r="C341">
        <v>55243</v>
      </c>
      <c r="D341" t="s">
        <v>472</v>
      </c>
      <c r="E341" s="691">
        <v>2022</v>
      </c>
      <c r="F341" s="596">
        <v>1607.6</v>
      </c>
      <c r="G341" s="15">
        <v>26192</v>
      </c>
      <c r="H341" t="s">
        <v>229</v>
      </c>
      <c r="I341" s="594">
        <f t="shared" si="11"/>
        <v>1607.6</v>
      </c>
      <c r="J341" s="20"/>
    </row>
    <row r="342" spans="1:10">
      <c r="A342" t="s">
        <v>57</v>
      </c>
      <c r="B342" t="s">
        <v>468</v>
      </c>
      <c r="C342">
        <v>55243</v>
      </c>
      <c r="D342" t="s">
        <v>473</v>
      </c>
      <c r="E342" s="691">
        <v>2022</v>
      </c>
      <c r="F342" s="596">
        <v>2500.3000000000002</v>
      </c>
      <c r="G342" s="15">
        <v>39663.5</v>
      </c>
      <c r="H342" t="s">
        <v>229</v>
      </c>
      <c r="I342" s="594">
        <f t="shared" si="11"/>
        <v>2500.3000000000002</v>
      </c>
      <c r="J342" s="20"/>
    </row>
    <row r="343" spans="1:10">
      <c r="A343" t="s">
        <v>57</v>
      </c>
      <c r="B343" t="s">
        <v>468</v>
      </c>
      <c r="C343">
        <v>55243</v>
      </c>
      <c r="D343" t="s">
        <v>474</v>
      </c>
      <c r="E343" s="691">
        <v>2022</v>
      </c>
      <c r="F343" s="596">
        <v>2495.3000000000002</v>
      </c>
      <c r="G343" s="15">
        <v>39580.5</v>
      </c>
      <c r="H343" t="s">
        <v>229</v>
      </c>
      <c r="I343" s="594">
        <f t="shared" si="11"/>
        <v>2495.3000000000002</v>
      </c>
      <c r="J343" s="20"/>
    </row>
    <row r="344" spans="1:10">
      <c r="A344" t="s">
        <v>57</v>
      </c>
      <c r="B344" t="s">
        <v>468</v>
      </c>
      <c r="C344">
        <v>55243</v>
      </c>
      <c r="D344" t="s">
        <v>475</v>
      </c>
      <c r="E344" s="691">
        <v>2022</v>
      </c>
      <c r="F344" s="596">
        <v>2361.6999999999998</v>
      </c>
      <c r="G344" s="15">
        <v>37868</v>
      </c>
      <c r="H344" t="s">
        <v>229</v>
      </c>
      <c r="I344" s="594">
        <f t="shared" si="11"/>
        <v>2361.6999999999998</v>
      </c>
      <c r="J344" s="20"/>
    </row>
    <row r="345" spans="1:10">
      <c r="A345" t="s">
        <v>57</v>
      </c>
      <c r="B345" t="s">
        <v>468</v>
      </c>
      <c r="C345">
        <v>55243</v>
      </c>
      <c r="D345" t="s">
        <v>476</v>
      </c>
      <c r="E345" s="691">
        <v>2022</v>
      </c>
      <c r="F345" s="596">
        <v>2362.8000000000002</v>
      </c>
      <c r="G345" s="15">
        <v>37884.5</v>
      </c>
      <c r="H345" t="s">
        <v>229</v>
      </c>
      <c r="I345" s="594">
        <f t="shared" si="11"/>
        <v>2362.8000000000002</v>
      </c>
      <c r="J345" s="20"/>
    </row>
    <row r="346" spans="1:10">
      <c r="A346" t="s">
        <v>57</v>
      </c>
      <c r="B346" t="s">
        <v>468</v>
      </c>
      <c r="C346">
        <v>55243</v>
      </c>
      <c r="D346" t="s">
        <v>477</v>
      </c>
      <c r="E346" s="691">
        <v>2022</v>
      </c>
      <c r="F346" s="596">
        <v>2195.4</v>
      </c>
      <c r="G346" s="15">
        <v>35316.199999999997</v>
      </c>
      <c r="H346" t="s">
        <v>229</v>
      </c>
      <c r="I346" s="594">
        <f t="shared" si="11"/>
        <v>2195.4</v>
      </c>
      <c r="J346" s="20"/>
    </row>
    <row r="347" spans="1:10">
      <c r="A347" t="s">
        <v>57</v>
      </c>
      <c r="B347" t="s">
        <v>468</v>
      </c>
      <c r="C347">
        <v>55243</v>
      </c>
      <c r="D347" t="s">
        <v>478</v>
      </c>
      <c r="E347" s="691">
        <v>2022</v>
      </c>
      <c r="F347" s="596">
        <v>2152.4</v>
      </c>
      <c r="G347" s="15">
        <v>34705.1</v>
      </c>
      <c r="H347" t="s">
        <v>229</v>
      </c>
      <c r="I347" s="594">
        <f t="shared" si="11"/>
        <v>2152.4</v>
      </c>
      <c r="J347" s="20"/>
    </row>
    <row r="348" spans="1:10">
      <c r="A348" t="s">
        <v>57</v>
      </c>
      <c r="B348" t="s">
        <v>468</v>
      </c>
      <c r="C348">
        <v>55243</v>
      </c>
      <c r="D348" t="s">
        <v>479</v>
      </c>
      <c r="E348" s="691">
        <v>2022</v>
      </c>
      <c r="F348" s="596">
        <v>1582.3</v>
      </c>
      <c r="G348" s="15">
        <v>25303.1</v>
      </c>
      <c r="H348" t="s">
        <v>229</v>
      </c>
      <c r="I348" s="594">
        <f t="shared" si="11"/>
        <v>1582.3</v>
      </c>
      <c r="J348" s="20"/>
    </row>
    <row r="349" spans="1:10">
      <c r="A349" t="s">
        <v>57</v>
      </c>
      <c r="B349" t="s">
        <v>468</v>
      </c>
      <c r="C349">
        <v>55243</v>
      </c>
      <c r="D349" t="s">
        <v>480</v>
      </c>
      <c r="E349" s="691">
        <v>2022</v>
      </c>
      <c r="F349" s="596">
        <v>1581.1</v>
      </c>
      <c r="G349" s="15">
        <v>25284.400000000001</v>
      </c>
      <c r="H349" t="s">
        <v>229</v>
      </c>
      <c r="I349" s="594">
        <f t="shared" si="11"/>
        <v>1581.1</v>
      </c>
      <c r="J349" s="20"/>
    </row>
    <row r="350" spans="1:10">
      <c r="A350" t="s">
        <v>57</v>
      </c>
      <c r="B350" t="s">
        <v>468</v>
      </c>
      <c r="C350">
        <v>55243</v>
      </c>
      <c r="D350" t="s">
        <v>481</v>
      </c>
      <c r="E350" s="691">
        <v>2022</v>
      </c>
      <c r="F350" s="596">
        <v>1225.0999999999999</v>
      </c>
      <c r="G350" s="15">
        <v>19338.400000000001</v>
      </c>
      <c r="H350" t="s">
        <v>229</v>
      </c>
      <c r="I350" s="594">
        <f t="shared" si="11"/>
        <v>1225.0999999999999</v>
      </c>
      <c r="J350" s="20"/>
    </row>
    <row r="351" spans="1:10">
      <c r="A351" t="s">
        <v>57</v>
      </c>
      <c r="B351" t="s">
        <v>468</v>
      </c>
      <c r="C351">
        <v>55243</v>
      </c>
      <c r="D351" t="s">
        <v>482</v>
      </c>
      <c r="E351" s="691">
        <v>2022</v>
      </c>
      <c r="F351" s="596">
        <v>1224</v>
      </c>
      <c r="G351" s="15">
        <v>19319.5</v>
      </c>
      <c r="H351" t="s">
        <v>229</v>
      </c>
      <c r="I351" s="594">
        <f t="shared" si="11"/>
        <v>1224</v>
      </c>
      <c r="J351" s="20"/>
    </row>
    <row r="352" spans="1:10">
      <c r="A352" t="s">
        <v>57</v>
      </c>
      <c r="B352" t="s">
        <v>468</v>
      </c>
      <c r="C352">
        <v>55243</v>
      </c>
      <c r="D352" t="s">
        <v>483</v>
      </c>
      <c r="E352" s="691">
        <v>2022</v>
      </c>
      <c r="F352" s="596">
        <v>1920.4</v>
      </c>
      <c r="G352" s="15">
        <v>31442.5</v>
      </c>
      <c r="H352" t="s">
        <v>229</v>
      </c>
      <c r="I352" s="594">
        <f t="shared" si="11"/>
        <v>1920.4</v>
      </c>
      <c r="J352" s="20"/>
    </row>
    <row r="353" spans="1:10">
      <c r="A353" t="s">
        <v>57</v>
      </c>
      <c r="B353" t="s">
        <v>468</v>
      </c>
      <c r="C353">
        <v>55243</v>
      </c>
      <c r="D353" t="s">
        <v>484</v>
      </c>
      <c r="E353" s="691">
        <v>2022</v>
      </c>
      <c r="F353" s="596">
        <v>1920.4</v>
      </c>
      <c r="G353" s="15">
        <v>31442.5</v>
      </c>
      <c r="H353" t="s">
        <v>229</v>
      </c>
      <c r="I353" s="594">
        <f t="shared" si="11"/>
        <v>1920.4</v>
      </c>
      <c r="J353" s="20"/>
    </row>
    <row r="354" spans="1:10">
      <c r="A354" t="s">
        <v>57</v>
      </c>
      <c r="B354" t="s">
        <v>468</v>
      </c>
      <c r="C354">
        <v>55243</v>
      </c>
      <c r="D354" t="s">
        <v>485</v>
      </c>
      <c r="E354" s="691">
        <v>2022</v>
      </c>
      <c r="F354" s="596">
        <v>1838</v>
      </c>
      <c r="G354" s="15">
        <v>29057</v>
      </c>
      <c r="H354" t="s">
        <v>229</v>
      </c>
      <c r="I354" s="594">
        <f t="shared" si="11"/>
        <v>1838</v>
      </c>
      <c r="J354" s="20"/>
    </row>
    <row r="355" spans="1:10">
      <c r="A355" t="s">
        <v>57</v>
      </c>
      <c r="B355" t="s">
        <v>468</v>
      </c>
      <c r="C355">
        <v>55243</v>
      </c>
      <c r="D355" t="s">
        <v>486</v>
      </c>
      <c r="E355" s="691">
        <v>2022</v>
      </c>
      <c r="F355" s="596">
        <v>1839</v>
      </c>
      <c r="G355" s="15">
        <v>29074.1</v>
      </c>
      <c r="H355" t="s">
        <v>229</v>
      </c>
      <c r="I355" s="594">
        <f t="shared" si="11"/>
        <v>1839</v>
      </c>
      <c r="J355" s="20"/>
    </row>
    <row r="356" spans="1:10">
      <c r="A356" t="s">
        <v>57</v>
      </c>
      <c r="B356" t="s">
        <v>468</v>
      </c>
      <c r="C356">
        <v>55243</v>
      </c>
      <c r="D356" t="s">
        <v>487</v>
      </c>
      <c r="E356" s="691">
        <v>2022</v>
      </c>
      <c r="F356" s="596">
        <v>1448.1</v>
      </c>
      <c r="G356" s="15">
        <v>22606.9</v>
      </c>
      <c r="H356" t="s">
        <v>229</v>
      </c>
      <c r="I356" s="594">
        <f t="shared" si="11"/>
        <v>1448.1</v>
      </c>
      <c r="J356" s="20"/>
    </row>
    <row r="357" spans="1:10">
      <c r="A357" t="s">
        <v>57</v>
      </c>
      <c r="B357" t="s">
        <v>468</v>
      </c>
      <c r="C357">
        <v>55243</v>
      </c>
      <c r="D357" t="s">
        <v>488</v>
      </c>
      <c r="E357" s="691">
        <v>2022</v>
      </c>
      <c r="F357" s="596">
        <v>1448.7</v>
      </c>
      <c r="G357" s="15">
        <v>22617.599999999999</v>
      </c>
      <c r="H357" t="s">
        <v>229</v>
      </c>
      <c r="I357" s="594">
        <f t="shared" si="11"/>
        <v>1448.7</v>
      </c>
      <c r="J357" s="20"/>
    </row>
    <row r="358" spans="1:10">
      <c r="A358" t="s">
        <v>57</v>
      </c>
      <c r="B358" t="s">
        <v>468</v>
      </c>
      <c r="C358">
        <v>55243</v>
      </c>
      <c r="D358" t="s">
        <v>489</v>
      </c>
      <c r="E358" s="691">
        <v>2022</v>
      </c>
      <c r="F358" s="596">
        <v>1749.7</v>
      </c>
      <c r="G358" s="15">
        <v>27468.799999999999</v>
      </c>
      <c r="H358" t="s">
        <v>229</v>
      </c>
      <c r="I358" s="594">
        <f t="shared" si="11"/>
        <v>1749.7</v>
      </c>
      <c r="J358" s="20"/>
    </row>
    <row r="359" spans="1:10">
      <c r="A359" t="s">
        <v>57</v>
      </c>
      <c r="B359" t="s">
        <v>468</v>
      </c>
      <c r="C359">
        <v>55243</v>
      </c>
      <c r="D359" t="s">
        <v>490</v>
      </c>
      <c r="E359" s="691">
        <v>2022</v>
      </c>
      <c r="F359" s="596">
        <v>1745.8</v>
      </c>
      <c r="G359" s="15">
        <v>27403.3</v>
      </c>
      <c r="H359" t="s">
        <v>229</v>
      </c>
      <c r="I359" s="594">
        <f t="shared" si="11"/>
        <v>1745.8</v>
      </c>
      <c r="J359" s="20"/>
    </row>
    <row r="360" spans="1:10">
      <c r="A360" t="s">
        <v>57</v>
      </c>
      <c r="B360" t="s">
        <v>468</v>
      </c>
      <c r="C360">
        <v>55243</v>
      </c>
      <c r="D360" t="s">
        <v>491</v>
      </c>
      <c r="E360" s="691">
        <v>2022</v>
      </c>
      <c r="F360" s="596">
        <v>2253</v>
      </c>
      <c r="G360" s="15">
        <v>36438.400000000001</v>
      </c>
      <c r="H360" t="s">
        <v>229</v>
      </c>
      <c r="I360" s="594">
        <f t="shared" si="11"/>
        <v>2253</v>
      </c>
      <c r="J360" s="20"/>
    </row>
    <row r="361" spans="1:10">
      <c r="A361" t="s">
        <v>57</v>
      </c>
      <c r="B361" t="s">
        <v>468</v>
      </c>
      <c r="C361">
        <v>55243</v>
      </c>
      <c r="D361" t="s">
        <v>492</v>
      </c>
      <c r="E361" s="691">
        <v>2022</v>
      </c>
      <c r="F361" s="596">
        <v>2255.6</v>
      </c>
      <c r="G361" s="15">
        <v>36482.6</v>
      </c>
      <c r="H361" t="s">
        <v>229</v>
      </c>
      <c r="I361" s="594">
        <f t="shared" si="11"/>
        <v>2255.6</v>
      </c>
      <c r="J361" s="20"/>
    </row>
    <row r="362" spans="1:10">
      <c r="A362" t="s">
        <v>57</v>
      </c>
      <c r="B362" t="s">
        <v>179</v>
      </c>
      <c r="C362">
        <v>55375</v>
      </c>
      <c r="D362" t="s">
        <v>267</v>
      </c>
      <c r="E362" s="691">
        <v>2022</v>
      </c>
      <c r="F362" s="596">
        <v>782916.45700000005</v>
      </c>
      <c r="G362" s="15">
        <v>12953789.818</v>
      </c>
      <c r="H362" t="s">
        <v>232</v>
      </c>
      <c r="I362" s="594">
        <f t="shared" si="11"/>
        <v>782916.45700000005</v>
      </c>
      <c r="J362" s="20"/>
    </row>
    <row r="363" spans="1:10">
      <c r="A363" t="s">
        <v>57</v>
      </c>
      <c r="B363" t="s">
        <v>179</v>
      </c>
      <c r="C363">
        <v>55375</v>
      </c>
      <c r="D363" t="s">
        <v>268</v>
      </c>
      <c r="E363" s="691">
        <v>2022</v>
      </c>
      <c r="F363" s="596">
        <v>750193.26500000001</v>
      </c>
      <c r="G363" s="15">
        <v>12399171.557</v>
      </c>
      <c r="H363" t="s">
        <v>232</v>
      </c>
      <c r="I363" s="594">
        <f t="shared" si="11"/>
        <v>750193.26500000001</v>
      </c>
      <c r="J363" s="20"/>
    </row>
    <row r="364" spans="1:10">
      <c r="A364" t="s">
        <v>57</v>
      </c>
      <c r="B364" t="s">
        <v>179</v>
      </c>
      <c r="C364">
        <v>55375</v>
      </c>
      <c r="D364" t="s">
        <v>1078</v>
      </c>
      <c r="E364" s="691">
        <v>2022</v>
      </c>
      <c r="F364" s="596">
        <v>828219.25399999996</v>
      </c>
      <c r="G364" s="15">
        <v>13646415.318</v>
      </c>
      <c r="H364" t="s">
        <v>232</v>
      </c>
      <c r="I364" s="594">
        <f t="shared" si="11"/>
        <v>828219.25399999996</v>
      </c>
    </row>
    <row r="365" spans="1:10">
      <c r="A365" t="s">
        <v>57</v>
      </c>
      <c r="B365" t="s">
        <v>179</v>
      </c>
      <c r="C365">
        <v>55375</v>
      </c>
      <c r="D365" t="s">
        <v>1079</v>
      </c>
      <c r="E365" s="691">
        <v>2022</v>
      </c>
      <c r="F365" s="596">
        <v>845775.28799999994</v>
      </c>
      <c r="G365" s="15">
        <v>13961110.861</v>
      </c>
      <c r="H365" t="s">
        <v>232</v>
      </c>
      <c r="I365" s="594">
        <f t="shared" si="11"/>
        <v>845775.28799999994</v>
      </c>
      <c r="J365" s="20"/>
    </row>
    <row r="366" spans="1:10">
      <c r="A366" t="s">
        <v>57</v>
      </c>
      <c r="B366" t="s">
        <v>269</v>
      </c>
      <c r="C366">
        <v>55405</v>
      </c>
      <c r="D366">
        <v>1</v>
      </c>
      <c r="E366" s="691">
        <v>2022</v>
      </c>
      <c r="F366" s="596">
        <v>669301.13800000004</v>
      </c>
      <c r="G366" s="15">
        <v>11262260.741</v>
      </c>
      <c r="H366" t="s">
        <v>232</v>
      </c>
      <c r="I366" s="594">
        <f t="shared" si="11"/>
        <v>669301.13800000004</v>
      </c>
      <c r="J366" s="20"/>
    </row>
    <row r="367" spans="1:10">
      <c r="A367" t="s">
        <v>57</v>
      </c>
      <c r="B367" t="s">
        <v>269</v>
      </c>
      <c r="C367">
        <v>55405</v>
      </c>
      <c r="D367">
        <v>2</v>
      </c>
      <c r="E367" s="691">
        <v>2022</v>
      </c>
      <c r="F367" s="596">
        <v>600086.13300000003</v>
      </c>
      <c r="G367" s="15">
        <v>10097612.289000001</v>
      </c>
      <c r="H367" t="s">
        <v>232</v>
      </c>
      <c r="I367" s="594">
        <f t="shared" si="11"/>
        <v>600086.13300000003</v>
      </c>
      <c r="J367" s="20"/>
    </row>
    <row r="368" spans="1:10">
      <c r="A368" t="s">
        <v>57</v>
      </c>
      <c r="B368" t="s">
        <v>269</v>
      </c>
      <c r="C368">
        <v>55405</v>
      </c>
      <c r="D368">
        <v>3</v>
      </c>
      <c r="E368" s="691">
        <v>2022</v>
      </c>
      <c r="F368" s="596">
        <v>563177.51599999995</v>
      </c>
      <c r="G368" s="15">
        <v>9476501.5470000003</v>
      </c>
      <c r="H368" t="s">
        <v>232</v>
      </c>
      <c r="I368" s="594">
        <f t="shared" si="11"/>
        <v>563177.51599999995</v>
      </c>
      <c r="J368" s="20"/>
    </row>
    <row r="369" spans="1:10">
      <c r="A369" t="s">
        <v>57</v>
      </c>
      <c r="B369" t="s">
        <v>271</v>
      </c>
      <c r="C369">
        <v>55699</v>
      </c>
      <c r="D369">
        <v>1</v>
      </c>
      <c r="E369" s="691">
        <v>2022</v>
      </c>
      <c r="F369" s="596">
        <v>33369.425999999999</v>
      </c>
      <c r="G369" s="15">
        <v>561514.73100000003</v>
      </c>
      <c r="H369" t="s">
        <v>229</v>
      </c>
      <c r="I369" s="594">
        <f t="shared" si="11"/>
        <v>33369.425999999999</v>
      </c>
      <c r="J369" s="20"/>
    </row>
    <row r="370" spans="1:10">
      <c r="A370" t="s">
        <v>57</v>
      </c>
      <c r="B370" t="s">
        <v>271</v>
      </c>
      <c r="C370">
        <v>55699</v>
      </c>
      <c r="D370">
        <v>2</v>
      </c>
      <c r="E370" s="691">
        <v>2022</v>
      </c>
      <c r="F370" s="596">
        <v>42112.394</v>
      </c>
      <c r="G370" s="15">
        <v>705505.76500000001</v>
      </c>
      <c r="H370" t="s">
        <v>229</v>
      </c>
      <c r="I370" s="594">
        <f t="shared" si="11"/>
        <v>42112.394</v>
      </c>
      <c r="J370" s="20"/>
    </row>
    <row r="371" spans="1:10">
      <c r="A371" t="s">
        <v>57</v>
      </c>
      <c r="B371" t="s">
        <v>432</v>
      </c>
      <c r="C371">
        <v>55786</v>
      </c>
      <c r="D371" t="s">
        <v>244</v>
      </c>
      <c r="E371" s="691">
        <v>2022</v>
      </c>
      <c r="F371" s="596">
        <v>45880.754000000001</v>
      </c>
      <c r="G371" s="15">
        <v>772035.91200000001</v>
      </c>
      <c r="H371" t="s">
        <v>229</v>
      </c>
      <c r="I371" s="594">
        <f t="shared" si="11"/>
        <v>45880.754000000001</v>
      </c>
      <c r="J371" s="20"/>
    </row>
    <row r="372" spans="1:10">
      <c r="A372" t="s">
        <v>57</v>
      </c>
      <c r="B372" t="s">
        <v>432</v>
      </c>
      <c r="C372">
        <v>55786</v>
      </c>
      <c r="D372" t="s">
        <v>245</v>
      </c>
      <c r="E372" s="691">
        <v>2022</v>
      </c>
      <c r="F372" s="596">
        <v>51680.106</v>
      </c>
      <c r="G372" s="15">
        <v>869592.86100000003</v>
      </c>
      <c r="H372" t="s">
        <v>229</v>
      </c>
      <c r="I372" s="594">
        <f t="shared" si="11"/>
        <v>51680.106</v>
      </c>
      <c r="J372" s="20"/>
    </row>
    <row r="373" spans="1:10">
      <c r="A373" t="s">
        <v>57</v>
      </c>
      <c r="B373" t="s">
        <v>433</v>
      </c>
      <c r="C373">
        <v>55787</v>
      </c>
      <c r="D373" t="s">
        <v>244</v>
      </c>
      <c r="E373" s="691">
        <v>2022</v>
      </c>
      <c r="F373" s="596">
        <v>8533.1550000000007</v>
      </c>
      <c r="G373" s="15">
        <v>105162.804</v>
      </c>
      <c r="H373" t="s">
        <v>229</v>
      </c>
      <c r="I373" s="594">
        <f t="shared" si="11"/>
        <v>8533.1550000000007</v>
      </c>
      <c r="J373" s="20"/>
    </row>
    <row r="374" spans="1:10">
      <c r="A374" t="s">
        <v>57</v>
      </c>
      <c r="B374" t="s">
        <v>433</v>
      </c>
      <c r="C374">
        <v>55787</v>
      </c>
      <c r="D374" t="s">
        <v>245</v>
      </c>
      <c r="E374" s="691">
        <v>2022</v>
      </c>
      <c r="F374" s="596">
        <v>7890.6440000000002</v>
      </c>
      <c r="G374" s="15">
        <v>97253.04</v>
      </c>
      <c r="H374" t="s">
        <v>229</v>
      </c>
      <c r="I374" s="594">
        <f t="shared" si="11"/>
        <v>7890.6440000000002</v>
      </c>
    </row>
    <row r="375" spans="1:10">
      <c r="A375" t="s">
        <v>57</v>
      </c>
      <c r="B375" t="s">
        <v>290</v>
      </c>
      <c r="C375">
        <v>55969</v>
      </c>
      <c r="D375" t="s">
        <v>291</v>
      </c>
      <c r="E375" s="691">
        <v>2022</v>
      </c>
      <c r="F375" s="596">
        <v>28069.080999999998</v>
      </c>
      <c r="G375" s="15">
        <v>345937.52299999999</v>
      </c>
      <c r="H375" t="s">
        <v>229</v>
      </c>
      <c r="I375" s="594">
        <f t="shared" si="11"/>
        <v>28069.080999999998</v>
      </c>
    </row>
    <row r="376" spans="1:10">
      <c r="A376" t="s">
        <v>57</v>
      </c>
      <c r="B376" t="s">
        <v>4000</v>
      </c>
      <c r="C376">
        <v>56032</v>
      </c>
      <c r="D376">
        <v>1</v>
      </c>
      <c r="E376" s="691">
        <v>2022</v>
      </c>
      <c r="F376" s="596">
        <v>39009.158000000003</v>
      </c>
      <c r="G376" s="15">
        <v>655982.29099999997</v>
      </c>
      <c r="H376" t="s">
        <v>229</v>
      </c>
      <c r="I376" s="594">
        <f t="shared" si="11"/>
        <v>39009.158000000003</v>
      </c>
      <c r="J376" s="20"/>
    </row>
    <row r="377" spans="1:10">
      <c r="A377" t="s">
        <v>57</v>
      </c>
      <c r="B377" t="s">
        <v>302</v>
      </c>
      <c r="C377">
        <v>56188</v>
      </c>
      <c r="D377">
        <v>1</v>
      </c>
      <c r="E377" s="691">
        <v>2022</v>
      </c>
      <c r="F377" s="596">
        <v>81543.668999999994</v>
      </c>
      <c r="G377" s="15">
        <v>1369376.3389999999</v>
      </c>
      <c r="H377" t="s">
        <v>232</v>
      </c>
      <c r="I377" s="594">
        <f t="shared" si="11"/>
        <v>81543.668999999994</v>
      </c>
      <c r="J377" s="20"/>
    </row>
    <row r="378" spans="1:10">
      <c r="A378" t="s">
        <v>57</v>
      </c>
      <c r="B378" t="s">
        <v>303</v>
      </c>
      <c r="C378">
        <v>56196</v>
      </c>
      <c r="D378" t="s">
        <v>304</v>
      </c>
      <c r="E378" s="691">
        <v>2022</v>
      </c>
      <c r="F378" s="596">
        <v>577911.91200000001</v>
      </c>
      <c r="G378" s="15">
        <v>9506587.5460000001</v>
      </c>
      <c r="H378" t="s">
        <v>232</v>
      </c>
      <c r="I378" s="594">
        <f t="shared" si="11"/>
        <v>577911.91200000001</v>
      </c>
    </row>
    <row r="379" spans="1:10">
      <c r="A379" t="s">
        <v>57</v>
      </c>
      <c r="B379" t="s">
        <v>303</v>
      </c>
      <c r="C379">
        <v>56196</v>
      </c>
      <c r="D379" t="s">
        <v>305</v>
      </c>
      <c r="E379" s="691">
        <v>2022</v>
      </c>
      <c r="F379" s="596">
        <v>540319.93200000003</v>
      </c>
      <c r="G379" s="15">
        <v>8914639.1129999999</v>
      </c>
      <c r="H379" t="s">
        <v>232</v>
      </c>
      <c r="I379" s="594">
        <f t="shared" si="11"/>
        <v>540319.93200000003</v>
      </c>
    </row>
    <row r="380" spans="1:10">
      <c r="A380" t="s">
        <v>57</v>
      </c>
      <c r="B380" t="s">
        <v>437</v>
      </c>
      <c r="C380">
        <v>56234</v>
      </c>
      <c r="D380">
        <v>1</v>
      </c>
      <c r="E380" s="691">
        <v>2022</v>
      </c>
      <c r="F380" s="596">
        <v>918973.37100000004</v>
      </c>
      <c r="G380" s="15">
        <v>15432437.857999999</v>
      </c>
      <c r="H380" t="s">
        <v>232</v>
      </c>
      <c r="I380" s="594">
        <f t="shared" si="11"/>
        <v>918973.37100000004</v>
      </c>
      <c r="J380" s="20"/>
    </row>
    <row r="381" spans="1:10">
      <c r="A381" t="s">
        <v>57</v>
      </c>
      <c r="B381" t="s">
        <v>2260</v>
      </c>
      <c r="C381">
        <v>56259</v>
      </c>
      <c r="D381" t="s">
        <v>1072</v>
      </c>
      <c r="E381" s="691">
        <v>2022</v>
      </c>
      <c r="F381" s="656">
        <v>688319.16799999995</v>
      </c>
      <c r="G381" s="656">
        <v>11534257.848999999</v>
      </c>
      <c r="H381" t="s">
        <v>232</v>
      </c>
      <c r="I381" s="594"/>
      <c r="J381" s="20" t="s">
        <v>1653</v>
      </c>
    </row>
    <row r="382" spans="1:10">
      <c r="A382" t="s">
        <v>57</v>
      </c>
      <c r="B382" t="s">
        <v>2260</v>
      </c>
      <c r="C382">
        <v>56259</v>
      </c>
      <c r="D382" t="s">
        <v>1073</v>
      </c>
      <c r="E382" s="691">
        <v>2022</v>
      </c>
      <c r="F382" s="656">
        <v>751552.78700000001</v>
      </c>
      <c r="G382" s="656">
        <v>12575796.718</v>
      </c>
      <c r="H382" t="s">
        <v>232</v>
      </c>
      <c r="I382" s="594"/>
      <c r="J382" s="20" t="s">
        <v>1653</v>
      </c>
    </row>
    <row r="383" spans="1:10">
      <c r="A383" t="s">
        <v>57</v>
      </c>
      <c r="B383" t="s">
        <v>2261</v>
      </c>
      <c r="C383">
        <v>56940</v>
      </c>
      <c r="D383">
        <v>1</v>
      </c>
      <c r="E383" s="691">
        <v>2022</v>
      </c>
      <c r="F383" s="657">
        <v>989166.48400000005</v>
      </c>
      <c r="G383" s="656">
        <v>16921042.359000001</v>
      </c>
      <c r="H383" t="s">
        <v>232</v>
      </c>
      <c r="I383" s="594">
        <f t="shared" si="11"/>
        <v>989166.48400000005</v>
      </c>
      <c r="J383" s="20"/>
    </row>
    <row r="384" spans="1:10">
      <c r="A384" t="s">
        <v>57</v>
      </c>
      <c r="B384" t="s">
        <v>2261</v>
      </c>
      <c r="C384">
        <v>56940</v>
      </c>
      <c r="D384">
        <v>2</v>
      </c>
      <c r="E384" s="691">
        <v>2022</v>
      </c>
      <c r="F384" s="657">
        <v>964425.64300000004</v>
      </c>
      <c r="G384" s="656">
        <v>16484655.698000001</v>
      </c>
      <c r="H384" t="s">
        <v>232</v>
      </c>
      <c r="I384" s="594">
        <f t="shared" si="11"/>
        <v>964425.64300000004</v>
      </c>
    </row>
    <row r="385" spans="1:10">
      <c r="A385" t="s">
        <v>57</v>
      </c>
      <c r="B385" t="s">
        <v>3019</v>
      </c>
      <c r="C385">
        <v>57185</v>
      </c>
      <c r="D385" t="s">
        <v>3020</v>
      </c>
      <c r="E385" s="691">
        <v>2022</v>
      </c>
      <c r="F385" s="657">
        <v>710360.96400000004</v>
      </c>
      <c r="G385" s="656">
        <v>11952846.732000001</v>
      </c>
      <c r="H385" t="s">
        <v>232</v>
      </c>
      <c r="I385" s="594">
        <f t="shared" si="11"/>
        <v>710360.96400000004</v>
      </c>
      <c r="J385" s="20"/>
    </row>
    <row r="386" spans="1:10">
      <c r="A386" t="s">
        <v>57</v>
      </c>
      <c r="B386" t="s">
        <v>3019</v>
      </c>
      <c r="C386">
        <v>57185</v>
      </c>
      <c r="D386" t="s">
        <v>3021</v>
      </c>
      <c r="E386" s="691">
        <v>2022</v>
      </c>
      <c r="F386" s="657">
        <v>781263.45600000001</v>
      </c>
      <c r="G386" s="656">
        <v>13145838.203</v>
      </c>
      <c r="H386" t="s">
        <v>232</v>
      </c>
      <c r="I386" s="594">
        <f t="shared" si="11"/>
        <v>781263.45600000001</v>
      </c>
      <c r="J386" s="20"/>
    </row>
    <row r="387" spans="1:10">
      <c r="A387" t="s">
        <v>57</v>
      </c>
      <c r="B387" t="s">
        <v>3019</v>
      </c>
      <c r="C387">
        <v>57185</v>
      </c>
      <c r="D387" t="s">
        <v>3022</v>
      </c>
      <c r="E387" s="691">
        <v>2022</v>
      </c>
      <c r="F387" s="657">
        <v>767974.43599999999</v>
      </c>
      <c r="G387" s="656">
        <v>12922157.529999999</v>
      </c>
      <c r="H387" t="s">
        <v>232</v>
      </c>
      <c r="I387" s="594">
        <f t="shared" si="11"/>
        <v>767974.43599999999</v>
      </c>
      <c r="J387" s="20"/>
    </row>
    <row r="388" spans="1:10">
      <c r="A388" s="746" t="s">
        <v>130</v>
      </c>
      <c r="B388" t="s">
        <v>2262</v>
      </c>
      <c r="C388">
        <v>3236</v>
      </c>
      <c r="D388">
        <v>10</v>
      </c>
      <c r="E388" s="691">
        <v>2022</v>
      </c>
      <c r="F388" s="596">
        <v>168346.3</v>
      </c>
      <c r="G388" s="15">
        <v>2831022.5750000002</v>
      </c>
      <c r="H388" t="s">
        <v>232</v>
      </c>
      <c r="I388" s="594">
        <f t="shared" ref="I388:I401" si="12">F388</f>
        <v>168346.3</v>
      </c>
    </row>
    <row r="389" spans="1:10">
      <c r="A389" t="s">
        <v>130</v>
      </c>
      <c r="B389" t="s">
        <v>2262</v>
      </c>
      <c r="C389">
        <v>3236</v>
      </c>
      <c r="D389">
        <v>11</v>
      </c>
      <c r="E389" s="691">
        <v>2022</v>
      </c>
      <c r="F389" s="596">
        <v>184151.92499999999</v>
      </c>
      <c r="G389" s="15">
        <v>3086873.7</v>
      </c>
      <c r="H389" t="s">
        <v>232</v>
      </c>
      <c r="I389" s="594">
        <f t="shared" si="12"/>
        <v>184151.92499999999</v>
      </c>
    </row>
    <row r="390" spans="1:10">
      <c r="A390" t="s">
        <v>130</v>
      </c>
      <c r="B390" t="s">
        <v>2262</v>
      </c>
      <c r="C390">
        <v>3236</v>
      </c>
      <c r="D390">
        <v>9</v>
      </c>
      <c r="E390" s="691">
        <v>2022</v>
      </c>
      <c r="F390" s="596">
        <v>157729</v>
      </c>
      <c r="G390" s="15">
        <v>2583790.3250000002</v>
      </c>
      <c r="H390" t="s">
        <v>232</v>
      </c>
      <c r="I390" s="594">
        <f t="shared" si="12"/>
        <v>157729</v>
      </c>
    </row>
    <row r="391" spans="1:10">
      <c r="A391" t="s">
        <v>130</v>
      </c>
      <c r="B391" t="s">
        <v>133</v>
      </c>
      <c r="C391">
        <v>51030</v>
      </c>
      <c r="D391">
        <v>1</v>
      </c>
      <c r="E391" s="691">
        <v>2022</v>
      </c>
      <c r="F391" s="596">
        <v>198593.82199999999</v>
      </c>
      <c r="G391" s="15">
        <v>3282649.554</v>
      </c>
      <c r="H391" t="s">
        <v>232</v>
      </c>
      <c r="I391" s="594">
        <f t="shared" si="12"/>
        <v>198593.82199999999</v>
      </c>
    </row>
    <row r="392" spans="1:10">
      <c r="A392" t="s">
        <v>130</v>
      </c>
      <c r="B392" t="s">
        <v>133</v>
      </c>
      <c r="C392">
        <v>51030</v>
      </c>
      <c r="D392">
        <v>2</v>
      </c>
      <c r="E392" s="691">
        <v>2022</v>
      </c>
      <c r="F392" s="596">
        <v>186279.443</v>
      </c>
      <c r="G392" s="15">
        <v>3083048.5440000002</v>
      </c>
      <c r="H392" t="s">
        <v>232</v>
      </c>
      <c r="I392" s="594">
        <f t="shared" si="12"/>
        <v>186279.443</v>
      </c>
    </row>
    <row r="393" spans="1:10">
      <c r="A393" t="s">
        <v>130</v>
      </c>
      <c r="B393" t="s">
        <v>22</v>
      </c>
      <c r="C393">
        <v>54324</v>
      </c>
      <c r="D393">
        <v>3</v>
      </c>
      <c r="E393" s="691">
        <v>2022</v>
      </c>
      <c r="F393" s="596">
        <v>174872.28899999999</v>
      </c>
      <c r="G393" s="15">
        <v>2941379.2719999999</v>
      </c>
      <c r="H393" t="s">
        <v>232</v>
      </c>
      <c r="I393" s="594">
        <f t="shared" si="12"/>
        <v>174872.28899999999</v>
      </c>
    </row>
    <row r="394" spans="1:10">
      <c r="A394" t="s">
        <v>130</v>
      </c>
      <c r="B394" t="s">
        <v>22</v>
      </c>
      <c r="C394">
        <v>54324</v>
      </c>
      <c r="D394">
        <v>4</v>
      </c>
      <c r="E394" s="691">
        <v>2022</v>
      </c>
      <c r="F394" s="596">
        <v>179756.80300000001</v>
      </c>
      <c r="G394" s="15">
        <v>3023677.8330000001</v>
      </c>
      <c r="H394" t="s">
        <v>232</v>
      </c>
      <c r="I394" s="594">
        <f t="shared" si="12"/>
        <v>179756.80300000001</v>
      </c>
    </row>
    <row r="395" spans="1:10">
      <c r="A395" t="s">
        <v>130</v>
      </c>
      <c r="B395" t="s">
        <v>1152</v>
      </c>
      <c r="C395">
        <v>55048</v>
      </c>
      <c r="D395">
        <v>1</v>
      </c>
      <c r="E395" s="691">
        <v>2022</v>
      </c>
      <c r="F395" s="596">
        <v>446483.64299999998</v>
      </c>
      <c r="G395" s="15">
        <v>7513015.0089999996</v>
      </c>
      <c r="H395" t="s">
        <v>232</v>
      </c>
      <c r="I395" s="594">
        <f t="shared" si="12"/>
        <v>446483.64299999998</v>
      </c>
    </row>
    <row r="396" spans="1:10">
      <c r="A396" t="s">
        <v>130</v>
      </c>
      <c r="B396" t="s">
        <v>1778</v>
      </c>
      <c r="C396">
        <v>55107</v>
      </c>
      <c r="D396" t="s">
        <v>317</v>
      </c>
      <c r="E396" s="691">
        <v>2022</v>
      </c>
      <c r="F396" s="596">
        <v>686549.19200000004</v>
      </c>
      <c r="G396" s="15">
        <v>11552502.267000001</v>
      </c>
      <c r="H396" t="s">
        <v>232</v>
      </c>
      <c r="I396" s="594">
        <f t="shared" si="12"/>
        <v>686549.19200000004</v>
      </c>
    </row>
    <row r="397" spans="1:10">
      <c r="A397" t="s">
        <v>130</v>
      </c>
      <c r="B397" t="s">
        <v>1778</v>
      </c>
      <c r="C397">
        <v>55107</v>
      </c>
      <c r="D397" t="s">
        <v>318</v>
      </c>
      <c r="E397" s="691">
        <v>2022</v>
      </c>
      <c r="F397" s="596">
        <v>686087.02800000005</v>
      </c>
      <c r="G397" s="15">
        <v>11544716.865</v>
      </c>
      <c r="H397" t="s">
        <v>232</v>
      </c>
      <c r="I397" s="594">
        <f t="shared" si="12"/>
        <v>686087.02800000005</v>
      </c>
    </row>
    <row r="398" spans="1:10">
      <c r="A398" s="746" t="s">
        <v>89</v>
      </c>
      <c r="B398" t="s">
        <v>549</v>
      </c>
      <c r="C398">
        <v>3734</v>
      </c>
      <c r="D398" t="s">
        <v>280</v>
      </c>
      <c r="E398" s="691">
        <v>2022</v>
      </c>
      <c r="F398" s="596">
        <v>2070.6</v>
      </c>
      <c r="G398" s="15">
        <v>25549.9</v>
      </c>
      <c r="H398" t="s">
        <v>229</v>
      </c>
      <c r="I398" s="594">
        <f t="shared" si="12"/>
        <v>2070.6</v>
      </c>
    </row>
    <row r="399" spans="1:10">
      <c r="A399" t="s">
        <v>89</v>
      </c>
      <c r="B399" t="s">
        <v>549</v>
      </c>
      <c r="C399">
        <v>3734</v>
      </c>
      <c r="D399" t="s">
        <v>281</v>
      </c>
      <c r="E399" s="691">
        <v>2022</v>
      </c>
      <c r="F399" s="596">
        <v>1309.8</v>
      </c>
      <c r="G399" s="15">
        <v>16183.1</v>
      </c>
      <c r="H399" t="s">
        <v>229</v>
      </c>
      <c r="I399" s="594">
        <f t="shared" si="12"/>
        <v>1309.8</v>
      </c>
    </row>
    <row r="400" spans="1:10">
      <c r="A400" t="s">
        <v>89</v>
      </c>
      <c r="B400" t="s">
        <v>2081</v>
      </c>
      <c r="C400">
        <v>3754</v>
      </c>
      <c r="D400" t="s">
        <v>267</v>
      </c>
      <c r="E400" s="691">
        <v>2022</v>
      </c>
      <c r="F400" s="596">
        <v>261.89999999999998</v>
      </c>
      <c r="G400" s="15">
        <v>3228.8</v>
      </c>
      <c r="H400" t="s">
        <v>229</v>
      </c>
      <c r="I400" s="594">
        <f t="shared" si="12"/>
        <v>261.89999999999998</v>
      </c>
    </row>
    <row r="401" spans="1:11">
      <c r="A401" t="s">
        <v>89</v>
      </c>
      <c r="B401" t="s">
        <v>2081</v>
      </c>
      <c r="C401">
        <v>3754</v>
      </c>
      <c r="D401" t="s">
        <v>268</v>
      </c>
      <c r="E401" s="691">
        <v>2022</v>
      </c>
      <c r="F401" s="596">
        <v>261.10000000000002</v>
      </c>
      <c r="G401" s="15">
        <v>3214.6</v>
      </c>
      <c r="H401" t="s">
        <v>229</v>
      </c>
      <c r="I401" s="594">
        <f t="shared" si="12"/>
        <v>261.10000000000002</v>
      </c>
    </row>
    <row r="402" spans="1:11">
      <c r="F402" s="15"/>
      <c r="G402" s="15"/>
      <c r="I402" s="594"/>
    </row>
    <row r="403" spans="1:11">
      <c r="F403" s="15"/>
      <c r="G403" s="15"/>
      <c r="I403" s="594"/>
    </row>
    <row r="404" spans="1:11">
      <c r="F404" s="15">
        <f>SUBTOTAL(9,F2:F401)</f>
        <v>55530173.174999982</v>
      </c>
      <c r="G404" s="15">
        <f>SUBTOTAL(9,G2:G401)</f>
        <v>916929056.49699974</v>
      </c>
      <c r="I404" s="594"/>
    </row>
    <row r="405" spans="1:11">
      <c r="F405" s="15"/>
      <c r="I405" s="594"/>
      <c r="J405" s="163"/>
    </row>
    <row r="406" spans="1:11" ht="13">
      <c r="F406" s="18" t="s">
        <v>321</v>
      </c>
      <c r="H406" s="39" t="s">
        <v>41</v>
      </c>
      <c r="I406" s="594">
        <f>SUMIF(A$2:A$401,"=CT",I$2:I$401)</f>
        <v>9848063.6530000009</v>
      </c>
      <c r="J406" s="152"/>
    </row>
    <row r="407" spans="1:11" ht="13">
      <c r="F407" s="18"/>
      <c r="H407" s="39" t="s">
        <v>81</v>
      </c>
      <c r="I407" s="594">
        <f>SUMIF(A$2:A$401,"=MA",I$2:I$401)</f>
        <v>6438353.6949999994</v>
      </c>
      <c r="J407" s="152"/>
    </row>
    <row r="408" spans="1:11" ht="13">
      <c r="A408" s="39" t="s">
        <v>2705</v>
      </c>
      <c r="F408" s="19"/>
      <c r="H408" s="39" t="s">
        <v>90</v>
      </c>
      <c r="I408" s="594">
        <f>SUMIF(A$2:A$401,"=ME",I$2:I$401)</f>
        <v>1721432.8229999999</v>
      </c>
      <c r="J408" s="152"/>
    </row>
    <row r="409" spans="1:11" ht="13">
      <c r="A409" t="s">
        <v>330</v>
      </c>
      <c r="C409" s="25"/>
      <c r="H409" s="39" t="s">
        <v>96</v>
      </c>
      <c r="I409" s="594">
        <f>SUMIF(A$2:A$401,"=NH",I$2:I$401)</f>
        <v>2598834.4220000003</v>
      </c>
      <c r="J409" s="152"/>
    </row>
    <row r="410" spans="1:11" ht="13">
      <c r="A410" t="s">
        <v>329</v>
      </c>
      <c r="H410" s="39" t="s">
        <v>57</v>
      </c>
      <c r="I410" s="595">
        <f>SUMIF(A$2:A$401,"=NY",I$2:I$401)</f>
        <v>22624960.248000007</v>
      </c>
      <c r="J410" s="152"/>
      <c r="K410" s="105"/>
    </row>
    <row r="411" spans="1:11" ht="13">
      <c r="A411" s="20" t="s">
        <v>434</v>
      </c>
      <c r="H411" s="39" t="s">
        <v>130</v>
      </c>
      <c r="I411" s="594">
        <f>SUMIF(A$2:A$401,"=RI",I$2:I$401)</f>
        <v>3068849.4450000003</v>
      </c>
      <c r="J411" s="152"/>
    </row>
    <row r="412" spans="1:11" ht="13">
      <c r="B412" s="591" t="s">
        <v>3590</v>
      </c>
      <c r="H412" s="39" t="s">
        <v>89</v>
      </c>
      <c r="I412" s="594">
        <f>SUMIF(A$2:A$401,"=VT",I$2:I$401)</f>
        <v>3903.3999999999996</v>
      </c>
      <c r="J412" s="152"/>
    </row>
    <row r="413" spans="1:11" ht="13">
      <c r="H413" s="39" t="s">
        <v>187</v>
      </c>
      <c r="I413" s="594">
        <f>SUM(I406:I412)</f>
        <v>46304397.686000004</v>
      </c>
      <c r="J413" s="152"/>
    </row>
    <row r="414" spans="1:11" ht="13">
      <c r="H414" s="39"/>
      <c r="I414" s="594"/>
      <c r="J414" s="152"/>
    </row>
  </sheetData>
  <autoFilter ref="A1:J401" xr:uid="{00000000-0009-0000-0000-000005000000}">
    <sortState xmlns:xlrd2="http://schemas.microsoft.com/office/spreadsheetml/2017/richdata2" ref="A2:J53">
      <sortCondition ref="C1:C401"/>
    </sortState>
  </autoFilter>
  <phoneticPr fontId="8" type="noConversion"/>
  <hyperlinks>
    <hyperlink ref="B412" r:id="rId1" xr:uid="{00000000-0004-0000-0500-000000000000}"/>
  </hyperlinks>
  <pageMargins left="0" right="0" top="1" bottom="1" header="0.5" footer="0.5"/>
  <pageSetup scale="43" fitToHeight="0" orientation="portrait" r:id="rId2"/>
  <headerFooter alignWithMargins="0">
    <oddFooter>&amp;R&amp;A 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theme="6" tint="0.39997558519241921"/>
    <pageSetUpPr fitToPage="1"/>
  </sheetPr>
  <dimension ref="A1:Q429"/>
  <sheetViews>
    <sheetView zoomScaleNormal="100" workbookViewId="0"/>
  </sheetViews>
  <sheetFormatPr defaultColWidth="8.81640625" defaultRowHeight="12.5"/>
  <cols>
    <col min="1" max="1" width="40.81640625" customWidth="1"/>
    <col min="2" max="2" width="21" customWidth="1"/>
    <col min="3" max="3" width="3.453125" customWidth="1"/>
    <col min="4" max="4" width="40.453125" customWidth="1"/>
    <col min="5" max="5" width="12.453125" customWidth="1"/>
    <col min="6" max="6" width="15" customWidth="1"/>
    <col min="7" max="7" width="3.453125" customWidth="1"/>
    <col min="8" max="8" width="17.453125" customWidth="1"/>
    <col min="9" max="9" width="3.453125" customWidth="1"/>
    <col min="10" max="10" width="12.453125" customWidth="1"/>
    <col min="11" max="11" width="16.453125" customWidth="1"/>
    <col min="12" max="12" width="3.453125" customWidth="1"/>
    <col min="13" max="13" width="12" customWidth="1"/>
    <col min="14" max="14" width="13.453125" customWidth="1"/>
    <col min="15" max="15" width="8.81640625" customWidth="1"/>
    <col min="16" max="16" width="26.453125" customWidth="1"/>
    <col min="17" max="17" width="26.81640625" customWidth="1"/>
  </cols>
  <sheetData>
    <row r="1" spans="1:14" ht="24" customHeight="1">
      <c r="A1" s="103" t="s">
        <v>2699</v>
      </c>
    </row>
    <row r="2" spans="1:14">
      <c r="A2" s="20" t="s">
        <v>2592</v>
      </c>
    </row>
    <row r="3" spans="1:14">
      <c r="A3" s="20" t="s">
        <v>3014</v>
      </c>
    </row>
    <row r="4" spans="1:14">
      <c r="A4" s="20" t="s">
        <v>2672</v>
      </c>
    </row>
    <row r="5" spans="1:14">
      <c r="A5" s="20"/>
    </row>
    <row r="6" spans="1:14">
      <c r="A6" s="20" t="s">
        <v>2585</v>
      </c>
    </row>
    <row r="7" spans="1:14">
      <c r="A7" s="20" t="s">
        <v>2638</v>
      </c>
    </row>
    <row r="8" spans="1:14">
      <c r="A8" s="20"/>
    </row>
    <row r="9" spans="1:14" ht="15.5">
      <c r="A9" s="248" t="s">
        <v>2671</v>
      </c>
    </row>
    <row r="10" spans="1:14">
      <c r="A10" s="20" t="s">
        <v>2692</v>
      </c>
    </row>
    <row r="11" spans="1:14">
      <c r="A11" s="20" t="s">
        <v>2693</v>
      </c>
    </row>
    <row r="12" spans="1:14">
      <c r="A12" s="20" t="s">
        <v>2694</v>
      </c>
    </row>
    <row r="13" spans="1:14">
      <c r="A13" s="655" t="s">
        <v>3942</v>
      </c>
    </row>
    <row r="14" spans="1:14" ht="13">
      <c r="A14" s="797" t="s">
        <v>1528</v>
      </c>
      <c r="B14" s="797"/>
      <c r="D14" s="790" t="s">
        <v>203</v>
      </c>
      <c r="E14" s="790"/>
      <c r="F14" s="790"/>
      <c r="G14" s="28"/>
      <c r="H14" s="790" t="s">
        <v>203</v>
      </c>
      <c r="I14" s="790"/>
      <c r="J14" s="790" t="s">
        <v>203</v>
      </c>
      <c r="K14" s="790"/>
      <c r="L14" s="28"/>
      <c r="M14" s="790" t="s">
        <v>203</v>
      </c>
      <c r="N14" s="790"/>
    </row>
    <row r="15" spans="1:14" ht="13">
      <c r="A15" s="797">
        <v>2022</v>
      </c>
      <c r="B15" s="797"/>
      <c r="D15" s="790" t="s">
        <v>204</v>
      </c>
      <c r="E15" s="790"/>
      <c r="F15" s="790"/>
      <c r="G15" s="77"/>
      <c r="H15" s="790" t="s">
        <v>205</v>
      </c>
      <c r="I15" s="790"/>
      <c r="J15" s="790" t="s">
        <v>206</v>
      </c>
      <c r="K15" s="790"/>
      <c r="L15" s="28"/>
      <c r="M15" s="790" t="s">
        <v>207</v>
      </c>
      <c r="N15" s="790"/>
    </row>
    <row r="16" spans="1:14" s="12" customFormat="1" ht="43.5" customHeight="1">
      <c r="A16" s="226"/>
      <c r="B16" s="227" t="s">
        <v>327</v>
      </c>
      <c r="D16" s="78" t="s">
        <v>208</v>
      </c>
      <c r="E16" s="78" t="s">
        <v>209</v>
      </c>
      <c r="F16" s="78" t="s">
        <v>2481</v>
      </c>
      <c r="G16" s="28"/>
      <c r="H16" s="65" t="s">
        <v>325</v>
      </c>
      <c r="I16" s="77"/>
      <c r="J16" s="65" t="s">
        <v>326</v>
      </c>
      <c r="K16" s="65" t="s">
        <v>327</v>
      </c>
      <c r="L16" s="77"/>
      <c r="M16" s="65" t="s">
        <v>328</v>
      </c>
      <c r="N16" s="65" t="s">
        <v>327</v>
      </c>
    </row>
    <row r="17" spans="1:14" s="12" customFormat="1" ht="15" customHeight="1">
      <c r="A17" s="228" t="s">
        <v>211</v>
      </c>
      <c r="B17" s="229">
        <f>SUM(B18:B22)</f>
        <v>-135979589.44127262</v>
      </c>
      <c r="D17" s="65" t="s">
        <v>212</v>
      </c>
      <c r="E17" s="77"/>
      <c r="F17" s="65"/>
      <c r="G17" s="79"/>
      <c r="H17" s="77"/>
      <c r="I17" s="77"/>
      <c r="J17" s="77"/>
      <c r="K17" s="77"/>
      <c r="L17" s="77"/>
      <c r="M17" s="77"/>
      <c r="N17" s="77"/>
    </row>
    <row r="18" spans="1:14">
      <c r="A18" s="213" t="s">
        <v>1377</v>
      </c>
      <c r="B18" s="230">
        <f>H22</f>
        <v>-130544091.2077512</v>
      </c>
      <c r="D18" s="80" t="s">
        <v>375</v>
      </c>
      <c r="E18" s="93" t="s">
        <v>46</v>
      </c>
      <c r="F18" s="94">
        <f>'GIS Heat Input'!H16</f>
        <v>-4117.1469683095993</v>
      </c>
      <c r="G18" s="28"/>
      <c r="H18" s="79">
        <f>F18*'GWPs &amp; Fuel EFs'!$N$7</f>
        <v>-672949.84088322683</v>
      </c>
      <c r="I18" s="28"/>
      <c r="J18" s="79">
        <f>F18*'GWPs &amp; Fuel EFs'!$M$35</f>
        <v>-27.230266008599298</v>
      </c>
      <c r="K18" s="79">
        <f>J18*'GWPs &amp; Fuel EFs'!$D$11</f>
        <v>-680.75665021498241</v>
      </c>
      <c r="L18" s="28"/>
      <c r="M18" s="79">
        <f>F18*'GWPs &amp; Fuel EFs'!$M$63</f>
        <v>-5.4460532017198586</v>
      </c>
      <c r="N18" s="79">
        <f>M18*'GWPs &amp; Fuel EFs'!$E$11</f>
        <v>-1622.9238541125178</v>
      </c>
    </row>
    <row r="19" spans="1:14">
      <c r="A19" s="213" t="s">
        <v>213</v>
      </c>
      <c r="B19" s="230">
        <f>K21</f>
        <v>-1059623.07411646</v>
      </c>
      <c r="D19" s="80" t="s">
        <v>374</v>
      </c>
      <c r="E19" s="93" t="s">
        <v>39</v>
      </c>
      <c r="F19" s="94">
        <f>'GIS Heat Input'!H17</f>
        <v>-3619.3479364680629</v>
      </c>
      <c r="G19" s="28"/>
      <c r="H19" s="79">
        <f>F19*'GWPs &amp; Fuel EFs'!$N$8</f>
        <v>-422184.06711160694</v>
      </c>
      <c r="I19" s="28"/>
      <c r="J19" s="79">
        <f>F19*'GWPs &amp; Fuel EFs'!$M$36</f>
        <v>-7.9792963303878146</v>
      </c>
      <c r="K19" s="79">
        <f>J19*'GWPs &amp; Fuel EFs'!$D$11</f>
        <v>-199.48240825969538</v>
      </c>
      <c r="L19" s="28"/>
      <c r="M19" s="79">
        <f>F19*'GWPs &amp; Fuel EFs'!$M$64</f>
        <v>-0.79792963303878139</v>
      </c>
      <c r="N19" s="79">
        <f>M19*'GWPs &amp; Fuel EFs'!$E$11</f>
        <v>-237.78303064555686</v>
      </c>
    </row>
    <row r="20" spans="1:14">
      <c r="A20" s="213" t="s">
        <v>214</v>
      </c>
      <c r="B20" s="230">
        <f>N21</f>
        <v>-1684555.9860702499</v>
      </c>
      <c r="D20" s="80" t="s">
        <v>388</v>
      </c>
      <c r="E20" s="93" t="s">
        <v>17</v>
      </c>
      <c r="F20" s="94">
        <f>'GIS Heat Input'!H18</f>
        <v>-638845.59809023445</v>
      </c>
      <c r="G20" s="28"/>
      <c r="H20" s="79">
        <f>F20*'GWPs &amp; Fuel EFs'!$N$9</f>
        <v>-129448957.29975636</v>
      </c>
      <c r="I20" s="28"/>
      <c r="J20" s="79">
        <f>F20*'GWPs &amp; Fuel EFs'!$M$37</f>
        <v>-42349.713402319408</v>
      </c>
      <c r="K20" s="79">
        <f>J20*'GWPs &amp; Fuel EFs'!$D$11</f>
        <v>-1058742.8350579853</v>
      </c>
      <c r="L20" s="28"/>
      <c r="M20" s="79">
        <f>F20*'GWPs &amp; Fuel EFs'!$M$65</f>
        <v>-5646.6284536425901</v>
      </c>
      <c r="N20" s="79">
        <f>M20*'GWPs &amp; Fuel EFs'!$E$11</f>
        <v>-1682695.2791854918</v>
      </c>
    </row>
    <row r="21" spans="1:14">
      <c r="A21" s="213" t="s">
        <v>215</v>
      </c>
      <c r="B21" s="230">
        <f>K29</f>
        <v>-603394.80381625192</v>
      </c>
      <c r="D21" s="134" t="s">
        <v>3001</v>
      </c>
      <c r="E21" s="135" t="s">
        <v>2998</v>
      </c>
      <c r="F21" s="630" t="s">
        <v>3272</v>
      </c>
      <c r="G21" s="28"/>
      <c r="H21" s="142">
        <f>(-GIS!Q100)*'GWPs &amp; Fuel EFs'!$E$34</f>
        <v>0</v>
      </c>
      <c r="I21" s="28"/>
      <c r="J21" s="79"/>
      <c r="K21" s="82">
        <f>SUM(K18:K20)</f>
        <v>-1059623.07411646</v>
      </c>
      <c r="L21" s="28"/>
      <c r="M21" s="79"/>
      <c r="N21" s="82">
        <f>SUM(N18:N20)</f>
        <v>-1684555.9860702499</v>
      </c>
    </row>
    <row r="22" spans="1:14">
      <c r="A22" s="213" t="s">
        <v>216</v>
      </c>
      <c r="B22" s="230">
        <f>N29</f>
        <v>-2087924.3695184502</v>
      </c>
      <c r="D22" s="80"/>
      <c r="E22" s="81"/>
      <c r="F22" s="82"/>
      <c r="H22" s="82">
        <f>SUM(H18:H21)</f>
        <v>-130544091.2077512</v>
      </c>
    </row>
    <row r="23" spans="1:14" ht="12" customHeight="1">
      <c r="A23" s="213"/>
      <c r="B23" s="213"/>
    </row>
    <row r="24" spans="1:14" ht="12.75" customHeight="1">
      <c r="A24" s="231" t="s">
        <v>217</v>
      </c>
      <c r="B24" s="229">
        <f>H29</f>
        <v>78435007.221190855</v>
      </c>
      <c r="D24" s="65" t="s">
        <v>218</v>
      </c>
      <c r="E24" s="28"/>
      <c r="F24" s="28"/>
      <c r="G24" s="28"/>
      <c r="H24" s="82"/>
      <c r="I24" s="28"/>
      <c r="J24" s="79"/>
      <c r="K24" s="82"/>
      <c r="L24" s="28"/>
      <c r="M24" s="79"/>
      <c r="N24" s="82"/>
    </row>
    <row r="25" spans="1:14" ht="12.75" customHeight="1">
      <c r="A25" s="213"/>
      <c r="B25" s="213"/>
      <c r="D25" s="80" t="s">
        <v>382</v>
      </c>
      <c r="E25" s="93" t="s">
        <v>63</v>
      </c>
      <c r="F25" s="94">
        <f>'GIS Heat Input'!H20</f>
        <v>3066702.1017834796</v>
      </c>
      <c r="G25" s="28"/>
      <c r="H25" s="79">
        <f>F25*'GWPs &amp; Fuel EFs'!$N$20</f>
        <v>352041147.22202438</v>
      </c>
      <c r="I25" s="28"/>
      <c r="J25" s="79">
        <f>F25*'GWPs &amp; Fuel EFs'!$M$48</f>
        <v>21634.946631658884</v>
      </c>
      <c r="K25" s="79">
        <f>J25*'GWPs &amp; Fuel EFs'!$D$11</f>
        <v>540873.66579147207</v>
      </c>
      <c r="L25" s="28"/>
      <c r="M25" s="79">
        <f>F25*'GWPs &amp; Fuel EFs'!$M$76</f>
        <v>4259.3801181078425</v>
      </c>
      <c r="N25" s="79">
        <f>M25*'GWPs &amp; Fuel EFs'!$E$11</f>
        <v>1269295.2751961371</v>
      </c>
    </row>
    <row r="26" spans="1:14" ht="12" customHeight="1">
      <c r="A26" s="213"/>
      <c r="B26" s="232"/>
      <c r="D26" s="80" t="s">
        <v>385</v>
      </c>
      <c r="E26" s="93" t="s">
        <v>16</v>
      </c>
      <c r="F26" s="94">
        <f>'GIS Heat Input'!H21</f>
        <v>-522685.43036892347</v>
      </c>
      <c r="G26" s="28"/>
      <c r="H26" s="79">
        <f>F26*'GWPs &amp; Fuel EFs'!$N$21</f>
        <v>-109418967.62995468</v>
      </c>
      <c r="I26" s="28"/>
      <c r="J26" s="79">
        <f>F26*'GWPs &amp; Fuel EFs'!$M$49</f>
        <v>-32825.6902889864</v>
      </c>
      <c r="K26" s="79">
        <f>J26*'GWPs &amp; Fuel EFs'!$D$11</f>
        <v>-820642.25722466002</v>
      </c>
      <c r="L26" s="28"/>
      <c r="M26" s="79">
        <f>F26*'GWPs &amp; Fuel EFs'!$M$77</f>
        <v>-4376.7587051981873</v>
      </c>
      <c r="N26" s="79">
        <f>M26*'GWPs &amp; Fuel EFs'!$E$11</f>
        <v>-1304274.0941490598</v>
      </c>
    </row>
    <row r="27" spans="1:14">
      <c r="A27" s="213"/>
      <c r="B27" s="213"/>
      <c r="D27" s="80" t="s">
        <v>390</v>
      </c>
      <c r="E27" s="93" t="s">
        <v>69</v>
      </c>
      <c r="F27" s="94">
        <f>'GIS Heat Input'!H22</f>
        <v>-902097.56593265058</v>
      </c>
      <c r="G27" s="28"/>
      <c r="H27" s="79">
        <f>F27*'GWPs &amp; Fuel EFs'!$N$23</f>
        <v>-186548004.79453349</v>
      </c>
      <c r="I27" s="28"/>
      <c r="J27" s="79">
        <f>F27*'GWPs &amp; Fuel EFs'!$M$51</f>
        <v>-14319.249834974851</v>
      </c>
      <c r="K27" s="79">
        <f>J27*'GWPs &amp; Fuel EFs'!$D$11</f>
        <v>-357981.24587437126</v>
      </c>
      <c r="L27" s="28"/>
      <c r="M27" s="79">
        <f>F27*'GWPs &amp; Fuel EFs'!$M$79</f>
        <v>-7159.6249174874256</v>
      </c>
      <c r="N27" s="79">
        <f>M27*'GWPs &amp; Fuel EFs'!$E$11</f>
        <v>-2133568.225411253</v>
      </c>
    </row>
    <row r="28" spans="1:14">
      <c r="A28" s="213"/>
      <c r="B28" s="213"/>
      <c r="D28" s="80" t="s">
        <v>2239</v>
      </c>
      <c r="E28" s="93" t="s">
        <v>68</v>
      </c>
      <c r="F28" s="94">
        <f>'GIS Heat Input'!H23</f>
        <v>194789.76344774218</v>
      </c>
      <c r="G28" s="28"/>
      <c r="H28" s="79">
        <f>F28*'GWPs &amp; Fuel EFs'!$N$27</f>
        <v>22360832.423654657</v>
      </c>
      <c r="I28" s="28"/>
      <c r="J28" s="79">
        <f>F28*'GWPs &amp; Fuel EFs'!$M$55</f>
        <v>1374.2013396522932</v>
      </c>
      <c r="K28" s="79">
        <f>J28*'GWPs &amp; Fuel EFs'!$D$11</f>
        <v>34355.033491307331</v>
      </c>
      <c r="L28" s="28"/>
      <c r="M28" s="79">
        <f>F28*'GWPs &amp; Fuel EFs'!$M$83</f>
        <v>270.54588874404521</v>
      </c>
      <c r="N28" s="79">
        <f>M28*'GWPs &amp; Fuel EFs'!$E$11</f>
        <v>80622.674845725473</v>
      </c>
    </row>
    <row r="29" spans="1:14">
      <c r="A29" s="233"/>
      <c r="B29" s="234"/>
      <c r="D29" s="80"/>
      <c r="E29" s="81"/>
      <c r="F29" s="79"/>
      <c r="G29" s="28"/>
      <c r="H29" s="82">
        <f>SUM(H25:H28)</f>
        <v>78435007.221190855</v>
      </c>
      <c r="I29" s="28"/>
      <c r="J29" s="28"/>
      <c r="K29" s="82">
        <f>SUM(K25:K28)</f>
        <v>-603394.80381625192</v>
      </c>
      <c r="L29" s="28"/>
      <c r="M29" s="28"/>
      <c r="N29" s="82">
        <f>SUM(N25:N28)</f>
        <v>-2087924.3695184502</v>
      </c>
    </row>
    <row r="30" spans="1:14">
      <c r="A30" s="233"/>
      <c r="B30" s="234"/>
    </row>
    <row r="31" spans="1:14">
      <c r="A31" s="13"/>
      <c r="B31" s="13"/>
      <c r="D31" s="83"/>
      <c r="E31" s="83"/>
      <c r="F31" s="83"/>
      <c r="G31" s="28"/>
      <c r="H31" s="83"/>
      <c r="I31" s="28"/>
      <c r="J31" s="83"/>
      <c r="K31" s="83"/>
      <c r="L31" s="28"/>
      <c r="M31" s="83"/>
      <c r="N31" s="83"/>
    </row>
    <row r="32" spans="1:14" ht="13">
      <c r="A32" s="797" t="s">
        <v>1529</v>
      </c>
      <c r="B32" s="797"/>
      <c r="D32" s="790" t="s">
        <v>223</v>
      </c>
      <c r="E32" s="790"/>
      <c r="F32" s="790"/>
      <c r="G32" s="28"/>
      <c r="H32" s="76" t="s">
        <v>223</v>
      </c>
      <c r="I32" s="28"/>
      <c r="J32" s="790" t="s">
        <v>223</v>
      </c>
      <c r="K32" s="790"/>
      <c r="L32" s="28"/>
      <c r="M32" s="790" t="s">
        <v>223</v>
      </c>
      <c r="N32" s="790"/>
    </row>
    <row r="33" spans="1:14" ht="13">
      <c r="A33" s="797">
        <f>A15</f>
        <v>2022</v>
      </c>
      <c r="B33" s="797"/>
      <c r="D33" s="790" t="s">
        <v>204</v>
      </c>
      <c r="E33" s="790"/>
      <c r="F33" s="790"/>
      <c r="G33" s="28"/>
      <c r="H33" s="76" t="s">
        <v>205</v>
      </c>
      <c r="I33" s="28"/>
      <c r="J33" s="790" t="s">
        <v>206</v>
      </c>
      <c r="K33" s="790"/>
      <c r="L33" s="28"/>
      <c r="M33" s="790" t="s">
        <v>207</v>
      </c>
      <c r="N33" s="790"/>
    </row>
    <row r="34" spans="1:14" s="12" customFormat="1" ht="45" customHeight="1">
      <c r="A34" s="226"/>
      <c r="B34" s="227" t="s">
        <v>327</v>
      </c>
      <c r="D34" s="78" t="s">
        <v>208</v>
      </c>
      <c r="E34" s="78" t="s">
        <v>209</v>
      </c>
      <c r="F34" s="78" t="str">
        <f>F16</f>
        <v>Heat Input from GIS certificates (MMBtu)</v>
      </c>
      <c r="G34" s="28"/>
      <c r="H34" s="65" t="s">
        <v>325</v>
      </c>
      <c r="I34" s="77"/>
      <c r="J34" s="65" t="s">
        <v>326</v>
      </c>
      <c r="K34" s="65" t="s">
        <v>327</v>
      </c>
      <c r="L34" s="77"/>
      <c r="M34" s="65" t="s">
        <v>328</v>
      </c>
      <c r="N34" s="65" t="s">
        <v>327</v>
      </c>
    </row>
    <row r="35" spans="1:14" ht="12.75" customHeight="1">
      <c r="A35" s="228" t="s">
        <v>211</v>
      </c>
      <c r="B35" s="229">
        <f>SUM(B36:B40)</f>
        <v>75237209.823610678</v>
      </c>
      <c r="D35" s="65" t="s">
        <v>212</v>
      </c>
      <c r="E35" s="65"/>
      <c r="F35" s="65"/>
      <c r="G35" s="28"/>
      <c r="H35" s="28"/>
      <c r="I35" s="28"/>
      <c r="J35" s="77"/>
      <c r="K35" s="77"/>
      <c r="L35" s="28"/>
      <c r="M35" s="77"/>
      <c r="N35" s="77"/>
    </row>
    <row r="36" spans="1:14">
      <c r="A36" s="213" t="s">
        <v>1377</v>
      </c>
      <c r="B36" s="230">
        <f>H40</f>
        <v>22383845.445075285</v>
      </c>
      <c r="D36" s="80" t="s">
        <v>375</v>
      </c>
      <c r="E36" s="93" t="s">
        <v>46</v>
      </c>
      <c r="F36" s="94">
        <f>'GIS Heat Input'!H28</f>
        <v>0</v>
      </c>
      <c r="G36" s="28"/>
      <c r="H36" s="79">
        <f>F36*'GWPs &amp; Fuel EFs'!$N$7</f>
        <v>0</v>
      </c>
      <c r="I36" s="28"/>
      <c r="J36" s="79">
        <f>F36*'GWPs &amp; Fuel EFs'!$M$35</f>
        <v>0</v>
      </c>
      <c r="K36" s="79">
        <f>J36*'GWPs &amp; Fuel EFs'!$D$11</f>
        <v>0</v>
      </c>
      <c r="L36" s="28"/>
      <c r="M36" s="79">
        <f>F36*'GWPs &amp; Fuel EFs'!$M$63</f>
        <v>0</v>
      </c>
      <c r="N36" s="79">
        <f>M36*'GWPs &amp; Fuel EFs'!$E$11</f>
        <v>0</v>
      </c>
    </row>
    <row r="37" spans="1:14">
      <c r="A37" s="213" t="s">
        <v>213</v>
      </c>
      <c r="B37" s="230">
        <f>K39</f>
        <v>-17.219369613280303</v>
      </c>
      <c r="D37" s="80" t="s">
        <v>374</v>
      </c>
      <c r="E37" s="93" t="s">
        <v>39</v>
      </c>
      <c r="F37" s="94">
        <f>'GIS Heat Input'!H29</f>
        <v>0</v>
      </c>
      <c r="G37" s="28"/>
      <c r="H37" s="79">
        <f>F37*'GWPs &amp; Fuel EFs'!$N$8</f>
        <v>0</v>
      </c>
      <c r="I37" s="28"/>
      <c r="J37" s="79">
        <f>F37*'GWPs &amp; Fuel EFs'!$M$36</f>
        <v>0</v>
      </c>
      <c r="K37" s="79">
        <f>J37*'GWPs &amp; Fuel EFs'!$D$11</f>
        <v>0</v>
      </c>
      <c r="L37" s="28"/>
      <c r="M37" s="79">
        <f>F37*'GWPs &amp; Fuel EFs'!$M$64</f>
        <v>0</v>
      </c>
      <c r="N37" s="79">
        <f>M37*'GWPs &amp; Fuel EFs'!$E$11</f>
        <v>0</v>
      </c>
    </row>
    <row r="38" spans="1:14">
      <c r="A38" s="213" t="s">
        <v>214</v>
      </c>
      <c r="B38" s="230">
        <f>N39</f>
        <v>-27.367318105373506</v>
      </c>
      <c r="D38" s="80" t="s">
        <v>388</v>
      </c>
      <c r="E38" s="93" t="s">
        <v>17</v>
      </c>
      <c r="F38" s="94">
        <f>'GIS Heat Input'!H30</f>
        <v>-10.3901704125633</v>
      </c>
      <c r="G38" s="28"/>
      <c r="H38" s="79">
        <f>F38*'GWPs &amp; Fuel EFs'!$N$9</f>
        <v>-2105.3549247170722</v>
      </c>
      <c r="I38" s="28"/>
      <c r="J38" s="79">
        <f>F38*'GWPs &amp; Fuel EFs'!$M$37</f>
        <v>-0.6887747845312121</v>
      </c>
      <c r="K38" s="79">
        <f>J38*'GWPs &amp; Fuel EFs'!$D$11</f>
        <v>-17.219369613280303</v>
      </c>
      <c r="L38" s="28"/>
      <c r="M38" s="79">
        <f>F38*'GWPs &amp; Fuel EFs'!$M$65</f>
        <v>-9.1836637937494983E-2</v>
      </c>
      <c r="N38" s="79">
        <f>M38*'GWPs &amp; Fuel EFs'!$E$11</f>
        <v>-27.367318105373506</v>
      </c>
    </row>
    <row r="39" spans="1:14">
      <c r="A39" s="213" t="s">
        <v>215</v>
      </c>
      <c r="B39" s="230">
        <f>K47</f>
        <v>8226326.3255356438</v>
      </c>
      <c r="D39" s="134" t="s">
        <v>3001</v>
      </c>
      <c r="E39" s="135" t="s">
        <v>2998</v>
      </c>
      <c r="F39" s="630" t="s">
        <v>3272</v>
      </c>
      <c r="G39" s="28"/>
      <c r="H39" s="142">
        <f>(GIS!S100-GIS!W75)*'GWPs &amp; Fuel EFs'!$E$34</f>
        <v>22385950.800000001</v>
      </c>
      <c r="I39" s="28"/>
      <c r="J39" s="79"/>
      <c r="K39" s="82">
        <f>SUM(K36:K38)</f>
        <v>-17.219369613280303</v>
      </c>
      <c r="L39" s="28"/>
      <c r="M39" s="79"/>
      <c r="N39" s="82">
        <f>SUM(N36:N38)</f>
        <v>-27.367318105373506</v>
      </c>
    </row>
    <row r="40" spans="1:14">
      <c r="A40" s="213" t="s">
        <v>216</v>
      </c>
      <c r="B40" s="230">
        <f>N47</f>
        <v>44627082.639687464</v>
      </c>
      <c r="H40" s="82">
        <f>SUM(H36:H39)</f>
        <v>22383845.445075285</v>
      </c>
    </row>
    <row r="41" spans="1:14">
      <c r="A41" s="213"/>
      <c r="B41" s="213"/>
    </row>
    <row r="42" spans="1:14" ht="13">
      <c r="A42" s="231" t="s">
        <v>217</v>
      </c>
      <c r="B42" s="229">
        <f>H47</f>
        <v>4444921477.9814262</v>
      </c>
      <c r="D42" s="65" t="s">
        <v>218</v>
      </c>
      <c r="E42" s="28"/>
      <c r="F42" s="79"/>
      <c r="G42" s="28"/>
      <c r="H42" s="82"/>
      <c r="I42" s="28"/>
      <c r="J42" s="79"/>
      <c r="K42" s="82"/>
      <c r="L42" s="28"/>
      <c r="M42" s="79"/>
      <c r="N42" s="82"/>
    </row>
    <row r="43" spans="1:14">
      <c r="A43" s="213"/>
      <c r="B43" s="213"/>
      <c r="D43" s="80" t="s">
        <v>382</v>
      </c>
      <c r="E43" s="93" t="s">
        <v>63</v>
      </c>
      <c r="F43" s="94">
        <f>'GIS Heat Input'!H32</f>
        <v>6853628.9359210497</v>
      </c>
      <c r="G43" s="28"/>
      <c r="H43" s="79">
        <f>F43*'GWPs &amp; Fuel EFs'!$N$20</f>
        <v>786760276.40002525</v>
      </c>
      <c r="I43" s="28"/>
      <c r="J43" s="79">
        <f>F43*'GWPs &amp; Fuel EFs'!$M$48</f>
        <v>48350.929219897844</v>
      </c>
      <c r="K43" s="79">
        <f>J43*'GWPs &amp; Fuel EFs'!$D$11</f>
        <v>1208773.2304974461</v>
      </c>
      <c r="L43" s="28"/>
      <c r="M43" s="79">
        <f>F43*'GWPs &amp; Fuel EFs'!$M$76</f>
        <v>9519.0891901673876</v>
      </c>
      <c r="N43" s="79">
        <f>M43*'GWPs &amp; Fuel EFs'!$E$11</f>
        <v>2836688.5786698814</v>
      </c>
    </row>
    <row r="44" spans="1:14">
      <c r="A44" s="213"/>
      <c r="B44" s="232"/>
      <c r="D44" s="80" t="s">
        <v>385</v>
      </c>
      <c r="E44" s="93" t="s">
        <v>16</v>
      </c>
      <c r="F44" s="94">
        <f>'GIS Heat Input'!H33</f>
        <v>-8.5009708480981523</v>
      </c>
      <c r="G44" s="28"/>
      <c r="H44" s="79">
        <f>F44*'GWPs &amp; Fuel EFs'!$N$21</f>
        <v>-1779.593231429287</v>
      </c>
      <c r="I44" s="28"/>
      <c r="J44" s="79">
        <f>F44*'GWPs &amp; Fuel EFs'!$M$49</f>
        <v>-0.53387796942878607</v>
      </c>
      <c r="K44" s="79">
        <f>J44*'GWPs &amp; Fuel EFs'!$D$11</f>
        <v>-13.346949235719652</v>
      </c>
      <c r="L44" s="28"/>
      <c r="M44" s="79">
        <f>F44*'GWPs &amp; Fuel EFs'!$M$77</f>
        <v>-7.118372925717148E-2</v>
      </c>
      <c r="N44" s="79">
        <f>M44*'GWPs &amp; Fuel EFs'!$E$11</f>
        <v>-21.2127513186371</v>
      </c>
    </row>
    <row r="45" spans="1:14">
      <c r="A45" s="213"/>
      <c r="B45" s="213"/>
      <c r="D45" s="80" t="s">
        <v>390</v>
      </c>
      <c r="E45" s="93" t="s">
        <v>69</v>
      </c>
      <c r="F45" s="94">
        <f>'GIS Heat Input'!H34</f>
        <v>17660061.876196083</v>
      </c>
      <c r="G45" s="28"/>
      <c r="H45" s="79">
        <f>F45*'GWPs &amp; Fuel EFs'!$N$23</f>
        <v>3651987802.6124105</v>
      </c>
      <c r="I45" s="28"/>
      <c r="J45" s="79">
        <f>F45*'GWPs &amp; Fuel EFs'!$M$51</f>
        <v>280323.15755660296</v>
      </c>
      <c r="K45" s="79">
        <f>J45*'GWPs &amp; Fuel EFs'!$D$11</f>
        <v>7008078.9389150739</v>
      </c>
      <c r="L45" s="28"/>
      <c r="M45" s="79">
        <f>F45*'GWPs &amp; Fuel EFs'!$M$79</f>
        <v>140161.57877830148</v>
      </c>
      <c r="N45" s="79">
        <f>M45*'GWPs &amp; Fuel EFs'!$E$11</f>
        <v>41768150.475933842</v>
      </c>
    </row>
    <row r="46" spans="1:14">
      <c r="A46" s="213"/>
      <c r="B46" s="213"/>
      <c r="D46" s="80" t="s">
        <v>2239</v>
      </c>
      <c r="E46" s="93" t="s">
        <v>68</v>
      </c>
      <c r="F46" s="94">
        <f>'GIS Heat Input'!H35</f>
        <v>53793.237594781713</v>
      </c>
      <c r="G46" s="28"/>
      <c r="H46" s="79">
        <f>F46*'GWPs &amp; Fuel EFs'!$N$27</f>
        <v>6175178.5622218018</v>
      </c>
      <c r="I46" s="28"/>
      <c r="J46" s="79">
        <f>F46*'GWPs &amp; Fuel EFs'!$M$55</f>
        <v>379.50012289436853</v>
      </c>
      <c r="K46" s="79">
        <f>J46*'GWPs &amp; Fuel EFs'!$D$11</f>
        <v>9487.5030723592135</v>
      </c>
      <c r="L46" s="28"/>
      <c r="M46" s="79">
        <f>F46*'GWPs &amp; Fuel EFs'!$M$83</f>
        <v>74.714086694828794</v>
      </c>
      <c r="N46" s="79">
        <f>M46*'GWPs &amp; Fuel EFs'!$E$11</f>
        <v>22264.79783505898</v>
      </c>
    </row>
    <row r="47" spans="1:14">
      <c r="A47" s="213"/>
      <c r="B47" s="230"/>
      <c r="D47" s="28"/>
      <c r="E47" s="28"/>
      <c r="F47" s="79"/>
      <c r="G47" s="28"/>
      <c r="H47" s="82">
        <f>SUM(H43:H46)</f>
        <v>4444921477.9814262</v>
      </c>
      <c r="I47" s="28"/>
      <c r="J47" s="28"/>
      <c r="K47" s="82">
        <f>SUM(K43:K46)</f>
        <v>8226326.3255356438</v>
      </c>
      <c r="L47" s="28"/>
      <c r="M47" s="28"/>
      <c r="N47" s="82">
        <f>SUM(N43:N46)</f>
        <v>44627082.639687464</v>
      </c>
    </row>
    <row r="48" spans="1:14">
      <c r="A48" s="213"/>
      <c r="B48" s="213"/>
    </row>
    <row r="49" spans="1:14">
      <c r="A49" s="13"/>
      <c r="B49" s="13"/>
      <c r="D49" s="83"/>
      <c r="E49" s="83"/>
      <c r="F49" s="83"/>
      <c r="G49" s="28"/>
      <c r="H49" s="83"/>
      <c r="I49" s="28"/>
      <c r="J49" s="83"/>
      <c r="K49" s="84"/>
      <c r="L49" s="28"/>
      <c r="M49" s="83"/>
      <c r="N49" s="83"/>
    </row>
    <row r="50" spans="1:14" ht="13">
      <c r="A50" s="797" t="s">
        <v>1530</v>
      </c>
      <c r="B50" s="797"/>
      <c r="D50" s="790" t="s">
        <v>219</v>
      </c>
      <c r="E50" s="790"/>
      <c r="F50" s="790"/>
      <c r="G50" s="28"/>
      <c r="H50" s="76" t="s">
        <v>219</v>
      </c>
      <c r="I50" s="28"/>
      <c r="J50" s="790" t="s">
        <v>219</v>
      </c>
      <c r="K50" s="790"/>
      <c r="L50" s="28"/>
      <c r="M50" s="790" t="s">
        <v>219</v>
      </c>
      <c r="N50" s="790"/>
    </row>
    <row r="51" spans="1:14" ht="13">
      <c r="A51" s="797">
        <f>A33</f>
        <v>2022</v>
      </c>
      <c r="B51" s="797"/>
      <c r="D51" s="790" t="s">
        <v>204</v>
      </c>
      <c r="E51" s="790"/>
      <c r="F51" s="790"/>
      <c r="G51" s="28"/>
      <c r="H51" s="76" t="s">
        <v>205</v>
      </c>
      <c r="I51" s="28"/>
      <c r="J51" s="790" t="s">
        <v>206</v>
      </c>
      <c r="K51" s="790"/>
      <c r="L51" s="28"/>
      <c r="M51" s="790" t="s">
        <v>207</v>
      </c>
      <c r="N51" s="790"/>
    </row>
    <row r="52" spans="1:14" s="12" customFormat="1" ht="42.75" customHeight="1">
      <c r="A52" s="226"/>
      <c r="B52" s="227" t="s">
        <v>327</v>
      </c>
      <c r="D52" s="78" t="s">
        <v>208</v>
      </c>
      <c r="E52" s="78" t="s">
        <v>209</v>
      </c>
      <c r="F52" s="78" t="str">
        <f>F16</f>
        <v>Heat Input from GIS certificates (MMBtu)</v>
      </c>
      <c r="G52" s="28"/>
      <c r="H52" s="65" t="s">
        <v>325</v>
      </c>
      <c r="I52" s="77"/>
      <c r="J52" s="65" t="s">
        <v>326</v>
      </c>
      <c r="K52" s="65" t="s">
        <v>327</v>
      </c>
      <c r="L52" s="77"/>
      <c r="M52" s="65" t="s">
        <v>328</v>
      </c>
      <c r="N52" s="65" t="s">
        <v>327</v>
      </c>
    </row>
    <row r="53" spans="1:14" ht="12.75" customHeight="1">
      <c r="A53" s="228" t="s">
        <v>211</v>
      </c>
      <c r="B53" s="229">
        <f>SUM(B54:B58)+F58</f>
        <v>306199107.17035633</v>
      </c>
      <c r="D53" s="65" t="s">
        <v>212</v>
      </c>
      <c r="E53" s="77"/>
      <c r="F53" s="65"/>
      <c r="G53" s="28"/>
      <c r="H53" s="28"/>
      <c r="I53" s="28"/>
      <c r="J53" s="77"/>
      <c r="K53" s="77"/>
      <c r="L53" s="28"/>
      <c r="M53" s="77"/>
      <c r="N53" s="77"/>
    </row>
    <row r="54" spans="1:14">
      <c r="A54" s="213" t="s">
        <v>1377</v>
      </c>
      <c r="B54" s="230">
        <f>H59</f>
        <v>316912722.37854487</v>
      </c>
      <c r="D54" s="80" t="s">
        <v>375</v>
      </c>
      <c r="E54" s="93" t="s">
        <v>46</v>
      </c>
      <c r="F54" s="94">
        <f>'GIS Heat Input'!H40</f>
        <v>0</v>
      </c>
      <c r="G54" s="28"/>
      <c r="H54" s="79">
        <f>F54*'GWPs &amp; Fuel EFs'!$N$7</f>
        <v>0</v>
      </c>
      <c r="I54" s="28"/>
      <c r="J54" s="79">
        <f>F54*'GWPs &amp; Fuel EFs'!$M$35</f>
        <v>0</v>
      </c>
      <c r="K54" s="79">
        <f>J54*'GWPs &amp; Fuel EFs'!$D$11</f>
        <v>0</v>
      </c>
      <c r="L54" s="28"/>
      <c r="M54" s="79">
        <f>F54*'GWPs &amp; Fuel EFs'!$M$63</f>
        <v>0</v>
      </c>
      <c r="N54" s="79">
        <f>M54*'GWPs &amp; Fuel EFs'!$E$11</f>
        <v>0</v>
      </c>
    </row>
    <row r="55" spans="1:14">
      <c r="A55" s="213" t="s">
        <v>213</v>
      </c>
      <c r="B55" s="230">
        <f>K59</f>
        <v>2585354.4845573455</v>
      </c>
      <c r="D55" s="80" t="s">
        <v>374</v>
      </c>
      <c r="E55" s="93" t="s">
        <v>39</v>
      </c>
      <c r="F55" s="94">
        <f>'GIS Heat Input'!H41</f>
        <v>0</v>
      </c>
      <c r="G55" s="28"/>
      <c r="H55" s="79">
        <f>F55*'GWPs &amp; Fuel EFs'!$N$8</f>
        <v>0</v>
      </c>
      <c r="I55" s="28"/>
      <c r="J55" s="79">
        <f>F55*'GWPs &amp; Fuel EFs'!$M$36</f>
        <v>0</v>
      </c>
      <c r="K55" s="79">
        <f>J55*'GWPs &amp; Fuel EFs'!$D$11</f>
        <v>0</v>
      </c>
      <c r="L55" s="28"/>
      <c r="M55" s="79">
        <f>F55*'GWPs &amp; Fuel EFs'!$M$64</f>
        <v>0</v>
      </c>
      <c r="N55" s="79">
        <f>M55*'GWPs &amp; Fuel EFs'!$E$11</f>
        <v>0</v>
      </c>
    </row>
    <row r="56" spans="1:14">
      <c r="A56" s="213" t="s">
        <v>214</v>
      </c>
      <c r="B56" s="230">
        <f>N59</f>
        <v>4108990.0607898096</v>
      </c>
      <c r="D56" s="80" t="s">
        <v>388</v>
      </c>
      <c r="E56" s="93" t="s">
        <v>17</v>
      </c>
      <c r="F56" s="94">
        <f>'GIS Heat Input'!H42</f>
        <v>1560003.3145649105</v>
      </c>
      <c r="G56" s="28"/>
      <c r="H56" s="79">
        <f>F56*'GWPs &amp; Fuel EFs'!$N$9</f>
        <v>316102674.97854489</v>
      </c>
      <c r="I56" s="28"/>
      <c r="J56" s="79">
        <f>F56*'GWPs &amp; Fuel EFs'!$M$37</f>
        <v>103414.17938229382</v>
      </c>
      <c r="K56" s="79">
        <f>J56*'GWPs &amp; Fuel EFs'!$D$11</f>
        <v>2585354.4845573455</v>
      </c>
      <c r="L56" s="28"/>
      <c r="M56" s="79">
        <f>F56*'GWPs &amp; Fuel EFs'!$M$65</f>
        <v>13788.557250972515</v>
      </c>
      <c r="N56" s="79">
        <f>M56*'GWPs &amp; Fuel EFs'!$E$11</f>
        <v>4108990.0607898096</v>
      </c>
    </row>
    <row r="57" spans="1:14">
      <c r="A57" s="213" t="s">
        <v>215</v>
      </c>
      <c r="B57" s="230">
        <f>K67</f>
        <v>-1270782.9740326398</v>
      </c>
      <c r="D57" s="134" t="s">
        <v>3001</v>
      </c>
      <c r="E57" s="135" t="s">
        <v>2998</v>
      </c>
      <c r="F57" s="630" t="s">
        <v>3272</v>
      </c>
      <c r="G57" s="28"/>
      <c r="H57" s="142">
        <f>(GIS!Y75)*'GWPs &amp; Fuel EFs'!$E$34</f>
        <v>810047.4</v>
      </c>
    </row>
    <row r="58" spans="1:14">
      <c r="A58" s="213" t="s">
        <v>216</v>
      </c>
      <c r="B58" s="230">
        <f>N67</f>
        <v>-16137176.779503033</v>
      </c>
      <c r="D58" s="134" t="s">
        <v>2492</v>
      </c>
      <c r="E58" s="135" t="s">
        <v>2243</v>
      </c>
      <c r="F58" s="162">
        <f>GIS!AB264*'State &amp; Province Summary'!H38</f>
        <v>0</v>
      </c>
      <c r="G58" s="28"/>
      <c r="H58" s="79"/>
      <c r="I58" s="28"/>
      <c r="J58" s="79"/>
      <c r="K58" s="79"/>
      <c r="L58" s="28"/>
      <c r="M58" s="79"/>
      <c r="N58" s="79"/>
    </row>
    <row r="59" spans="1:14">
      <c r="A59" s="213"/>
      <c r="B59" s="213"/>
      <c r="D59" s="80"/>
      <c r="E59" s="28"/>
      <c r="F59" s="79"/>
      <c r="G59" s="28"/>
      <c r="H59" s="82">
        <f>SUM(H54:H57)</f>
        <v>316912722.37854487</v>
      </c>
      <c r="I59" s="28"/>
      <c r="J59" s="79"/>
      <c r="K59" s="82">
        <f>SUM(K54:K56)</f>
        <v>2585354.4845573455</v>
      </c>
      <c r="L59" s="28"/>
      <c r="M59" s="79"/>
      <c r="N59" s="82">
        <f>SUM(N54:N56)</f>
        <v>4108990.0607898096</v>
      </c>
    </row>
    <row r="60" spans="1:14">
      <c r="A60" s="213"/>
      <c r="B60" s="213"/>
    </row>
    <row r="61" spans="1:14" ht="13">
      <c r="A61" s="231" t="s">
        <v>217</v>
      </c>
      <c r="B61" s="229">
        <f>H67</f>
        <v>-1446311299.438683</v>
      </c>
      <c r="D61" s="65" t="s">
        <v>218</v>
      </c>
      <c r="E61" s="28"/>
      <c r="F61" s="79"/>
      <c r="G61" s="28"/>
      <c r="H61" s="82"/>
      <c r="I61" s="28"/>
      <c r="J61" s="79"/>
      <c r="K61" s="82"/>
      <c r="L61" s="28"/>
      <c r="M61" s="79"/>
      <c r="N61" s="82"/>
    </row>
    <row r="62" spans="1:14">
      <c r="A62" s="213"/>
      <c r="B62" s="232"/>
      <c r="D62" s="80" t="s">
        <v>382</v>
      </c>
      <c r="E62" s="93" t="s">
        <v>63</v>
      </c>
      <c r="F62" s="94">
        <f>'GIS Heat Input'!H44</f>
        <v>-163947.43946100737</v>
      </c>
      <c r="G62" s="28"/>
      <c r="H62" s="79">
        <f>F62*'GWPs &amp; Fuel EFs'!$N$20</f>
        <v>-18820297.099741384</v>
      </c>
      <c r="I62" s="28"/>
      <c r="J62" s="79">
        <f>F62*'GWPs &amp; Fuel EFs'!$M$48</f>
        <v>-1156.6151472858157</v>
      </c>
      <c r="K62" s="79">
        <f>J62*'GWPs &amp; Fuel EFs'!$D$11</f>
        <v>-28915.378682145394</v>
      </c>
      <c r="L62" s="28"/>
      <c r="M62" s="79">
        <f>F62*'GWPs &amp; Fuel EFs'!$M$76</f>
        <v>-227.70860712189497</v>
      </c>
      <c r="N62" s="79">
        <f>M62*'GWPs &amp; Fuel EFs'!$E$11</f>
        <v>-67857.164922324708</v>
      </c>
    </row>
    <row r="63" spans="1:14">
      <c r="A63" s="213"/>
      <c r="B63" s="213"/>
      <c r="D63" s="80" t="s">
        <v>385</v>
      </c>
      <c r="E63" s="93" t="s">
        <v>16</v>
      </c>
      <c r="F63" s="94">
        <f>'GIS Heat Input'!H45</f>
        <v>1276350.6648364456</v>
      </c>
      <c r="G63" s="28"/>
      <c r="H63" s="79">
        <f>F63*'GWPs &amp; Fuel EFs'!$N$21</f>
        <v>267191247.28928652</v>
      </c>
      <c r="I63" s="28"/>
      <c r="J63" s="79">
        <f>F63*'GWPs &amp; Fuel EFs'!$M$49</f>
        <v>80157.37418678595</v>
      </c>
      <c r="K63" s="79">
        <f>J63*'GWPs &amp; Fuel EFs'!$D$11</f>
        <v>2003934.3546696487</v>
      </c>
      <c r="L63" s="28"/>
      <c r="M63" s="79">
        <f>F63*'GWPs &amp; Fuel EFs'!$M$77</f>
        <v>10687.64989157146</v>
      </c>
      <c r="N63" s="79">
        <f>M63*'GWPs &amp; Fuel EFs'!$E$11</f>
        <v>3184919.6676882952</v>
      </c>
    </row>
    <row r="64" spans="1:14">
      <c r="A64" s="213"/>
      <c r="B64" s="213"/>
      <c r="D64" s="80" t="s">
        <v>390</v>
      </c>
      <c r="E64" s="93" t="s">
        <v>69</v>
      </c>
      <c r="F64" s="94">
        <f>'GIS Heat Input'!H46</f>
        <v>-8115999.0866538389</v>
      </c>
      <c r="G64" s="28"/>
      <c r="H64" s="79">
        <f>F64*'GWPs &amp; Fuel EFs'!$N$23</f>
        <v>-1678336682.9775536</v>
      </c>
      <c r="I64" s="28"/>
      <c r="J64" s="79">
        <f>F64*'GWPs &amp; Fuel EFs'!$M$51</f>
        <v>-128827.54922642202</v>
      </c>
      <c r="K64" s="79">
        <f>J64*'GWPs &amp; Fuel EFs'!$D$11</f>
        <v>-3220688.7306605508</v>
      </c>
      <c r="L64" s="28"/>
      <c r="M64" s="79">
        <f>F64*'GWPs &amp; Fuel EFs'!$M$79</f>
        <v>-64413.774613211011</v>
      </c>
      <c r="N64" s="79">
        <f>M64*'GWPs &amp; Fuel EFs'!$E$11</f>
        <v>-19195304.83473688</v>
      </c>
    </row>
    <row r="65" spans="1:14">
      <c r="A65" s="213"/>
      <c r="B65" s="213"/>
      <c r="D65" s="80" t="s">
        <v>2239</v>
      </c>
      <c r="E65" s="93" t="s">
        <v>68</v>
      </c>
      <c r="F65" s="94">
        <f>'GIS Heat Input'!H47</f>
        <v>-142389.55871499892</v>
      </c>
      <c r="G65" s="28"/>
      <c r="H65" s="79">
        <f>F65*'GWPs &amp; Fuel EFs'!$N$27</f>
        <v>-16345566.65067469</v>
      </c>
      <c r="I65" s="28"/>
      <c r="J65" s="79">
        <f>F65*'GWPs &amp; Fuel EFs'!$M$55</f>
        <v>-1004.5287743836951</v>
      </c>
      <c r="K65" s="79">
        <f>J65*'GWPs &amp; Fuel EFs'!$D$11</f>
        <v>-25113.219359592378</v>
      </c>
      <c r="L65" s="28"/>
      <c r="M65" s="79">
        <f>F65*'GWPs &amp; Fuel EFs'!$M$83</f>
        <v>-197.76660245678997</v>
      </c>
      <c r="N65" s="79">
        <f>M65*'GWPs &amp; Fuel EFs'!$E$11</f>
        <v>-58934.447532123413</v>
      </c>
    </row>
    <row r="66" spans="1:14">
      <c r="A66" s="213"/>
      <c r="B66" s="213"/>
      <c r="D66" s="134" t="s">
        <v>2492</v>
      </c>
      <c r="E66" s="135" t="s">
        <v>2486</v>
      </c>
      <c r="F66" s="142">
        <f>GIS!AB264*'State &amp; Province Summary'!H39</f>
        <v>0</v>
      </c>
      <c r="G66" s="28"/>
      <c r="H66" s="79">
        <f>F66</f>
        <v>0</v>
      </c>
      <c r="I66" s="28"/>
      <c r="J66" s="79"/>
      <c r="K66" s="79"/>
      <c r="L66" s="28"/>
      <c r="M66" s="79"/>
      <c r="N66" s="79"/>
    </row>
    <row r="67" spans="1:14">
      <c r="A67" s="233"/>
      <c r="B67" s="234"/>
      <c r="D67" s="28"/>
      <c r="E67" s="28"/>
      <c r="F67" s="79"/>
      <c r="G67" s="28"/>
      <c r="H67" s="82">
        <f>SUM(H62:H66)</f>
        <v>-1446311299.438683</v>
      </c>
      <c r="I67" s="28"/>
      <c r="J67" s="28"/>
      <c r="K67" s="82">
        <f>SUM(K62:K65)</f>
        <v>-1270782.9740326398</v>
      </c>
      <c r="L67" s="28"/>
      <c r="M67" s="28"/>
      <c r="N67" s="82">
        <f>SUM(N62:N65)</f>
        <v>-16137176.779503033</v>
      </c>
    </row>
    <row r="68" spans="1:14">
      <c r="A68" s="213"/>
      <c r="B68" s="230"/>
    </row>
    <row r="69" spans="1:14">
      <c r="A69" s="13"/>
      <c r="B69" s="13"/>
      <c r="D69" s="83"/>
      <c r="E69" s="83"/>
      <c r="F69" s="83"/>
      <c r="G69" s="28"/>
      <c r="H69" s="83"/>
      <c r="I69" s="28"/>
      <c r="J69" s="83"/>
      <c r="K69" s="83"/>
      <c r="L69" s="28"/>
      <c r="M69" s="83"/>
      <c r="N69" s="83"/>
    </row>
    <row r="70" spans="1:14" ht="13">
      <c r="A70" s="797" t="s">
        <v>1531</v>
      </c>
      <c r="B70" s="797"/>
      <c r="D70" s="790" t="s">
        <v>220</v>
      </c>
      <c r="E70" s="790"/>
      <c r="F70" s="790"/>
      <c r="G70" s="28"/>
      <c r="H70" s="76" t="s">
        <v>220</v>
      </c>
      <c r="I70" s="28"/>
      <c r="J70" s="790" t="s">
        <v>220</v>
      </c>
      <c r="K70" s="790"/>
      <c r="L70" s="28"/>
      <c r="M70" s="790" t="s">
        <v>220</v>
      </c>
      <c r="N70" s="790"/>
    </row>
    <row r="71" spans="1:14" ht="13">
      <c r="A71" s="797">
        <f>A51</f>
        <v>2022</v>
      </c>
      <c r="B71" s="797"/>
      <c r="D71" s="790" t="s">
        <v>204</v>
      </c>
      <c r="E71" s="790"/>
      <c r="F71" s="790"/>
      <c r="G71" s="28"/>
      <c r="H71" s="76" t="s">
        <v>205</v>
      </c>
      <c r="I71" s="28"/>
      <c r="J71" s="790" t="s">
        <v>206</v>
      </c>
      <c r="K71" s="790"/>
      <c r="L71" s="28"/>
      <c r="M71" s="790" t="s">
        <v>207</v>
      </c>
      <c r="N71" s="790"/>
    </row>
    <row r="72" spans="1:14" s="12" customFormat="1" ht="42.75" customHeight="1">
      <c r="A72" s="226"/>
      <c r="B72" s="227" t="s">
        <v>327</v>
      </c>
      <c r="D72" s="78" t="s">
        <v>208</v>
      </c>
      <c r="E72" s="78" t="s">
        <v>209</v>
      </c>
      <c r="F72" s="78" t="str">
        <f>F16</f>
        <v>Heat Input from GIS certificates (MMBtu)</v>
      </c>
      <c r="G72" s="28"/>
      <c r="H72" s="65" t="s">
        <v>325</v>
      </c>
      <c r="I72" s="77"/>
      <c r="J72" s="65" t="s">
        <v>326</v>
      </c>
      <c r="K72" s="65" t="s">
        <v>327</v>
      </c>
      <c r="L72" s="77"/>
      <c r="M72" s="65" t="s">
        <v>328</v>
      </c>
      <c r="N72" s="65" t="s">
        <v>327</v>
      </c>
    </row>
    <row r="73" spans="1:14" ht="12.75" customHeight="1">
      <c r="A73" s="228" t="s">
        <v>211</v>
      </c>
      <c r="B73" s="229">
        <f>SUM(B74:B78)</f>
        <v>-201111135.03666008</v>
      </c>
      <c r="D73" s="65" t="s">
        <v>212</v>
      </c>
      <c r="E73" s="65"/>
      <c r="F73" s="65"/>
      <c r="G73" s="28"/>
      <c r="H73" s="28"/>
      <c r="I73" s="28"/>
      <c r="J73" s="77"/>
      <c r="K73" s="77"/>
      <c r="L73" s="28"/>
      <c r="M73" s="77"/>
      <c r="N73" s="77"/>
    </row>
    <row r="74" spans="1:14">
      <c r="A74" s="213" t="s">
        <v>1378</v>
      </c>
      <c r="B74" s="230">
        <f>H77</f>
        <v>-185556478.41288373</v>
      </c>
      <c r="D74" s="80" t="s">
        <v>375</v>
      </c>
      <c r="E74" s="93" t="s">
        <v>46</v>
      </c>
      <c r="F74" s="94">
        <f>'GIS Heat Input'!H52</f>
        <v>4117.1469683095993</v>
      </c>
      <c r="G74" s="28"/>
      <c r="H74" s="79">
        <f>F74*'GWPs &amp; Fuel EFs'!$N$7</f>
        <v>672949.84088322683</v>
      </c>
      <c r="I74" s="28"/>
      <c r="J74" s="79">
        <f>F74*'GWPs &amp; Fuel EFs'!$M$35</f>
        <v>27.230266008599298</v>
      </c>
      <c r="K74" s="79">
        <f>J74*'GWPs &amp; Fuel EFs'!$D$11</f>
        <v>680.75665021498241</v>
      </c>
      <c r="L74" s="28"/>
      <c r="M74" s="79">
        <f>F74*'GWPs &amp; Fuel EFs'!$M$63</f>
        <v>5.4460532017198586</v>
      </c>
      <c r="N74" s="79">
        <f>M74*'GWPs &amp; Fuel EFs'!$E$11</f>
        <v>1622.9238541125178</v>
      </c>
    </row>
    <row r="75" spans="1:14">
      <c r="A75" s="213" t="s">
        <v>213</v>
      </c>
      <c r="B75" s="230">
        <f>K77</f>
        <v>-1525714.1910468566</v>
      </c>
      <c r="D75" s="80" t="s">
        <v>374</v>
      </c>
      <c r="E75" s="93" t="s">
        <v>39</v>
      </c>
      <c r="F75" s="94">
        <f>'GIS Heat Input'!H53</f>
        <v>3619.3479364680629</v>
      </c>
      <c r="G75" s="28"/>
      <c r="H75" s="79">
        <f>F75*'GWPs &amp; Fuel EFs'!$N$8</f>
        <v>422184.06711160694</v>
      </c>
      <c r="I75" s="28"/>
      <c r="J75" s="79">
        <f>F75*'GWPs &amp; Fuel EFs'!$M$36</f>
        <v>7.9792963303878146</v>
      </c>
      <c r="K75" s="79">
        <f>J75*'GWPs &amp; Fuel EFs'!$D$11</f>
        <v>199.48240825969538</v>
      </c>
      <c r="L75" s="28"/>
      <c r="M75" s="79">
        <f>F75*'GWPs &amp; Fuel EFs'!$M$64</f>
        <v>0.79792963303878139</v>
      </c>
      <c r="N75" s="79">
        <f>M75*'GWPs &amp; Fuel EFs'!$E$11</f>
        <v>237.78303064555686</v>
      </c>
    </row>
    <row r="76" spans="1:14">
      <c r="A76" s="213" t="s">
        <v>214</v>
      </c>
      <c r="B76" s="230">
        <f>N77</f>
        <v>-2424406.7073626495</v>
      </c>
      <c r="D76" s="80" t="s">
        <v>388</v>
      </c>
      <c r="E76" s="93" t="s">
        <v>17</v>
      </c>
      <c r="F76" s="94">
        <f>'GIS Heat Input'!H54</f>
        <v>-921147.32628953108</v>
      </c>
      <c r="G76" s="28"/>
      <c r="H76" s="79">
        <f>F76*'GWPs &amp; Fuel EFs'!$N$9</f>
        <v>-186651612.32087857</v>
      </c>
      <c r="I76" s="28"/>
      <c r="J76" s="79">
        <f>F76*'GWPs &amp; Fuel EFs'!$M$37</f>
        <v>-61063.777204213256</v>
      </c>
      <c r="K76" s="79">
        <f>J76*'GWPs &amp; Fuel EFs'!$D$11</f>
        <v>-1526594.4301053314</v>
      </c>
      <c r="L76" s="28"/>
      <c r="M76" s="79">
        <f>F76*'GWPs &amp; Fuel EFs'!$M$65</f>
        <v>-8141.8369605617709</v>
      </c>
      <c r="N76" s="79">
        <f>M76*'GWPs &amp; Fuel EFs'!$E$11</f>
        <v>-2426267.4142474076</v>
      </c>
    </row>
    <row r="77" spans="1:14">
      <c r="A77" s="213" t="s">
        <v>215</v>
      </c>
      <c r="B77" s="230">
        <f>K85</f>
        <v>-2435829.2367335577</v>
      </c>
      <c r="D77" s="80"/>
      <c r="E77" s="28"/>
      <c r="F77" s="79"/>
      <c r="G77" s="28"/>
      <c r="H77" s="82">
        <f>SUM(H74:H76)</f>
        <v>-185556478.41288373</v>
      </c>
      <c r="I77" s="28"/>
      <c r="J77" s="79"/>
      <c r="K77" s="82">
        <f>SUM(K74:K76)</f>
        <v>-1525714.1910468566</v>
      </c>
      <c r="L77" s="28"/>
      <c r="M77" s="79"/>
      <c r="N77" s="82">
        <f>SUM(N74:N76)</f>
        <v>-2424406.7073626495</v>
      </c>
    </row>
    <row r="78" spans="1:14">
      <c r="A78" s="213" t="s">
        <v>216</v>
      </c>
      <c r="B78" s="230">
        <f>N85</f>
        <v>-9168706.4886332806</v>
      </c>
    </row>
    <row r="79" spans="1:14">
      <c r="A79" s="213"/>
      <c r="B79" s="213"/>
    </row>
    <row r="80" spans="1:14" ht="13">
      <c r="A80" s="231" t="s">
        <v>217</v>
      </c>
      <c r="B80" s="229">
        <f>H85</f>
        <v>-816849402.91558886</v>
      </c>
      <c r="D80" s="65" t="s">
        <v>218</v>
      </c>
      <c r="E80" s="28"/>
      <c r="F80" s="79"/>
      <c r="G80" s="28"/>
      <c r="H80" s="82"/>
      <c r="I80" s="28"/>
      <c r="J80" s="79"/>
      <c r="K80" s="82"/>
      <c r="L80" s="28"/>
      <c r="M80" s="79"/>
      <c r="N80" s="82"/>
    </row>
    <row r="81" spans="1:14">
      <c r="A81" s="213"/>
      <c r="B81" s="232"/>
      <c r="D81" s="80" t="s">
        <v>382</v>
      </c>
      <c r="E81" s="93" t="s">
        <v>63</v>
      </c>
      <c r="F81" s="94">
        <f>'GIS Heat Input'!H56</f>
        <v>-277934.41755051853</v>
      </c>
      <c r="G81" s="28"/>
      <c r="H81" s="79">
        <f>F81*'GWPs &amp; Fuel EFs'!$N$20</f>
        <v>-31905398.033303291</v>
      </c>
      <c r="I81" s="28"/>
      <c r="J81" s="79">
        <f>F81*'GWPs &amp; Fuel EFs'!$M$48</f>
        <v>-1960.7696121868742</v>
      </c>
      <c r="K81" s="79">
        <f>J81*'GWPs &amp; Fuel EFs'!$D$11</f>
        <v>-49019.240304671854</v>
      </c>
      <c r="L81" s="28"/>
      <c r="M81" s="79">
        <f>F81*'GWPs &amp; Fuel EFs'!$M$76</f>
        <v>-386.02651739929081</v>
      </c>
      <c r="N81" s="79">
        <f>M81*'GWPs &amp; Fuel EFs'!$E$11</f>
        <v>-115035.90218498866</v>
      </c>
    </row>
    <row r="82" spans="1:14">
      <c r="A82" s="213"/>
      <c r="B82" s="213"/>
      <c r="D82" s="80" t="s">
        <v>385</v>
      </c>
      <c r="E82" s="93" t="s">
        <v>16</v>
      </c>
      <c r="F82" s="94">
        <f>'GIS Heat Input'!H57</f>
        <v>-753656.73351140623</v>
      </c>
      <c r="G82" s="28"/>
      <c r="H82" s="79">
        <f>F82*'GWPs &amp; Fuel EFs'!$N$21</f>
        <v>-157770500.06918445</v>
      </c>
      <c r="I82" s="28"/>
      <c r="J82" s="79">
        <f>F82*'GWPs &amp; Fuel EFs'!$M$49</f>
        <v>-47331.150020755333</v>
      </c>
      <c r="K82" s="79">
        <f>J82*'GWPs &amp; Fuel EFs'!$D$11</f>
        <v>-1183278.7505188833</v>
      </c>
      <c r="L82" s="28"/>
      <c r="M82" s="79">
        <f>F82*'GWPs &amp; Fuel EFs'!$M$77</f>
        <v>-6310.8200027673774</v>
      </c>
      <c r="N82" s="79">
        <f>M82*'GWPs &amp; Fuel EFs'!$E$11</f>
        <v>-1880624.3608246786</v>
      </c>
    </row>
    <row r="83" spans="1:14">
      <c r="A83" s="213"/>
      <c r="B83" s="213"/>
      <c r="D83" s="80" t="s">
        <v>390</v>
      </c>
      <c r="E83" s="93" t="s">
        <v>69</v>
      </c>
      <c r="F83" s="94">
        <f>'GIS Heat Input'!H58</f>
        <v>-3032847.7258842662</v>
      </c>
      <c r="G83" s="85"/>
      <c r="H83" s="79">
        <f>F83*'GWPs &amp; Fuel EFs'!$N$23</f>
        <v>-627173504.81310117</v>
      </c>
      <c r="I83" s="28"/>
      <c r="J83" s="79">
        <f>F83*'GWPs &amp; Fuel EFs'!$M$51</f>
        <v>-48141.249836400086</v>
      </c>
      <c r="K83" s="79">
        <f>J83*'GWPs &amp; Fuel EFs'!$D$11</f>
        <v>-1203531.2459100022</v>
      </c>
      <c r="L83" s="28"/>
      <c r="M83" s="79">
        <f>F83*'GWPs &amp; Fuel EFs'!$M$79</f>
        <v>-24070.624918200043</v>
      </c>
      <c r="N83" s="79">
        <f>M83*'GWPs &amp; Fuel EFs'!$E$11</f>
        <v>-7173046.2256236132</v>
      </c>
    </row>
    <row r="84" spans="1:14" ht="13">
      <c r="A84" s="231"/>
      <c r="B84" s="229"/>
      <c r="D84" s="80" t="s">
        <v>2239</v>
      </c>
      <c r="E84" s="93" t="s">
        <v>68</v>
      </c>
      <c r="F84" s="94">
        <f>'GIS Heat Input'!H59</f>
        <v>42009.014676463099</v>
      </c>
      <c r="G84" s="28"/>
      <c r="H84" s="79">
        <f>F84*'GWPs &amp; Fuel EFs'!$N$27</f>
        <v>4822412.2296613865</v>
      </c>
      <c r="I84" s="28"/>
      <c r="J84" s="79">
        <f>F84*'GWPs &amp; Fuel EFs'!$M$55</f>
        <v>296.36487679885607</v>
      </c>
      <c r="K84" s="79">
        <f>J84*'GWPs &amp; Fuel EFs'!$D$11</f>
        <v>7409.1219199714014</v>
      </c>
      <c r="L84" s="28"/>
      <c r="M84" s="79">
        <f>F84*'GWPs &amp; Fuel EFs'!$M$83</f>
        <v>58.346835119774788</v>
      </c>
      <c r="N84" s="79">
        <f>M84*'GWPs &amp; Fuel EFs'!$E$11</f>
        <v>17387.356865692887</v>
      </c>
    </row>
    <row r="85" spans="1:14">
      <c r="A85" s="213"/>
      <c r="B85" s="234"/>
      <c r="D85" s="28"/>
      <c r="E85" s="28"/>
      <c r="F85" s="28"/>
      <c r="G85" s="28"/>
      <c r="H85" s="82">
        <f>SUM(H81:H83)</f>
        <v>-816849402.91558886</v>
      </c>
      <c r="I85" s="28"/>
      <c r="J85" s="79"/>
      <c r="K85" s="82">
        <f>SUM(K81:K83)</f>
        <v>-2435829.2367335577</v>
      </c>
      <c r="L85" s="28"/>
      <c r="M85" s="79"/>
      <c r="N85" s="82">
        <f>SUM(N81:N83)</f>
        <v>-9168706.4886332806</v>
      </c>
    </row>
    <row r="86" spans="1:14">
      <c r="A86" s="213"/>
      <c r="B86" s="213"/>
    </row>
    <row r="87" spans="1:14">
      <c r="A87" s="13"/>
      <c r="B87" s="13"/>
      <c r="D87" s="83"/>
      <c r="E87" s="83"/>
      <c r="F87" s="83"/>
      <c r="G87" s="28"/>
      <c r="H87" s="83"/>
      <c r="I87" s="28"/>
      <c r="J87" s="83"/>
      <c r="K87" s="83"/>
      <c r="L87" s="28"/>
      <c r="M87" s="83"/>
      <c r="N87" s="83"/>
    </row>
    <row r="88" spans="1:14" ht="13">
      <c r="A88" s="797" t="s">
        <v>1532</v>
      </c>
      <c r="B88" s="797"/>
      <c r="D88" s="790" t="s">
        <v>224</v>
      </c>
      <c r="E88" s="790"/>
      <c r="F88" s="790"/>
      <c r="G88" s="28"/>
      <c r="H88" s="76" t="s">
        <v>224</v>
      </c>
      <c r="I88" s="28"/>
      <c r="J88" s="790" t="s">
        <v>224</v>
      </c>
      <c r="K88" s="790"/>
      <c r="L88" s="28"/>
      <c r="M88" s="790" t="s">
        <v>224</v>
      </c>
      <c r="N88" s="790"/>
    </row>
    <row r="89" spans="1:14" ht="13">
      <c r="A89" s="797">
        <f>A71</f>
        <v>2022</v>
      </c>
      <c r="B89" s="797"/>
      <c r="D89" s="790" t="s">
        <v>204</v>
      </c>
      <c r="E89" s="790"/>
      <c r="F89" s="790"/>
      <c r="G89" s="28"/>
      <c r="H89" s="76" t="s">
        <v>205</v>
      </c>
      <c r="I89" s="28"/>
      <c r="J89" s="790" t="s">
        <v>206</v>
      </c>
      <c r="K89" s="790"/>
      <c r="L89" s="28"/>
      <c r="M89" s="790" t="s">
        <v>207</v>
      </c>
      <c r="N89" s="790"/>
    </row>
    <row r="90" spans="1:14" s="12" customFormat="1" ht="42.75" customHeight="1">
      <c r="A90" s="226"/>
      <c r="B90" s="227" t="s">
        <v>327</v>
      </c>
      <c r="D90" s="78" t="s">
        <v>208</v>
      </c>
      <c r="E90" s="78" t="s">
        <v>209</v>
      </c>
      <c r="F90" s="78" t="str">
        <f>F16</f>
        <v>Heat Input from GIS certificates (MMBtu)</v>
      </c>
      <c r="G90" s="28"/>
      <c r="H90" s="65" t="s">
        <v>325</v>
      </c>
      <c r="I90" s="77"/>
      <c r="J90" s="65" t="s">
        <v>326</v>
      </c>
      <c r="K90" s="65" t="s">
        <v>327</v>
      </c>
      <c r="L90" s="77"/>
      <c r="M90" s="65" t="s">
        <v>328</v>
      </c>
      <c r="N90" s="65" t="s">
        <v>327</v>
      </c>
    </row>
    <row r="91" spans="1:14" ht="12.75" customHeight="1">
      <c r="A91" s="228" t="s">
        <v>211</v>
      </c>
      <c r="B91" s="229">
        <f>SUM(B92:B96)+F95</f>
        <v>-18202237.481890295</v>
      </c>
      <c r="D91" s="65" t="s">
        <v>212</v>
      </c>
      <c r="E91" s="65"/>
      <c r="F91" s="65"/>
      <c r="G91" s="28"/>
      <c r="H91" s="28"/>
      <c r="I91" s="28"/>
      <c r="J91" s="77"/>
      <c r="K91" s="77"/>
      <c r="L91" s="28"/>
      <c r="M91" s="77"/>
      <c r="N91" s="77"/>
    </row>
    <row r="92" spans="1:14">
      <c r="A92" s="213" t="s">
        <v>1378</v>
      </c>
      <c r="B92" s="230">
        <f>H96</f>
        <v>0</v>
      </c>
      <c r="D92" s="80" t="s">
        <v>375</v>
      </c>
      <c r="E92" s="93" t="s">
        <v>46</v>
      </c>
      <c r="F92" s="94">
        <f>'GIS Heat Input'!H88</f>
        <v>0</v>
      </c>
      <c r="G92" s="28"/>
      <c r="H92" s="79">
        <f>F92*'GWPs &amp; Fuel EFs'!$N$7</f>
        <v>0</v>
      </c>
      <c r="I92" s="28"/>
      <c r="J92" s="79">
        <f>F92*'GWPs &amp; Fuel EFs'!$M$35</f>
        <v>0</v>
      </c>
      <c r="K92" s="79">
        <f>J92*'GWPs &amp; Fuel EFs'!$D$11</f>
        <v>0</v>
      </c>
      <c r="L92" s="28"/>
      <c r="M92" s="79">
        <f>F92*'GWPs &amp; Fuel EFs'!$M$63</f>
        <v>0</v>
      </c>
      <c r="N92" s="79">
        <f>M92*'GWPs &amp; Fuel EFs'!$E$11</f>
        <v>0</v>
      </c>
    </row>
    <row r="93" spans="1:14">
      <c r="A93" s="213" t="s">
        <v>213</v>
      </c>
      <c r="B93" s="230">
        <f>K96</f>
        <v>0</v>
      </c>
      <c r="D93" s="80" t="s">
        <v>374</v>
      </c>
      <c r="E93" s="93" t="s">
        <v>39</v>
      </c>
      <c r="F93" s="94">
        <f>'GIS Heat Input'!H89</f>
        <v>0</v>
      </c>
      <c r="G93" s="28"/>
      <c r="H93" s="79">
        <f>F93*'GWPs &amp; Fuel EFs'!$N$8</f>
        <v>0</v>
      </c>
      <c r="I93" s="28"/>
      <c r="J93" s="79">
        <f>F93*'GWPs &amp; Fuel EFs'!$M$36</f>
        <v>0</v>
      </c>
      <c r="K93" s="79">
        <f>J93*'GWPs &amp; Fuel EFs'!$D$11</f>
        <v>0</v>
      </c>
      <c r="L93" s="28"/>
      <c r="M93" s="79">
        <f>F93*'GWPs &amp; Fuel EFs'!$M$64</f>
        <v>0</v>
      </c>
      <c r="N93" s="79">
        <f>M93*'GWPs &amp; Fuel EFs'!$E$11</f>
        <v>0</v>
      </c>
    </row>
    <row r="94" spans="1:14">
      <c r="A94" s="213" t="s">
        <v>214</v>
      </c>
      <c r="B94" s="230">
        <f>N96</f>
        <v>0</v>
      </c>
      <c r="D94" s="80" t="s">
        <v>388</v>
      </c>
      <c r="E94" s="93" t="s">
        <v>17</v>
      </c>
      <c r="F94" s="94">
        <f>'GIS Heat Input'!H90</f>
        <v>0</v>
      </c>
      <c r="G94" s="28"/>
      <c r="H94" s="79">
        <f>F94*'GWPs &amp; Fuel EFs'!$N$9</f>
        <v>0</v>
      </c>
      <c r="I94" s="28"/>
      <c r="J94" s="79">
        <f>F94*'GWPs &amp; Fuel EFs'!$M$37</f>
        <v>0</v>
      </c>
      <c r="K94" s="79">
        <f>J94*'GWPs &amp; Fuel EFs'!$D$11</f>
        <v>0</v>
      </c>
      <c r="L94" s="28"/>
      <c r="M94" s="79">
        <f>F94*'GWPs &amp; Fuel EFs'!$M$65</f>
        <v>0</v>
      </c>
      <c r="N94" s="79">
        <f>M94*'GWPs &amp; Fuel EFs'!$E$11</f>
        <v>0</v>
      </c>
    </row>
    <row r="95" spans="1:14">
      <c r="A95" s="213" t="s">
        <v>215</v>
      </c>
      <c r="B95" s="230">
        <f>K104</f>
        <v>-1031159.4808075862</v>
      </c>
      <c r="D95" s="134" t="s">
        <v>2244</v>
      </c>
      <c r="E95" s="135" t="s">
        <v>2243</v>
      </c>
      <c r="F95" s="136">
        <f>-(GIS!AI238*'State &amp; Province Summary'!H35)</f>
        <v>-14751204.489497505</v>
      </c>
      <c r="G95" s="28"/>
      <c r="H95" s="79"/>
      <c r="I95" s="28"/>
      <c r="J95" s="79"/>
      <c r="K95" s="79"/>
      <c r="L95" s="28"/>
      <c r="M95" s="79"/>
      <c r="N95" s="79"/>
    </row>
    <row r="96" spans="1:14">
      <c r="A96" s="213" t="s">
        <v>216</v>
      </c>
      <c r="B96" s="230">
        <f>N104</f>
        <v>-2419873.511585203</v>
      </c>
      <c r="D96" s="80"/>
      <c r="E96" s="28"/>
      <c r="F96" s="79"/>
      <c r="G96" s="28"/>
      <c r="H96" s="82">
        <f>SUM(H92:H94)</f>
        <v>0</v>
      </c>
      <c r="I96" s="28"/>
      <c r="J96" s="79"/>
      <c r="K96" s="82">
        <f>SUM(K92:K94)</f>
        <v>0</v>
      </c>
      <c r="L96" s="28"/>
      <c r="M96" s="79"/>
      <c r="N96" s="82">
        <f>SUM(N92:N94)</f>
        <v>0</v>
      </c>
    </row>
    <row r="97" spans="1:14">
      <c r="A97" s="213"/>
      <c r="B97" s="213"/>
    </row>
    <row r="98" spans="1:14" ht="13">
      <c r="A98" s="231" t="s">
        <v>217</v>
      </c>
      <c r="B98" s="229">
        <f>H104</f>
        <v>-671709024.3627789</v>
      </c>
      <c r="D98" s="65" t="s">
        <v>218</v>
      </c>
      <c r="E98" s="28"/>
      <c r="F98" s="79"/>
      <c r="G98" s="28"/>
      <c r="H98" s="82"/>
      <c r="I98" s="28"/>
      <c r="J98" s="79"/>
      <c r="K98" s="82"/>
      <c r="L98" s="28"/>
      <c r="M98" s="79"/>
      <c r="N98" s="82"/>
    </row>
    <row r="99" spans="1:14">
      <c r="A99" s="213"/>
      <c r="B99" s="232"/>
      <c r="D99" s="80" t="s">
        <v>382</v>
      </c>
      <c r="E99" s="93" t="s">
        <v>63</v>
      </c>
      <c r="F99" s="94">
        <f>'GIS Heat Input'!H92</f>
        <v>-5826433.7674929388</v>
      </c>
      <c r="G99" s="28"/>
      <c r="H99" s="79">
        <f>F99*'GWPs &amp; Fuel EFs'!$N$20</f>
        <v>-668843715.38027346</v>
      </c>
      <c r="I99" s="28"/>
      <c r="J99" s="79">
        <f>F99*'GWPs &amp; Fuel EFs'!$M$48</f>
        <v>-41104.280568789611</v>
      </c>
      <c r="K99" s="79">
        <f>J99*'GWPs &amp; Fuel EFs'!$D$11</f>
        <v>-1027607.0142197403</v>
      </c>
      <c r="L99" s="28"/>
      <c r="M99" s="79">
        <f>F99*'GWPs &amp; Fuel EFs'!$M$76</f>
        <v>-8092.405236980454</v>
      </c>
      <c r="N99" s="79">
        <f>M99*'GWPs &amp; Fuel EFs'!$E$11</f>
        <v>-2411536.7606201754</v>
      </c>
    </row>
    <row r="100" spans="1:14">
      <c r="A100" s="213"/>
      <c r="B100" s="213"/>
      <c r="D100" s="80" t="s">
        <v>385</v>
      </c>
      <c r="E100" s="93" t="s">
        <v>16</v>
      </c>
      <c r="F100" s="94">
        <f>'GIS Heat Input'!H93</f>
        <v>0</v>
      </c>
      <c r="G100" s="28"/>
      <c r="H100" s="79">
        <f>F100*'GWPs &amp; Fuel EFs'!$N$21</f>
        <v>0</v>
      </c>
      <c r="I100" s="28"/>
      <c r="J100" s="79">
        <f>F100*'GWPs &amp; Fuel EFs'!$M$49</f>
        <v>0</v>
      </c>
      <c r="K100" s="79">
        <f>J100*'GWPs &amp; Fuel EFs'!$D$11</f>
        <v>0</v>
      </c>
      <c r="L100" s="28"/>
      <c r="M100" s="79">
        <f>F100*'GWPs &amp; Fuel EFs'!$M$77</f>
        <v>0</v>
      </c>
      <c r="N100" s="79">
        <f>M100*'GWPs &amp; Fuel EFs'!$E$11</f>
        <v>0</v>
      </c>
    </row>
    <row r="101" spans="1:14">
      <c r="A101" s="213"/>
      <c r="B101" s="213"/>
      <c r="D101" s="80" t="s">
        <v>390</v>
      </c>
      <c r="E101" s="93" t="s">
        <v>69</v>
      </c>
      <c r="F101" s="94">
        <f>'GIS Heat Input'!H94</f>
        <v>0</v>
      </c>
      <c r="G101" s="28"/>
      <c r="H101" s="79">
        <f>F101*'GWPs &amp; Fuel EFs'!$N$23</f>
        <v>0</v>
      </c>
      <c r="I101" s="28"/>
      <c r="J101" s="79">
        <f>F101*'GWPs &amp; Fuel EFs'!$M$51</f>
        <v>0</v>
      </c>
      <c r="K101" s="79">
        <f>J101*'GWPs &amp; Fuel EFs'!$D$11</f>
        <v>0</v>
      </c>
      <c r="L101" s="28"/>
      <c r="M101" s="79">
        <f>F101*'GWPs &amp; Fuel EFs'!$M$79</f>
        <v>0</v>
      </c>
      <c r="N101" s="79">
        <f>M101*'GWPs &amp; Fuel EFs'!$E$11</f>
        <v>0</v>
      </c>
    </row>
    <row r="102" spans="1:14">
      <c r="A102" s="213"/>
      <c r="B102" s="213"/>
      <c r="D102" s="80" t="s">
        <v>2239</v>
      </c>
      <c r="E102" s="93" t="s">
        <v>68</v>
      </c>
      <c r="F102" s="94">
        <f>'GIS Heat Input'!H95</f>
        <v>-20142.146753476656</v>
      </c>
      <c r="G102" s="28"/>
      <c r="H102" s="79">
        <f>F102*'GWPs &amp; Fuel EFs'!$N$27</f>
        <v>-2312211.6903642234</v>
      </c>
      <c r="I102" s="28"/>
      <c r="J102" s="79">
        <f>F102*'GWPs &amp; Fuel EFs'!$M$55</f>
        <v>-142.09866351383744</v>
      </c>
      <c r="K102" s="79">
        <f>J102*'GWPs &amp; Fuel EFs'!$D$11</f>
        <v>-3552.4665878459359</v>
      </c>
      <c r="L102" s="28"/>
      <c r="M102" s="79">
        <f>F102*'GWPs &amp; Fuel EFs'!$M$83</f>
        <v>-27.975674379286744</v>
      </c>
      <c r="N102" s="79">
        <f>M102*'GWPs &amp; Fuel EFs'!$E$11</f>
        <v>-8336.7509650274496</v>
      </c>
    </row>
    <row r="103" spans="1:14">
      <c r="A103" s="213"/>
      <c r="B103" s="213"/>
      <c r="D103" s="134" t="s">
        <v>2244</v>
      </c>
      <c r="E103" s="135" t="s">
        <v>2486</v>
      </c>
      <c r="F103" s="142">
        <f>-(GIS!AI238*'State &amp; Province Summary'!H36)</f>
        <v>-553097.29214117234</v>
      </c>
      <c r="G103" s="28"/>
      <c r="H103" s="79">
        <f>F103</f>
        <v>-553097.29214117234</v>
      </c>
      <c r="I103" s="28"/>
      <c r="J103" s="79"/>
      <c r="K103" s="79"/>
      <c r="L103" s="28"/>
      <c r="M103" s="79"/>
      <c r="N103" s="79"/>
    </row>
    <row r="104" spans="1:14">
      <c r="A104" s="213"/>
      <c r="B104" s="213"/>
      <c r="D104" s="28"/>
      <c r="E104" s="28"/>
      <c r="F104" s="79"/>
      <c r="G104" s="28"/>
      <c r="H104" s="82">
        <f>SUM(H99:H103)</f>
        <v>-671709024.3627789</v>
      </c>
      <c r="I104" s="28"/>
      <c r="J104" s="28"/>
      <c r="K104" s="82">
        <f>SUM(K99:K102)</f>
        <v>-1031159.4808075862</v>
      </c>
      <c r="L104" s="28"/>
      <c r="M104" s="28"/>
      <c r="N104" s="82">
        <f>SUM(N99:N102)</f>
        <v>-2419873.511585203</v>
      </c>
    </row>
    <row r="105" spans="1:14">
      <c r="A105" s="213"/>
      <c r="B105" s="213"/>
    </row>
    <row r="106" spans="1:14">
      <c r="A106" s="13"/>
      <c r="B106" s="13"/>
      <c r="D106" s="83"/>
      <c r="E106" s="83"/>
      <c r="F106" s="83"/>
      <c r="G106" s="28"/>
      <c r="H106" s="83"/>
      <c r="I106" s="28"/>
      <c r="J106" s="83"/>
      <c r="K106" s="84"/>
      <c r="L106" s="28"/>
      <c r="M106" s="83"/>
      <c r="N106" s="83"/>
    </row>
    <row r="107" spans="1:14" ht="13">
      <c r="A107" s="797" t="s">
        <v>1533</v>
      </c>
      <c r="B107" s="797"/>
      <c r="D107" s="790" t="s">
        <v>222</v>
      </c>
      <c r="E107" s="790"/>
      <c r="F107" s="790"/>
      <c r="G107" s="28"/>
      <c r="H107" s="76" t="s">
        <v>222</v>
      </c>
      <c r="I107" s="28"/>
      <c r="J107" s="790" t="s">
        <v>222</v>
      </c>
      <c r="K107" s="790"/>
      <c r="L107" s="28"/>
      <c r="M107" s="790" t="s">
        <v>222</v>
      </c>
      <c r="N107" s="790"/>
    </row>
    <row r="108" spans="1:14" ht="13">
      <c r="A108" s="797">
        <f>A89</f>
        <v>2022</v>
      </c>
      <c r="B108" s="797"/>
      <c r="D108" s="790" t="s">
        <v>204</v>
      </c>
      <c r="E108" s="790"/>
      <c r="F108" s="790"/>
      <c r="G108" s="28"/>
      <c r="H108" s="76" t="s">
        <v>205</v>
      </c>
      <c r="I108" s="28"/>
      <c r="J108" s="790" t="s">
        <v>206</v>
      </c>
      <c r="K108" s="790"/>
      <c r="L108" s="28"/>
      <c r="M108" s="790" t="s">
        <v>207</v>
      </c>
      <c r="N108" s="790"/>
    </row>
    <row r="109" spans="1:14" s="12" customFormat="1" ht="42.75" customHeight="1">
      <c r="A109" s="226"/>
      <c r="B109" s="227" t="s">
        <v>327</v>
      </c>
      <c r="D109" s="78" t="s">
        <v>208</v>
      </c>
      <c r="E109" s="78" t="s">
        <v>209</v>
      </c>
      <c r="F109" s="78" t="str">
        <f>F16</f>
        <v>Heat Input from GIS certificates (MMBtu)</v>
      </c>
      <c r="G109" s="28"/>
      <c r="H109" s="65" t="s">
        <v>325</v>
      </c>
      <c r="I109" s="77"/>
      <c r="J109" s="65" t="s">
        <v>326</v>
      </c>
      <c r="K109" s="65" t="s">
        <v>327</v>
      </c>
      <c r="L109" s="77"/>
      <c r="M109" s="65" t="s">
        <v>328</v>
      </c>
      <c r="N109" s="65" t="s">
        <v>327</v>
      </c>
    </row>
    <row r="110" spans="1:14" ht="13">
      <c r="A110" s="228" t="s">
        <v>211</v>
      </c>
      <c r="B110" s="229">
        <f>SUM(B111:B115)</f>
        <v>4695581.3869127519</v>
      </c>
      <c r="D110" s="65" t="s">
        <v>212</v>
      </c>
      <c r="E110" s="65"/>
      <c r="F110" s="65"/>
      <c r="G110" s="28"/>
      <c r="H110" s="28"/>
      <c r="I110" s="28"/>
      <c r="J110" s="77"/>
      <c r="K110" s="77"/>
      <c r="L110" s="28"/>
      <c r="M110" s="77"/>
      <c r="N110" s="77"/>
    </row>
    <row r="111" spans="1:14">
      <c r="A111" s="213" t="s">
        <v>1377</v>
      </c>
      <c r="B111" s="230">
        <f>H114</f>
        <v>0</v>
      </c>
      <c r="D111" s="80" t="s">
        <v>375</v>
      </c>
      <c r="E111" s="93" t="s">
        <v>46</v>
      </c>
      <c r="F111" s="94">
        <f>'GIS Heat Input'!H64</f>
        <v>0</v>
      </c>
      <c r="G111" s="28"/>
      <c r="H111" s="79">
        <f>F111*'GWPs &amp; Fuel EFs'!$N$7</f>
        <v>0</v>
      </c>
      <c r="I111" s="28"/>
      <c r="J111" s="79">
        <f>F111*'GWPs &amp; Fuel EFs'!$M$35</f>
        <v>0</v>
      </c>
      <c r="K111" s="79">
        <f>J111*'GWPs &amp; Fuel EFs'!$D$11</f>
        <v>0</v>
      </c>
      <c r="L111" s="28"/>
      <c r="M111" s="79">
        <f>F111*'GWPs &amp; Fuel EFs'!$M$63</f>
        <v>0</v>
      </c>
      <c r="N111" s="79">
        <f>M111*'GWPs &amp; Fuel EFs'!$E$11</f>
        <v>0</v>
      </c>
    </row>
    <row r="112" spans="1:14">
      <c r="A112" s="213" t="s">
        <v>213</v>
      </c>
      <c r="B112" s="230">
        <f>K114</f>
        <v>0</v>
      </c>
      <c r="D112" s="80" t="s">
        <v>374</v>
      </c>
      <c r="E112" s="93" t="s">
        <v>39</v>
      </c>
      <c r="F112" s="94">
        <f>'GIS Heat Input'!H65</f>
        <v>0</v>
      </c>
      <c r="G112" s="28"/>
      <c r="H112" s="79">
        <f>F112*'GWPs &amp; Fuel EFs'!$N$8</f>
        <v>0</v>
      </c>
      <c r="I112" s="28"/>
      <c r="J112" s="79">
        <f>F112*'GWPs &amp; Fuel EFs'!$M$36</f>
        <v>0</v>
      </c>
      <c r="K112" s="79">
        <f>J112*'GWPs &amp; Fuel EFs'!$D$11</f>
        <v>0</v>
      </c>
      <c r="L112" s="28"/>
      <c r="M112" s="79">
        <f>F112*'GWPs &amp; Fuel EFs'!$M$64</f>
        <v>0</v>
      </c>
      <c r="N112" s="79">
        <f>M112*'GWPs &amp; Fuel EFs'!$E$11</f>
        <v>0</v>
      </c>
    </row>
    <row r="113" spans="1:14">
      <c r="A113" s="213" t="s">
        <v>214</v>
      </c>
      <c r="B113" s="230">
        <f>N114</f>
        <v>0</v>
      </c>
      <c r="D113" s="80" t="s">
        <v>388</v>
      </c>
      <c r="E113" s="93" t="s">
        <v>17</v>
      </c>
      <c r="F113" s="94">
        <f>'GIS Heat Input'!H66</f>
        <v>0</v>
      </c>
      <c r="G113" s="28"/>
      <c r="H113" s="79">
        <f>F113*'GWPs &amp; Fuel EFs'!$N$9</f>
        <v>0</v>
      </c>
      <c r="I113" s="28"/>
      <c r="J113" s="79">
        <f>F113*'GWPs &amp; Fuel EFs'!$M$37</f>
        <v>0</v>
      </c>
      <c r="K113" s="79">
        <f>J113*'GWPs &amp; Fuel EFs'!$D$11</f>
        <v>0</v>
      </c>
      <c r="L113" s="28"/>
      <c r="M113" s="79">
        <f>F113*'GWPs &amp; Fuel EFs'!$M$65</f>
        <v>0</v>
      </c>
      <c r="N113" s="79">
        <f>M113*'GWPs &amp; Fuel EFs'!$E$11</f>
        <v>0</v>
      </c>
    </row>
    <row r="114" spans="1:14">
      <c r="A114" s="213" t="s">
        <v>215</v>
      </c>
      <c r="B114" s="230">
        <f>K122</f>
        <v>664511.72066344402</v>
      </c>
      <c r="D114" s="80"/>
      <c r="E114" s="28"/>
      <c r="F114" s="79"/>
      <c r="G114" s="28"/>
      <c r="H114" s="82">
        <f>SUM(H111:H113)</f>
        <v>0</v>
      </c>
      <c r="I114" s="28"/>
      <c r="J114" s="79"/>
      <c r="K114" s="82">
        <f>SUM(K111:K113)</f>
        <v>0</v>
      </c>
      <c r="L114" s="28"/>
      <c r="M114" s="79"/>
      <c r="N114" s="82">
        <f>SUM(N111:N113)</f>
        <v>0</v>
      </c>
    </row>
    <row r="115" spans="1:14">
      <c r="A115" s="213" t="s">
        <v>216</v>
      </c>
      <c r="B115" s="230">
        <f>N122</f>
        <v>4031069.6662493083</v>
      </c>
    </row>
    <row r="116" spans="1:14">
      <c r="A116" s="213"/>
      <c r="B116" s="213"/>
    </row>
    <row r="117" spans="1:14" ht="13">
      <c r="A117" s="231" t="s">
        <v>217</v>
      </c>
      <c r="B117" s="229">
        <f>H122</f>
        <v>343749684.09173429</v>
      </c>
      <c r="D117" s="65" t="s">
        <v>218</v>
      </c>
      <c r="E117" s="28"/>
      <c r="F117" s="79"/>
      <c r="G117" s="28"/>
      <c r="H117" s="82"/>
      <c r="I117" s="28"/>
      <c r="J117" s="79"/>
      <c r="K117" s="82"/>
      <c r="L117" s="28"/>
      <c r="M117" s="79"/>
      <c r="N117" s="82"/>
    </row>
    <row r="118" spans="1:14">
      <c r="A118" s="213"/>
      <c r="B118" s="232"/>
      <c r="D118" s="80" t="s">
        <v>382</v>
      </c>
      <c r="E118" s="93" t="s">
        <v>63</v>
      </c>
      <c r="F118" s="94">
        <f>'GIS Heat Input'!H68</f>
        <v>-110753.69755643434</v>
      </c>
      <c r="G118" s="28"/>
      <c r="H118" s="79">
        <f>F118*'GWPs &amp; Fuel EFs'!$N$20</f>
        <v>-12713937.465322509</v>
      </c>
      <c r="I118" s="28"/>
      <c r="J118" s="79">
        <f>F118*'GWPs &amp; Fuel EFs'!$M$48</f>
        <v>-781.34434202097248</v>
      </c>
      <c r="K118" s="79">
        <f>J118*'GWPs &amp; Fuel EFs'!$D$11</f>
        <v>-19533.608550524314</v>
      </c>
      <c r="L118" s="28"/>
      <c r="M118" s="79">
        <f>F118*'GWPs &amp; Fuel EFs'!$M$76</f>
        <v>-153.82716733537893</v>
      </c>
      <c r="N118" s="79">
        <f>M118*'GWPs &amp; Fuel EFs'!$E$11</f>
        <v>-45840.495865942925</v>
      </c>
    </row>
    <row r="119" spans="1:14">
      <c r="A119" s="213"/>
      <c r="B119" s="213"/>
      <c r="D119" s="80" t="s">
        <v>385</v>
      </c>
      <c r="E119" s="93" t="s">
        <v>16</v>
      </c>
      <c r="F119" s="94">
        <f>'GIS Heat Input'!H69</f>
        <v>0</v>
      </c>
      <c r="G119" s="28"/>
      <c r="H119" s="79">
        <f>F119*'GWPs &amp; Fuel EFs'!$N$21</f>
        <v>0</v>
      </c>
      <c r="I119" s="28"/>
      <c r="J119" s="79">
        <f>F119*'GWPs &amp; Fuel EFs'!$M$49</f>
        <v>0</v>
      </c>
      <c r="K119" s="79">
        <f>J119*'GWPs &amp; Fuel EFs'!$D$11</f>
        <v>0</v>
      </c>
      <c r="L119" s="28"/>
      <c r="M119" s="79">
        <f>F119*'GWPs &amp; Fuel EFs'!$M$77</f>
        <v>0</v>
      </c>
      <c r="N119" s="79">
        <f>M119*'GWPs &amp; Fuel EFs'!$E$11</f>
        <v>0</v>
      </c>
    </row>
    <row r="120" spans="1:14">
      <c r="A120" s="213"/>
      <c r="B120" s="213"/>
      <c r="D120" s="80" t="s">
        <v>390</v>
      </c>
      <c r="E120" s="93" t="s">
        <v>69</v>
      </c>
      <c r="F120" s="94">
        <f>'GIS Heat Input'!H70</f>
        <v>1723765.2351432785</v>
      </c>
      <c r="G120" s="28"/>
      <c r="H120" s="79">
        <f>F120*'GWPs &amp; Fuel EFs'!$N$23</f>
        <v>356463621.55705678</v>
      </c>
      <c r="I120" s="28"/>
      <c r="J120" s="79">
        <f>F120*'GWPs &amp; Fuel EFs'!$M$51</f>
        <v>27361.813168558732</v>
      </c>
      <c r="K120" s="79">
        <f>J120*'GWPs &amp; Fuel EFs'!$D$11</f>
        <v>684045.32921396836</v>
      </c>
      <c r="L120" s="28"/>
      <c r="M120" s="79">
        <f>F120*'GWPs &amp; Fuel EFs'!$M$79</f>
        <v>13680.906584279366</v>
      </c>
      <c r="N120" s="79">
        <f>M120*'GWPs &amp; Fuel EFs'!$E$11</f>
        <v>4076910.1621152512</v>
      </c>
    </row>
    <row r="121" spans="1:14">
      <c r="A121" s="213"/>
      <c r="B121" s="213"/>
      <c r="D121" s="80" t="s">
        <v>2239</v>
      </c>
      <c r="E121" s="93" t="s">
        <v>68</v>
      </c>
      <c r="F121" s="94">
        <f>'GIS Heat Input'!H71</f>
        <v>0</v>
      </c>
      <c r="G121" s="28"/>
      <c r="H121" s="79">
        <f>F121*'GWPs &amp; Fuel EFs'!$N$27</f>
        <v>0</v>
      </c>
      <c r="I121" s="28"/>
      <c r="J121" s="79">
        <f>F121*'GWPs &amp; Fuel EFs'!$M$55</f>
        <v>0</v>
      </c>
      <c r="K121" s="79">
        <f>J121*'GWPs &amp; Fuel EFs'!$D$11</f>
        <v>0</v>
      </c>
      <c r="L121" s="28"/>
      <c r="M121" s="79">
        <f>F121*'GWPs &amp; Fuel EFs'!$M$83</f>
        <v>0</v>
      </c>
      <c r="N121" s="79">
        <f>M121*'GWPs &amp; Fuel EFs'!$E$11</f>
        <v>0</v>
      </c>
    </row>
    <row r="122" spans="1:14">
      <c r="A122" s="213"/>
      <c r="B122" s="232"/>
      <c r="D122" s="28"/>
      <c r="E122" s="28"/>
      <c r="F122" s="79"/>
      <c r="G122" s="28"/>
      <c r="H122" s="82">
        <f>SUM(H118:H121)</f>
        <v>343749684.09173429</v>
      </c>
      <c r="I122" s="28"/>
      <c r="J122" s="28"/>
      <c r="K122" s="82">
        <f>SUM(K118:K121)</f>
        <v>664511.72066344402</v>
      </c>
      <c r="L122" s="28"/>
      <c r="M122" s="28"/>
      <c r="N122" s="82">
        <f>SUM(N118:N121)</f>
        <v>4031069.6662493083</v>
      </c>
    </row>
    <row r="123" spans="1:14">
      <c r="A123" s="213"/>
      <c r="B123" s="213"/>
    </row>
    <row r="124" spans="1:14">
      <c r="A124" s="13"/>
      <c r="B124" s="13"/>
      <c r="D124" s="83"/>
      <c r="E124" s="83"/>
      <c r="F124" s="83"/>
      <c r="G124" s="28"/>
      <c r="H124" s="83"/>
      <c r="I124" s="28"/>
      <c r="J124" s="83"/>
      <c r="K124" s="83"/>
      <c r="L124" s="28"/>
      <c r="M124" s="83"/>
      <c r="N124" s="83"/>
    </row>
    <row r="125" spans="1:14" ht="13">
      <c r="A125" s="797" t="s">
        <v>1534</v>
      </c>
      <c r="B125" s="797"/>
      <c r="D125" s="790" t="s">
        <v>221</v>
      </c>
      <c r="E125" s="790"/>
      <c r="F125" s="790"/>
      <c r="G125" s="28"/>
      <c r="H125" s="76" t="s">
        <v>221</v>
      </c>
      <c r="I125" s="28"/>
      <c r="J125" s="790" t="s">
        <v>221</v>
      </c>
      <c r="K125" s="790"/>
      <c r="L125" s="28"/>
      <c r="M125" s="790" t="s">
        <v>221</v>
      </c>
      <c r="N125" s="790"/>
    </row>
    <row r="126" spans="1:14" ht="13">
      <c r="A126" s="797">
        <f>A108</f>
        <v>2022</v>
      </c>
      <c r="B126" s="797"/>
      <c r="D126" s="790" t="s">
        <v>204</v>
      </c>
      <c r="E126" s="790"/>
      <c r="F126" s="790"/>
      <c r="G126" s="28"/>
      <c r="H126" s="76" t="s">
        <v>205</v>
      </c>
      <c r="I126" s="28"/>
      <c r="J126" s="790" t="s">
        <v>206</v>
      </c>
      <c r="K126" s="790"/>
      <c r="L126" s="28"/>
      <c r="M126" s="790" t="s">
        <v>207</v>
      </c>
      <c r="N126" s="790"/>
    </row>
    <row r="127" spans="1:14" s="12" customFormat="1" ht="42.75" customHeight="1">
      <c r="A127" s="226"/>
      <c r="B127" s="227" t="s">
        <v>327</v>
      </c>
      <c r="D127" s="78" t="s">
        <v>208</v>
      </c>
      <c r="E127" s="78" t="s">
        <v>209</v>
      </c>
      <c r="F127" s="78" t="str">
        <f>F16</f>
        <v>Heat Input from GIS certificates (MMBtu)</v>
      </c>
      <c r="G127" s="28"/>
      <c r="H127" s="65" t="s">
        <v>325</v>
      </c>
      <c r="I127" s="77"/>
      <c r="J127" s="65" t="s">
        <v>326</v>
      </c>
      <c r="K127" s="65" t="s">
        <v>327</v>
      </c>
      <c r="L127" s="77"/>
      <c r="M127" s="65" t="s">
        <v>328</v>
      </c>
      <c r="N127" s="65" t="s">
        <v>327</v>
      </c>
    </row>
    <row r="128" spans="1:14" ht="12.75" customHeight="1">
      <c r="A128" s="228" t="s">
        <v>211</v>
      </c>
      <c r="B128" s="229">
        <f>SUM(B129:B133)+F132+F133</f>
        <v>5957364.2806052119</v>
      </c>
      <c r="D128" s="65" t="s">
        <v>212</v>
      </c>
      <c r="E128" s="65"/>
      <c r="F128" s="65"/>
      <c r="G128" s="28"/>
      <c r="H128" s="28"/>
      <c r="I128" s="28"/>
      <c r="J128" s="77"/>
      <c r="K128" s="77"/>
      <c r="L128" s="28"/>
      <c r="M128" s="77"/>
      <c r="N128" s="77"/>
    </row>
    <row r="129" spans="1:14">
      <c r="A129" s="213" t="s">
        <v>1377</v>
      </c>
      <c r="B129" s="230">
        <f>H133</f>
        <v>0</v>
      </c>
      <c r="D129" s="80" t="s">
        <v>375</v>
      </c>
      <c r="E129" s="93" t="s">
        <v>46</v>
      </c>
      <c r="F129" s="94">
        <f>'GIS Heat Input'!H76</f>
        <v>0</v>
      </c>
      <c r="G129" s="28"/>
      <c r="H129" s="79">
        <f>F129*'GWPs &amp; Fuel EFs'!$N$7</f>
        <v>0</v>
      </c>
      <c r="I129" s="28"/>
      <c r="J129" s="79">
        <f>F129*'GWPs &amp; Fuel EFs'!$M$35</f>
        <v>0</v>
      </c>
      <c r="K129" s="79">
        <f>J129*'GWPs &amp; Fuel EFs'!$D$11</f>
        <v>0</v>
      </c>
      <c r="L129" s="28"/>
      <c r="M129" s="79">
        <f>F129*'GWPs &amp; Fuel EFs'!$M$63</f>
        <v>0</v>
      </c>
      <c r="N129" s="79">
        <f>M129*'GWPs &amp; Fuel EFs'!$E$11</f>
        <v>0</v>
      </c>
    </row>
    <row r="130" spans="1:14">
      <c r="A130" s="213" t="s">
        <v>213</v>
      </c>
      <c r="B130" s="230">
        <f>K133</f>
        <v>0</v>
      </c>
      <c r="D130" s="80" t="s">
        <v>374</v>
      </c>
      <c r="E130" s="93" t="s">
        <v>39</v>
      </c>
      <c r="F130" s="94">
        <f>'GIS Heat Input'!H77</f>
        <v>0</v>
      </c>
      <c r="G130" s="28"/>
      <c r="H130" s="79">
        <f>F130*'GWPs &amp; Fuel EFs'!$N$8</f>
        <v>0</v>
      </c>
      <c r="I130" s="28"/>
      <c r="J130" s="79">
        <f>F130*'GWPs &amp; Fuel EFs'!$M$36</f>
        <v>0</v>
      </c>
      <c r="K130" s="79">
        <f>J130*'GWPs &amp; Fuel EFs'!$D$11</f>
        <v>0</v>
      </c>
      <c r="L130" s="28"/>
      <c r="M130" s="79">
        <f>F130*'GWPs &amp; Fuel EFs'!$M$64</f>
        <v>0</v>
      </c>
      <c r="N130" s="79">
        <f>M130*'GWPs &amp; Fuel EFs'!$E$11</f>
        <v>0</v>
      </c>
    </row>
    <row r="131" spans="1:14">
      <c r="A131" s="213" t="s">
        <v>214</v>
      </c>
      <c r="B131" s="230">
        <f>N133</f>
        <v>0</v>
      </c>
      <c r="D131" s="80" t="s">
        <v>388</v>
      </c>
      <c r="E131" s="93" t="s">
        <v>17</v>
      </c>
      <c r="F131" s="94">
        <f>'GIS Heat Input'!H78</f>
        <v>0</v>
      </c>
      <c r="G131" s="28"/>
      <c r="H131" s="79">
        <f>F131*'GWPs &amp; Fuel EFs'!$N$9</f>
        <v>0</v>
      </c>
      <c r="I131" s="28"/>
      <c r="J131" s="79">
        <f>F131*'GWPs &amp; Fuel EFs'!$M$37</f>
        <v>0</v>
      </c>
      <c r="K131" s="79">
        <f>J131*'GWPs &amp; Fuel EFs'!$D$11</f>
        <v>0</v>
      </c>
      <c r="L131" s="28"/>
      <c r="M131" s="79">
        <f>F131*'GWPs &amp; Fuel EFs'!$M$65</f>
        <v>0</v>
      </c>
      <c r="N131" s="79">
        <f>M131*'GWPs &amp; Fuel EFs'!$E$11</f>
        <v>0</v>
      </c>
    </row>
    <row r="132" spans="1:14">
      <c r="A132" s="213" t="s">
        <v>215</v>
      </c>
      <c r="B132" s="230">
        <f>K142</f>
        <v>-2254731.5907761715</v>
      </c>
      <c r="D132" s="134" t="s">
        <v>2244</v>
      </c>
      <c r="E132" s="135" t="s">
        <v>2243</v>
      </c>
      <c r="F132" s="162">
        <f>GIS!AH238*'State &amp; Province Summary'!H35</f>
        <v>14751204.489497505</v>
      </c>
      <c r="G132" s="28"/>
      <c r="H132" s="82"/>
      <c r="I132" s="28"/>
      <c r="J132" s="79"/>
      <c r="K132" s="82"/>
      <c r="L132" s="28"/>
      <c r="M132" s="79"/>
      <c r="N132" s="82"/>
    </row>
    <row r="133" spans="1:14">
      <c r="A133" s="213" t="s">
        <v>216</v>
      </c>
      <c r="B133" s="230">
        <f>N142</f>
        <v>-13072753.693938687</v>
      </c>
      <c r="D133" s="134" t="s">
        <v>2241</v>
      </c>
      <c r="E133" s="135" t="s">
        <v>2243</v>
      </c>
      <c r="F133" s="162">
        <f>GIS!AN290*'State &amp; Province Summary'!H41</f>
        <v>6533645.0758225657</v>
      </c>
      <c r="G133" s="28"/>
      <c r="H133" s="82">
        <f>SUM(H129:H131)</f>
        <v>0</v>
      </c>
      <c r="I133" s="28"/>
      <c r="J133" s="79"/>
      <c r="K133" s="82">
        <f>SUM(K129:K131)</f>
        <v>0</v>
      </c>
      <c r="L133" s="28"/>
      <c r="M133" s="79"/>
      <c r="N133" s="82">
        <f>SUM(N129:N131)</f>
        <v>0</v>
      </c>
    </row>
    <row r="134" spans="1:14">
      <c r="A134" s="213"/>
      <c r="B134" s="213"/>
    </row>
    <row r="135" spans="1:14" ht="13">
      <c r="A135" s="231" t="s">
        <v>217</v>
      </c>
      <c r="B135" s="229">
        <f>H142</f>
        <v>-1155475083.9008582</v>
      </c>
      <c r="D135" s="65" t="s">
        <v>218</v>
      </c>
      <c r="E135" s="28"/>
      <c r="F135" s="79"/>
      <c r="G135" s="28"/>
      <c r="H135" s="82"/>
      <c r="I135" s="28"/>
      <c r="J135" s="79"/>
      <c r="K135" s="82"/>
      <c r="L135" s="28"/>
      <c r="M135" s="79"/>
      <c r="N135" s="82"/>
    </row>
    <row r="136" spans="1:14">
      <c r="A136" s="213"/>
      <c r="B136" s="232"/>
      <c r="D136" s="80" t="s">
        <v>382</v>
      </c>
      <c r="E136" s="93" t="s">
        <v>63</v>
      </c>
      <c r="F136" s="94">
        <f>'GIS Heat Input'!H80</f>
        <v>-573458.04913978104</v>
      </c>
      <c r="G136" s="28"/>
      <c r="H136" s="79">
        <f>F136*'GWPs &amp; Fuel EFs'!$N$20</f>
        <v>-65829944.612313725</v>
      </c>
      <c r="I136" s="28"/>
      <c r="J136" s="79">
        <f>F136*'GWPs &amp; Fuel EFs'!$M$48</f>
        <v>-4045.6274776148252</v>
      </c>
      <c r="K136" s="79">
        <f>J136*'GWPs &amp; Fuel EFs'!$D$11</f>
        <v>-101140.68694037064</v>
      </c>
      <c r="L136" s="28"/>
      <c r="M136" s="79">
        <f>F136*'GWPs &amp; Fuel EFs'!$M$76</f>
        <v>-796.48290965541867</v>
      </c>
      <c r="N136" s="79">
        <f>M136*'GWPs &amp; Fuel EFs'!$E$11</f>
        <v>-237351.90707731477</v>
      </c>
    </row>
    <row r="137" spans="1:14">
      <c r="A137" s="213"/>
      <c r="B137" s="213"/>
      <c r="D137" s="80" t="s">
        <v>385</v>
      </c>
      <c r="E137" s="93" t="s">
        <v>16</v>
      </c>
      <c r="F137" s="94">
        <f>'GIS Heat Input'!H81</f>
        <v>0</v>
      </c>
      <c r="G137" s="28"/>
      <c r="H137" s="79">
        <f>F137*'GWPs &amp; Fuel EFs'!$N$21</f>
        <v>0</v>
      </c>
      <c r="I137" s="28"/>
      <c r="J137" s="79">
        <f>F137*'GWPs &amp; Fuel EFs'!$M$49</f>
        <v>0</v>
      </c>
      <c r="K137" s="79">
        <f>J137*'GWPs &amp; Fuel EFs'!$D$11</f>
        <v>0</v>
      </c>
      <c r="L137" s="28"/>
      <c r="M137" s="79">
        <f>F137*'GWPs &amp; Fuel EFs'!$M$77</f>
        <v>0</v>
      </c>
      <c r="N137" s="79">
        <f>M137*'GWPs &amp; Fuel EFs'!$E$11</f>
        <v>0</v>
      </c>
    </row>
    <row r="138" spans="1:14">
      <c r="A138" s="213"/>
      <c r="B138" s="213"/>
      <c r="D138" s="80" t="s">
        <v>390</v>
      </c>
      <c r="E138" s="93" t="s">
        <v>69</v>
      </c>
      <c r="F138" s="94">
        <f>'GIS Heat Input'!H82</f>
        <v>-5426957.7938916795</v>
      </c>
      <c r="G138" s="28"/>
      <c r="H138" s="79">
        <f>F138*'GWPs &amp; Fuel EFs'!$N$23</f>
        <v>-1122260148.7766562</v>
      </c>
      <c r="I138" s="28"/>
      <c r="J138" s="79">
        <f>F138*'GWPs &amp; Fuel EFs'!$M$51</f>
        <v>-86143.636153432031</v>
      </c>
      <c r="K138" s="79">
        <f>J138*'GWPs &amp; Fuel EFs'!$D$11</f>
        <v>-2153590.9038358009</v>
      </c>
      <c r="L138" s="28"/>
      <c r="M138" s="79">
        <f>F138*'GWPs &amp; Fuel EFs'!$M$79</f>
        <v>-43071.818076716016</v>
      </c>
      <c r="N138" s="79">
        <f>M138*'GWPs &amp; Fuel EFs'!$E$11</f>
        <v>-12835401.786861373</v>
      </c>
    </row>
    <row r="139" spans="1:14">
      <c r="A139" s="213"/>
      <c r="B139" s="230"/>
      <c r="D139" s="80" t="s">
        <v>2239</v>
      </c>
      <c r="E139" s="93" t="s">
        <v>68</v>
      </c>
      <c r="F139" s="94">
        <f>'GIS Heat Input'!H83</f>
        <v>-20.8948095878951</v>
      </c>
      <c r="G139" s="28"/>
      <c r="H139" s="79">
        <f>F139*'GWPs &amp; Fuel EFs'!$N$27</f>
        <v>-2398.613394509518</v>
      </c>
      <c r="I139" s="28"/>
      <c r="J139" s="79">
        <f>F139*'GWPs &amp; Fuel EFs'!$M$55</f>
        <v>-0.14740854354581254</v>
      </c>
      <c r="K139" s="79">
        <f>J139*'GWPs &amp; Fuel EFs'!$D$11</f>
        <v>-3.6852135886453135</v>
      </c>
      <c r="L139" s="28"/>
      <c r="M139" s="79">
        <f>F139*'GWPs &amp; Fuel EFs'!$M$83</f>
        <v>-2.902105701058184E-2</v>
      </c>
      <c r="N139" s="79">
        <f>M139*'GWPs &amp; Fuel EFs'!$E$11</f>
        <v>-8.6482749891533892</v>
      </c>
    </row>
    <row r="140" spans="1:14">
      <c r="A140" s="213"/>
      <c r="B140" s="230"/>
      <c r="D140" s="134" t="s">
        <v>2244</v>
      </c>
      <c r="E140" s="135" t="s">
        <v>2486</v>
      </c>
      <c r="F140" s="142">
        <f>GIS!AH238*'State &amp; Province Summary'!H36</f>
        <v>553097.29214117234</v>
      </c>
      <c r="G140" s="28"/>
      <c r="H140" s="79">
        <f>F140</f>
        <v>553097.29214117234</v>
      </c>
      <c r="I140" s="28"/>
      <c r="J140" s="79"/>
      <c r="K140" s="79"/>
      <c r="L140" s="28"/>
      <c r="M140" s="79"/>
      <c r="N140" s="79"/>
    </row>
    <row r="141" spans="1:14">
      <c r="A141" s="213"/>
      <c r="B141" s="230"/>
      <c r="D141" s="134" t="s">
        <v>2241</v>
      </c>
      <c r="E141" s="135" t="s">
        <v>2486</v>
      </c>
      <c r="F141" s="142">
        <f>GIS!AN290*'State &amp; Province Summary'!H42</f>
        <v>32064310.80936512</v>
      </c>
      <c r="G141" s="28"/>
      <c r="H141" s="79">
        <f>F141</f>
        <v>32064310.80936512</v>
      </c>
      <c r="I141" s="28"/>
      <c r="J141" s="79"/>
      <c r="K141" s="79"/>
      <c r="L141" s="28"/>
      <c r="M141" s="79"/>
      <c r="N141" s="79"/>
    </row>
    <row r="142" spans="1:14">
      <c r="A142" s="213"/>
      <c r="B142" s="230"/>
      <c r="D142" s="28"/>
      <c r="E142" s="28"/>
      <c r="F142" s="28"/>
      <c r="G142" s="28"/>
      <c r="H142" s="82">
        <f>SUM(H136:H141)</f>
        <v>-1155475083.9008582</v>
      </c>
      <c r="I142" s="28"/>
      <c r="J142" s="79"/>
      <c r="K142" s="82">
        <f>SUM(K136:K138)</f>
        <v>-2254731.5907761715</v>
      </c>
      <c r="L142" s="28"/>
      <c r="M142" s="79"/>
      <c r="N142" s="82">
        <f>SUM(N136:N138)</f>
        <v>-13072753.693938687</v>
      </c>
    </row>
    <row r="143" spans="1:14">
      <c r="A143" s="213"/>
      <c r="B143" s="213"/>
    </row>
    <row r="144" spans="1:14">
      <c r="A144" s="13"/>
      <c r="B144" s="13"/>
      <c r="D144" s="83"/>
      <c r="E144" s="83"/>
      <c r="F144" s="83"/>
      <c r="G144" s="28"/>
      <c r="H144" s="83"/>
      <c r="I144" s="28"/>
      <c r="J144" s="83"/>
      <c r="K144" s="83"/>
      <c r="L144" s="28"/>
      <c r="M144" s="83"/>
      <c r="N144" s="83"/>
    </row>
    <row r="145" spans="1:14" ht="13">
      <c r="A145" s="797" t="s">
        <v>3584</v>
      </c>
      <c r="B145" s="797"/>
      <c r="D145" s="790" t="s">
        <v>225</v>
      </c>
      <c r="E145" s="790"/>
      <c r="F145" s="790"/>
      <c r="G145" s="28"/>
      <c r="H145" s="76" t="s">
        <v>225</v>
      </c>
      <c r="I145" s="28"/>
      <c r="J145" s="790" t="s">
        <v>225</v>
      </c>
      <c r="K145" s="790"/>
      <c r="L145" s="28"/>
      <c r="M145" s="790" t="s">
        <v>225</v>
      </c>
      <c r="N145" s="790"/>
    </row>
    <row r="146" spans="1:14" ht="13">
      <c r="A146" s="797">
        <f>A126</f>
        <v>2022</v>
      </c>
      <c r="B146" s="797"/>
      <c r="D146" s="790"/>
      <c r="E146" s="790"/>
      <c r="F146" s="790"/>
      <c r="G146" s="28"/>
      <c r="H146" s="76" t="s">
        <v>205</v>
      </c>
      <c r="I146" s="28"/>
      <c r="J146" s="790" t="s">
        <v>206</v>
      </c>
      <c r="K146" s="790"/>
      <c r="L146" s="28"/>
      <c r="M146" s="790" t="s">
        <v>207</v>
      </c>
      <c r="N146" s="790"/>
    </row>
    <row r="147" spans="1:14" s="12" customFormat="1" ht="42.75" customHeight="1">
      <c r="A147" s="226"/>
      <c r="B147" s="227" t="s">
        <v>327</v>
      </c>
      <c r="D147" s="78" t="s">
        <v>208</v>
      </c>
      <c r="E147" s="78" t="s">
        <v>2242</v>
      </c>
      <c r="F147" s="65" t="str">
        <f>F16</f>
        <v>Heat Input from GIS certificates (MMBtu)</v>
      </c>
      <c r="G147" s="28"/>
      <c r="H147" s="65" t="s">
        <v>325</v>
      </c>
      <c r="I147" s="77"/>
      <c r="J147" s="65" t="s">
        <v>326</v>
      </c>
      <c r="K147" s="65" t="s">
        <v>327</v>
      </c>
      <c r="L147" s="28"/>
      <c r="M147" s="65" t="s">
        <v>328</v>
      </c>
      <c r="N147" s="65" t="s">
        <v>327</v>
      </c>
    </row>
    <row r="148" spans="1:14" ht="12.75" customHeight="1">
      <c r="A148" s="228" t="s">
        <v>211</v>
      </c>
      <c r="B148" s="229">
        <f>SUM(B149:B150)+F149</f>
        <v>-11919475.703179957</v>
      </c>
      <c r="D148" s="65" t="s">
        <v>212</v>
      </c>
      <c r="E148" s="87"/>
      <c r="F148" s="92"/>
      <c r="G148" s="28"/>
      <c r="H148" s="28"/>
      <c r="I148" s="28"/>
      <c r="J148" s="65"/>
      <c r="K148" s="65"/>
      <c r="L148" s="28"/>
      <c r="M148" s="65"/>
      <c r="N148" s="65"/>
    </row>
    <row r="149" spans="1:14" ht="12.75" customHeight="1">
      <c r="A149" s="213" t="s">
        <v>215</v>
      </c>
      <c r="B149" s="230">
        <f>K154</f>
        <v>-841144.32089471573</v>
      </c>
      <c r="D149" s="134" t="s">
        <v>2241</v>
      </c>
      <c r="E149" s="135" t="s">
        <v>2243</v>
      </c>
      <c r="F149" s="136">
        <f>-(GIS!AO290*'State &amp; Province Summary'!H41)</f>
        <v>-6533645.0758225657</v>
      </c>
      <c r="G149" s="28"/>
      <c r="H149" s="28"/>
      <c r="I149" s="28"/>
      <c r="J149" s="65"/>
      <c r="K149" s="65"/>
      <c r="L149" s="28"/>
      <c r="M149" s="65"/>
      <c r="N149" s="65"/>
    </row>
    <row r="150" spans="1:14" ht="14.25" customHeight="1">
      <c r="A150" s="213" t="s">
        <v>216</v>
      </c>
      <c r="B150" s="230">
        <f>N154</f>
        <v>-4544686.3064626763</v>
      </c>
      <c r="D150" s="86" t="s">
        <v>218</v>
      </c>
      <c r="E150" s="28"/>
      <c r="F150" s="28"/>
      <c r="G150" s="28"/>
      <c r="H150" s="79"/>
      <c r="I150" s="28"/>
      <c r="J150" s="77"/>
      <c r="K150" s="77"/>
      <c r="L150" s="28"/>
      <c r="M150" s="77"/>
      <c r="N150" s="77"/>
    </row>
    <row r="151" spans="1:14" ht="14.25" customHeight="1">
      <c r="A151" s="231" t="s">
        <v>217</v>
      </c>
      <c r="B151" s="229">
        <f>H154</f>
        <v>-487220579.49410975</v>
      </c>
      <c r="D151" s="80" t="s">
        <v>1260</v>
      </c>
      <c r="E151" s="28"/>
      <c r="F151" s="79">
        <f>'GIS Heat Input'!H116</f>
        <v>-735222.36851258995</v>
      </c>
      <c r="G151" s="28"/>
      <c r="H151" s="79">
        <f>'GWPs &amp; Fuel EFs'!N20*F151</f>
        <v>-84399631.09685193</v>
      </c>
      <c r="I151" s="28"/>
      <c r="J151" s="79">
        <f>F151*'GWPs &amp; Fuel EFs'!M48</f>
        <v>-5186.8411659290614</v>
      </c>
      <c r="K151" s="79">
        <f>J151*'GWPs &amp; Fuel EFs'!$D$11</f>
        <v>-129671.02914822653</v>
      </c>
      <c r="L151" s="28"/>
      <c r="M151" s="79">
        <f>F151*'GWPs &amp; Fuel EFs'!M76</f>
        <v>-1021.1593545422838</v>
      </c>
      <c r="N151" s="79">
        <f>M151*'GWPs &amp; Fuel EFs'!$E$11</f>
        <v>-304305.48765360058</v>
      </c>
    </row>
    <row r="152" spans="1:14">
      <c r="A152" s="213"/>
      <c r="B152" s="230"/>
      <c r="D152" s="80" t="s">
        <v>1145</v>
      </c>
      <c r="E152" s="28"/>
      <c r="F152" s="79">
        <f>'GIS Heat Input'!H118</f>
        <v>-1792882.5381423361</v>
      </c>
      <c r="G152" s="28"/>
      <c r="H152" s="79">
        <f>F152*'GWPs &amp; Fuel EFs'!N23</f>
        <v>-370756637.58789271</v>
      </c>
      <c r="I152" s="28"/>
      <c r="J152" s="79">
        <f>F152*'GWPs &amp; Fuel EFs'!M51</f>
        <v>-28458.931669859569</v>
      </c>
      <c r="K152" s="79">
        <f>J152*'GWPs &amp; Fuel EFs'!$D$11</f>
        <v>-711473.29174648924</v>
      </c>
      <c r="L152" s="28"/>
      <c r="M152" s="79">
        <f>F152*'GWPs &amp; Fuel EFs'!M79</f>
        <v>-14229.465834929784</v>
      </c>
      <c r="N152" s="79">
        <f>M152*'GWPs &amp; Fuel EFs'!$E$11</f>
        <v>-4240380.8188090753</v>
      </c>
    </row>
    <row r="153" spans="1:14">
      <c r="A153" s="213"/>
      <c r="B153" s="230"/>
      <c r="D153" s="134" t="s">
        <v>2241</v>
      </c>
      <c r="E153" s="135" t="s">
        <v>2486</v>
      </c>
      <c r="F153" s="142">
        <f>-(GIS!AO290*'State &amp; Province Summary'!H42)</f>
        <v>-32064310.80936512</v>
      </c>
      <c r="G153" s="28"/>
      <c r="H153" s="79">
        <f>F153</f>
        <v>-32064310.80936512</v>
      </c>
      <c r="I153" s="28"/>
      <c r="J153" s="79"/>
      <c r="K153" s="79"/>
      <c r="L153" s="28"/>
      <c r="M153" s="79"/>
      <c r="N153" s="79"/>
    </row>
    <row r="154" spans="1:14">
      <c r="A154" s="213"/>
      <c r="B154" s="230"/>
      <c r="D154" s="80"/>
      <c r="E154" s="28"/>
      <c r="F154" s="28"/>
      <c r="G154" s="28"/>
      <c r="H154" s="82">
        <f>SUM(H151:H153)</f>
        <v>-487220579.49410975</v>
      </c>
      <c r="I154" s="28"/>
      <c r="J154" s="86"/>
      <c r="K154" s="82">
        <f>SUM(K148:K152)</f>
        <v>-841144.32089471573</v>
      </c>
      <c r="L154" s="28"/>
      <c r="M154" s="86"/>
      <c r="N154" s="82">
        <f>SUM(N148:N152)</f>
        <v>-4544686.3064626763</v>
      </c>
    </row>
    <row r="155" spans="1:14">
      <c r="A155" s="213"/>
      <c r="B155" s="213"/>
      <c r="D155" s="28"/>
      <c r="E155" s="28"/>
      <c r="F155" s="89"/>
      <c r="G155" s="28"/>
      <c r="H155" s="79"/>
      <c r="I155" s="28"/>
      <c r="J155" s="65"/>
      <c r="K155" s="65"/>
      <c r="L155" s="28"/>
      <c r="M155" s="65"/>
      <c r="N155" s="65"/>
    </row>
    <row r="156" spans="1:14">
      <c r="A156" s="13"/>
      <c r="B156" s="13"/>
      <c r="D156" s="83"/>
      <c r="E156" s="83"/>
      <c r="F156" s="83"/>
      <c r="G156" s="28"/>
      <c r="H156" s="83"/>
      <c r="I156" s="28"/>
      <c r="J156" s="83"/>
      <c r="K156" s="83"/>
      <c r="L156" s="28"/>
      <c r="M156" s="83"/>
      <c r="N156" s="83"/>
    </row>
    <row r="157" spans="1:14" ht="13">
      <c r="A157" s="797" t="s">
        <v>2461</v>
      </c>
      <c r="B157" s="797"/>
      <c r="D157" s="790" t="s">
        <v>2489</v>
      </c>
      <c r="E157" s="790"/>
      <c r="F157" s="790"/>
      <c r="G157" s="28"/>
      <c r="H157" s="76"/>
      <c r="I157" s="28"/>
      <c r="J157" s="86"/>
      <c r="K157" s="86"/>
      <c r="L157" s="28"/>
      <c r="M157" s="86"/>
      <c r="N157" s="86"/>
    </row>
    <row r="158" spans="1:14" ht="13">
      <c r="A158" s="797">
        <f>A146</f>
        <v>2022</v>
      </c>
      <c r="B158" s="797"/>
      <c r="D158" s="790"/>
      <c r="E158" s="790"/>
      <c r="F158" s="790"/>
      <c r="G158" s="28"/>
      <c r="H158" s="28"/>
      <c r="I158" s="28"/>
      <c r="J158" s="86"/>
      <c r="K158" s="86"/>
      <c r="L158" s="28"/>
      <c r="M158" s="86"/>
      <c r="N158" s="86"/>
    </row>
    <row r="159" spans="1:14" ht="42" customHeight="1">
      <c r="A159" s="226"/>
      <c r="B159" s="227" t="s">
        <v>327</v>
      </c>
      <c r="D159" s="78"/>
      <c r="E159" s="78" t="s">
        <v>2242</v>
      </c>
      <c r="F159" s="65" t="str">
        <f>F16</f>
        <v>Heat Input from GIS certificates (MMBtu)</v>
      </c>
      <c r="G159" s="28"/>
      <c r="H159" s="65"/>
      <c r="I159" s="28"/>
      <c r="J159" s="65"/>
      <c r="K159" s="65"/>
      <c r="L159" s="28"/>
      <c r="M159" s="65"/>
      <c r="N159" s="65"/>
    </row>
    <row r="160" spans="1:14" ht="13">
      <c r="A160" s="228" t="s">
        <v>211</v>
      </c>
      <c r="B160" s="229">
        <f>F161</f>
        <v>0</v>
      </c>
      <c r="D160" s="65" t="s">
        <v>212</v>
      </c>
      <c r="E160" s="87"/>
      <c r="F160" s="87"/>
      <c r="G160" s="28"/>
      <c r="H160" s="28"/>
      <c r="I160" s="28"/>
      <c r="J160" s="77"/>
      <c r="K160" s="77"/>
      <c r="L160" s="28"/>
      <c r="M160" s="77"/>
      <c r="N160" s="77"/>
    </row>
    <row r="161" spans="1:14" ht="13">
      <c r="A161" s="231" t="s">
        <v>217</v>
      </c>
      <c r="B161" s="229">
        <f>F163</f>
        <v>0</v>
      </c>
      <c r="D161" s="134" t="s">
        <v>2492</v>
      </c>
      <c r="E161" s="135" t="s">
        <v>2243</v>
      </c>
      <c r="F161" s="136">
        <f>-(GIS!AO264*'State &amp; Province Summary'!H38)</f>
        <v>0</v>
      </c>
      <c r="G161" s="28"/>
      <c r="H161" s="79"/>
      <c r="I161" s="28"/>
      <c r="J161" s="28"/>
      <c r="K161" s="28"/>
      <c r="L161" s="28"/>
      <c r="M161" s="28"/>
      <c r="N161" s="28"/>
    </row>
    <row r="162" spans="1:14">
      <c r="A162" s="213"/>
      <c r="B162" s="230"/>
      <c r="D162" s="86" t="s">
        <v>218</v>
      </c>
      <c r="E162" s="28"/>
      <c r="F162" s="28"/>
      <c r="G162" s="90"/>
      <c r="H162" s="79"/>
      <c r="I162" s="28"/>
      <c r="J162" s="79"/>
      <c r="K162" s="79"/>
      <c r="L162" s="28"/>
      <c r="M162" s="79"/>
      <c r="N162" s="79"/>
    </row>
    <row r="163" spans="1:14">
      <c r="A163" s="213"/>
      <c r="B163" s="230"/>
      <c r="D163" s="134" t="s">
        <v>2492</v>
      </c>
      <c r="E163" s="135" t="s">
        <v>2486</v>
      </c>
      <c r="F163" s="142">
        <f>-(GIS!AO264*'State &amp; Province Summary'!H39)</f>
        <v>0</v>
      </c>
      <c r="G163" s="90"/>
      <c r="H163" s="79"/>
      <c r="I163" s="28"/>
      <c r="J163" s="79"/>
      <c r="K163" s="79"/>
      <c r="L163" s="28"/>
      <c r="M163" s="79"/>
      <c r="N163" s="79"/>
    </row>
    <row r="164" spans="1:14" ht="13">
      <c r="A164" s="228"/>
      <c r="B164" s="234"/>
      <c r="D164" s="28"/>
      <c r="E164" s="28"/>
      <c r="F164" s="28"/>
      <c r="G164" s="28"/>
      <c r="H164" s="82"/>
      <c r="I164" s="28"/>
      <c r="J164" s="79"/>
      <c r="K164" s="82"/>
      <c r="L164" s="28"/>
      <c r="M164" s="79"/>
      <c r="N164" s="82"/>
    </row>
    <row r="165" spans="1:14">
      <c r="A165" s="251"/>
      <c r="B165" s="251"/>
      <c r="C165" s="251"/>
      <c r="D165" s="251"/>
      <c r="E165" s="251"/>
      <c r="F165" s="251"/>
      <c r="G165" s="251"/>
      <c r="H165" s="251"/>
      <c r="I165" s="251"/>
      <c r="J165" s="251"/>
      <c r="K165" s="251"/>
      <c r="L165" s="251"/>
      <c r="M165" s="251"/>
      <c r="N165" s="251"/>
    </row>
    <row r="166" spans="1:14" ht="15.5">
      <c r="A166" s="248"/>
    </row>
    <row r="167" spans="1:14" ht="15.5">
      <c r="A167" s="248" t="s">
        <v>3015</v>
      </c>
    </row>
    <row r="168" spans="1:14">
      <c r="A168" s="20" t="s">
        <v>2695</v>
      </c>
    </row>
    <row r="169" spans="1:14">
      <c r="A169" s="20" t="s">
        <v>2696</v>
      </c>
    </row>
    <row r="170" spans="1:14">
      <c r="A170" s="20" t="s">
        <v>2709</v>
      </c>
      <c r="B170" s="20"/>
      <c r="C170" s="20"/>
      <c r="D170" s="20"/>
      <c r="E170" s="20"/>
      <c r="F170" s="20"/>
    </row>
    <row r="171" spans="1:14">
      <c r="A171" s="20"/>
      <c r="B171" s="20"/>
      <c r="C171" s="20"/>
      <c r="D171" s="20"/>
      <c r="E171" s="20"/>
      <c r="F171" s="20"/>
    </row>
    <row r="172" spans="1:14" ht="13">
      <c r="A172" s="165" t="s">
        <v>2664</v>
      </c>
      <c r="B172" s="166"/>
      <c r="C172" s="20"/>
      <c r="D172" s="76" t="s">
        <v>223</v>
      </c>
      <c r="E172" s="76"/>
      <c r="F172" s="76"/>
      <c r="G172" s="28"/>
      <c r="H172" s="76" t="s">
        <v>223</v>
      </c>
      <c r="I172" s="81"/>
      <c r="J172" s="76" t="s">
        <v>223</v>
      </c>
      <c r="K172" s="76"/>
      <c r="L172" s="81"/>
      <c r="M172" s="76" t="s">
        <v>223</v>
      </c>
      <c r="N172" s="76"/>
    </row>
    <row r="173" spans="1:14" ht="13">
      <c r="A173" s="166">
        <v>2022</v>
      </c>
      <c r="B173" s="166"/>
      <c r="C173" s="20"/>
      <c r="D173" s="76" t="s">
        <v>204</v>
      </c>
      <c r="E173" s="76"/>
      <c r="F173" s="76"/>
      <c r="G173" s="28"/>
      <c r="H173" s="76" t="s">
        <v>205</v>
      </c>
      <c r="I173" s="81"/>
      <c r="J173" s="76" t="s">
        <v>206</v>
      </c>
      <c r="K173" s="76"/>
      <c r="L173" s="81"/>
      <c r="M173" s="76" t="s">
        <v>207</v>
      </c>
      <c r="N173" s="76"/>
    </row>
    <row r="174" spans="1:14" ht="35.5">
      <c r="A174" s="167"/>
      <c r="B174" s="168" t="s">
        <v>327</v>
      </c>
      <c r="C174" s="583"/>
      <c r="D174" s="78" t="s">
        <v>208</v>
      </c>
      <c r="E174" s="78" t="s">
        <v>209</v>
      </c>
      <c r="F174" s="78" t="s">
        <v>2506</v>
      </c>
      <c r="G174" s="28"/>
      <c r="H174" s="78" t="s">
        <v>325</v>
      </c>
      <c r="I174" s="164"/>
      <c r="J174" s="78" t="s">
        <v>326</v>
      </c>
      <c r="K174" s="78" t="s">
        <v>327</v>
      </c>
      <c r="L174" s="164"/>
      <c r="M174" s="78" t="s">
        <v>328</v>
      </c>
      <c r="N174" s="78" t="s">
        <v>327</v>
      </c>
    </row>
    <row r="175" spans="1:14" ht="13">
      <c r="A175" s="169" t="s">
        <v>211</v>
      </c>
      <c r="B175" s="170">
        <f>SUM(B176:B180)</f>
        <v>1150501.1683563523</v>
      </c>
      <c r="C175" s="20"/>
      <c r="D175" s="65" t="s">
        <v>212</v>
      </c>
      <c r="E175" s="65"/>
      <c r="F175" s="65"/>
      <c r="G175" s="28"/>
      <c r="H175" s="28"/>
      <c r="I175" s="28"/>
      <c r="J175" s="77"/>
      <c r="K175" s="77"/>
      <c r="L175" s="28"/>
      <c r="M175" s="77"/>
      <c r="N175" s="77"/>
    </row>
    <row r="176" spans="1:14">
      <c r="A176" s="413" t="s">
        <v>1377</v>
      </c>
      <c r="B176" s="171">
        <f>H179</f>
        <v>810047.4</v>
      </c>
      <c r="C176" s="20"/>
      <c r="D176" s="80" t="s">
        <v>2482</v>
      </c>
      <c r="E176" s="93" t="s">
        <v>46</v>
      </c>
      <c r="F176" s="94">
        <f>'GIS Heat Input'!E28</f>
        <v>0</v>
      </c>
      <c r="G176" s="28"/>
      <c r="H176" s="79">
        <f>F176*'GWPs &amp; Fuel EFs'!$N$7</f>
        <v>0</v>
      </c>
      <c r="I176" s="28"/>
      <c r="J176" s="79">
        <f>F176*'GWPs &amp; Fuel EFs'!$M$35</f>
        <v>0</v>
      </c>
      <c r="K176" s="79">
        <f>J176*'GWPs &amp; Fuel EFs'!$D$11</f>
        <v>0</v>
      </c>
      <c r="L176" s="28"/>
      <c r="M176" s="79">
        <f>F176*'GWPs &amp; Fuel EFs'!$M$63</f>
        <v>0</v>
      </c>
      <c r="N176" s="79">
        <f>M176*'GWPs &amp; Fuel EFs'!$E$11</f>
        <v>0</v>
      </c>
    </row>
    <row r="177" spans="1:14">
      <c r="A177" s="413" t="s">
        <v>213</v>
      </c>
      <c r="B177" s="171">
        <f>K179</f>
        <v>17.219369613280303</v>
      </c>
      <c r="C177" s="20"/>
      <c r="D177" s="80" t="s">
        <v>374</v>
      </c>
      <c r="E177" s="93" t="s">
        <v>39</v>
      </c>
      <c r="F177" s="94">
        <f>'GIS Heat Input'!E29</f>
        <v>0</v>
      </c>
      <c r="G177" s="28"/>
      <c r="H177" s="79">
        <f>F177*'GWPs &amp; Fuel EFs'!$N$8</f>
        <v>0</v>
      </c>
      <c r="I177" s="28"/>
      <c r="J177" s="79">
        <f>F177*'GWPs &amp; Fuel EFs'!$M$36</f>
        <v>0</v>
      </c>
      <c r="K177" s="79">
        <f>J177*'GWPs &amp; Fuel EFs'!$D$11</f>
        <v>0</v>
      </c>
      <c r="L177" s="28"/>
      <c r="M177" s="79">
        <f>F177*'GWPs &amp; Fuel EFs'!$M$64</f>
        <v>0</v>
      </c>
      <c r="N177" s="79">
        <f>M177*'GWPs &amp; Fuel EFs'!$E$11</f>
        <v>0</v>
      </c>
    </row>
    <row r="178" spans="1:14">
      <c r="A178" s="413" t="s">
        <v>214</v>
      </c>
      <c r="B178" s="171">
        <f>N179</f>
        <v>27.367318105373506</v>
      </c>
      <c r="C178" s="20"/>
      <c r="D178" s="80" t="s">
        <v>388</v>
      </c>
      <c r="E178" s="93" t="s">
        <v>17</v>
      </c>
      <c r="F178" s="94">
        <f>'GIS Heat Input'!E30</f>
        <v>10.3901704125633</v>
      </c>
      <c r="G178" s="28"/>
      <c r="H178" s="79">
        <f>F178*'GWPs &amp; Fuel EFs'!$N$9</f>
        <v>2105.3549247170722</v>
      </c>
      <c r="I178" s="28"/>
      <c r="J178" s="79">
        <f>F178*'GWPs &amp; Fuel EFs'!$M$37</f>
        <v>0.6887747845312121</v>
      </c>
      <c r="K178" s="79">
        <f>J178*'GWPs &amp; Fuel EFs'!$D$11</f>
        <v>17.219369613280303</v>
      </c>
      <c r="L178" s="28"/>
      <c r="M178" s="79">
        <f>F178*'GWPs &amp; Fuel EFs'!$M$65</f>
        <v>9.1836637937494983E-2</v>
      </c>
      <c r="N178" s="79">
        <f>M178*'GWPs &amp; Fuel EFs'!$E$11</f>
        <v>27.367318105373506</v>
      </c>
    </row>
    <row r="179" spans="1:14">
      <c r="A179" s="413" t="s">
        <v>215</v>
      </c>
      <c r="B179" s="171">
        <f>K187</f>
        <v>48917.74665729305</v>
      </c>
      <c r="C179" s="20"/>
      <c r="D179" s="134" t="s">
        <v>3001</v>
      </c>
      <c r="E179" s="135" t="s">
        <v>2998</v>
      </c>
      <c r="F179" s="630" t="s">
        <v>3575</v>
      </c>
      <c r="G179" s="28"/>
      <c r="H179" s="142">
        <f>(GIS!Y75)*'GWPs &amp; Fuel EFs'!$E$34</f>
        <v>810047.4</v>
      </c>
      <c r="I179" s="28"/>
      <c r="J179" s="79"/>
      <c r="K179" s="82">
        <f>SUM(K176:K178)</f>
        <v>17.219369613280303</v>
      </c>
      <c r="L179" s="28"/>
      <c r="M179" s="79"/>
      <c r="N179" s="82">
        <f>SUM(N176:N178)</f>
        <v>27.367318105373506</v>
      </c>
    </row>
    <row r="180" spans="1:14">
      <c r="A180" s="413" t="s">
        <v>216</v>
      </c>
      <c r="B180" s="171">
        <f>N187</f>
        <v>291491.43501134036</v>
      </c>
      <c r="C180" s="20"/>
      <c r="D180" s="20"/>
      <c r="E180" s="20"/>
      <c r="F180" s="20"/>
      <c r="H180" s="82">
        <f>SUM(H176:H179)</f>
        <v>812152.75492471713</v>
      </c>
    </row>
    <row r="181" spans="1:14">
      <c r="A181" s="413"/>
      <c r="B181" s="413"/>
      <c r="C181" s="20"/>
      <c r="D181" s="20"/>
      <c r="E181" s="20"/>
      <c r="F181" s="20"/>
    </row>
    <row r="182" spans="1:14" ht="13">
      <c r="A182" s="172" t="s">
        <v>217</v>
      </c>
      <c r="B182" s="170">
        <f>H187</f>
        <v>25486405.663319081</v>
      </c>
      <c r="C182" s="20"/>
      <c r="D182" s="65" t="s">
        <v>218</v>
      </c>
      <c r="E182" s="28"/>
      <c r="F182" s="79"/>
      <c r="G182" s="28"/>
      <c r="H182" s="82"/>
      <c r="I182" s="28"/>
      <c r="J182" s="79"/>
      <c r="K182" s="82"/>
      <c r="L182" s="28"/>
      <c r="M182" s="79"/>
      <c r="N182" s="82"/>
    </row>
    <row r="183" spans="1:14">
      <c r="A183" s="413"/>
      <c r="B183" s="413"/>
      <c r="C183" s="20"/>
      <c r="D183" s="80" t="s">
        <v>382</v>
      </c>
      <c r="E183" s="93" t="s">
        <v>63</v>
      </c>
      <c r="F183" s="94">
        <f>'GIS Heat Input'!E32</f>
        <v>0</v>
      </c>
      <c r="G183" s="28"/>
      <c r="H183" s="79">
        <f>F183*'GWPs &amp; Fuel EFs'!$N$20</f>
        <v>0</v>
      </c>
      <c r="I183" s="28"/>
      <c r="J183" s="79">
        <f>F183*'GWPs &amp; Fuel EFs'!$M$48</f>
        <v>0</v>
      </c>
      <c r="K183" s="79">
        <f>J183*'GWPs &amp; Fuel EFs'!$D$11</f>
        <v>0</v>
      </c>
      <c r="L183" s="28"/>
      <c r="M183" s="79">
        <f>F183*'GWPs &amp; Fuel EFs'!$M$76</f>
        <v>0</v>
      </c>
      <c r="N183" s="79">
        <f>M183*'GWPs &amp; Fuel EFs'!$E$11</f>
        <v>0</v>
      </c>
    </row>
    <row r="184" spans="1:14">
      <c r="A184" s="413"/>
      <c r="B184" s="584"/>
      <c r="C184" s="20"/>
      <c r="D184" s="80" t="s">
        <v>385</v>
      </c>
      <c r="E184" s="93" t="s">
        <v>16</v>
      </c>
      <c r="F184" s="94">
        <f>'GIS Heat Input'!E33</f>
        <v>8.5009708480981523</v>
      </c>
      <c r="G184" s="28"/>
      <c r="H184" s="79">
        <f>F184*'GWPs &amp; Fuel EFs'!$N$21</f>
        <v>1779.593231429287</v>
      </c>
      <c r="I184" s="28"/>
      <c r="J184" s="79">
        <f>F184*'GWPs &amp; Fuel EFs'!$M$49</f>
        <v>0.53387796942878607</v>
      </c>
      <c r="K184" s="79">
        <f>J184*'GWPs &amp; Fuel EFs'!$D$11</f>
        <v>13.346949235719652</v>
      </c>
      <c r="L184" s="28"/>
      <c r="M184" s="79">
        <f>F184*'GWPs &amp; Fuel EFs'!$M$77</f>
        <v>7.118372925717148E-2</v>
      </c>
      <c r="N184" s="79">
        <f>M184*'GWPs &amp; Fuel EFs'!$E$11</f>
        <v>21.2127513186371</v>
      </c>
    </row>
    <row r="185" spans="1:14">
      <c r="A185" s="413"/>
      <c r="B185" s="413"/>
      <c r="C185" s="20"/>
      <c r="D185" s="80" t="s">
        <v>390</v>
      </c>
      <c r="E185" s="93" t="s">
        <v>69</v>
      </c>
      <c r="F185" s="94">
        <f>'GIS Heat Input'!E34</f>
        <v>123237.01436448448</v>
      </c>
      <c r="G185" s="28"/>
      <c r="H185" s="79">
        <f>F185*'GWPs &amp; Fuel EFs'!$N$23</f>
        <v>25484626.070087653</v>
      </c>
      <c r="I185" s="28"/>
      <c r="J185" s="79">
        <f>F185*'GWPs &amp; Fuel EFs'!$M$51</f>
        <v>1956.1759883222933</v>
      </c>
      <c r="K185" s="79">
        <f>J185*'GWPs &amp; Fuel EFs'!$D$11</f>
        <v>48904.399708057332</v>
      </c>
      <c r="L185" s="28"/>
      <c r="M185" s="79">
        <f>F185*'GWPs &amp; Fuel EFs'!$M$79</f>
        <v>978.08799416114664</v>
      </c>
      <c r="N185" s="79">
        <f>M185*'GWPs &amp; Fuel EFs'!$E$11</f>
        <v>291470.22226002172</v>
      </c>
    </row>
    <row r="186" spans="1:14">
      <c r="A186" s="413"/>
      <c r="B186" s="413"/>
      <c r="C186" s="20"/>
      <c r="D186" s="80" t="s">
        <v>2239</v>
      </c>
      <c r="E186" s="93" t="s">
        <v>68</v>
      </c>
      <c r="F186" s="94">
        <f>'GIS Heat Input'!E35</f>
        <v>0</v>
      </c>
      <c r="G186" s="28"/>
      <c r="H186" s="79">
        <f>F186*'GWPs &amp; Fuel EFs'!$N$27</f>
        <v>0</v>
      </c>
      <c r="I186" s="28"/>
      <c r="J186" s="79">
        <f>F186*'GWPs &amp; Fuel EFs'!$M$55</f>
        <v>0</v>
      </c>
      <c r="K186" s="79">
        <f>J186*'GWPs &amp; Fuel EFs'!$D$11</f>
        <v>0</v>
      </c>
      <c r="L186" s="28"/>
      <c r="M186" s="79">
        <f>F186*'GWPs &amp; Fuel EFs'!$M$83</f>
        <v>0</v>
      </c>
      <c r="N186" s="79">
        <f>M186*'GWPs &amp; Fuel EFs'!$E$11</f>
        <v>0</v>
      </c>
    </row>
    <row r="187" spans="1:14">
      <c r="A187" s="413"/>
      <c r="B187" s="171"/>
      <c r="C187" s="20"/>
      <c r="D187" s="28"/>
      <c r="E187" s="28"/>
      <c r="F187" s="79"/>
      <c r="G187" s="28"/>
      <c r="H187" s="82">
        <f>SUM(H183:H186)</f>
        <v>25486405.663319081</v>
      </c>
      <c r="I187" s="28"/>
      <c r="J187" s="28"/>
      <c r="K187" s="82">
        <f>SUM(K183:K186)</f>
        <v>48917.74665729305</v>
      </c>
      <c r="L187" s="28"/>
      <c r="M187" s="28"/>
      <c r="N187" s="82">
        <f>SUM(N183:N186)</f>
        <v>291491.43501134036</v>
      </c>
    </row>
    <row r="188" spans="1:14">
      <c r="A188" s="413"/>
      <c r="B188" s="413"/>
      <c r="C188" s="20"/>
      <c r="D188" s="20"/>
      <c r="E188" s="20"/>
      <c r="F188" s="20"/>
    </row>
    <row r="189" spans="1:14">
      <c r="A189" s="585"/>
      <c r="B189" s="585"/>
      <c r="C189" s="585"/>
      <c r="D189" s="585"/>
      <c r="E189" s="585"/>
      <c r="F189" s="585"/>
      <c r="G189" s="173"/>
      <c r="H189" s="173"/>
      <c r="I189" s="173"/>
      <c r="J189" s="173"/>
      <c r="K189" s="173"/>
      <c r="L189" s="173"/>
      <c r="M189" s="173"/>
      <c r="N189" s="173"/>
    </row>
    <row r="190" spans="1:14" ht="13">
      <c r="A190" s="165" t="s">
        <v>2667</v>
      </c>
      <c r="B190" s="166"/>
      <c r="C190" s="20"/>
      <c r="D190" s="76" t="s">
        <v>203</v>
      </c>
      <c r="E190" s="76"/>
      <c r="F190" s="76"/>
      <c r="G190" s="28"/>
      <c r="H190" s="76" t="s">
        <v>203</v>
      </c>
      <c r="I190" s="76"/>
      <c r="J190" s="76" t="s">
        <v>203</v>
      </c>
      <c r="K190" s="76"/>
      <c r="L190" s="28"/>
      <c r="M190" s="76" t="s">
        <v>203</v>
      </c>
      <c r="N190" s="76"/>
    </row>
    <row r="191" spans="1:14" ht="13">
      <c r="A191" s="166">
        <f>A173</f>
        <v>2022</v>
      </c>
      <c r="B191" s="166"/>
      <c r="C191" s="20"/>
      <c r="D191" s="76" t="s">
        <v>204</v>
      </c>
      <c r="E191" s="76"/>
      <c r="F191" s="76"/>
      <c r="G191" s="77"/>
      <c r="H191" s="76" t="s">
        <v>205</v>
      </c>
      <c r="I191" s="76"/>
      <c r="J191" s="76" t="s">
        <v>206</v>
      </c>
      <c r="K191" s="76"/>
      <c r="L191" s="28"/>
      <c r="M191" s="76" t="s">
        <v>207</v>
      </c>
      <c r="N191" s="76"/>
    </row>
    <row r="192" spans="1:14" ht="35.5">
      <c r="A192" s="167"/>
      <c r="B192" s="168" t="s">
        <v>327</v>
      </c>
      <c r="C192" s="583"/>
      <c r="D192" s="78" t="s">
        <v>208</v>
      </c>
      <c r="E192" s="78" t="s">
        <v>209</v>
      </c>
      <c r="F192" s="78" t="str">
        <f>F174</f>
        <v>Net Heat Input Out of State from MSS Meters</v>
      </c>
      <c r="G192" s="28"/>
      <c r="H192" s="65" t="s">
        <v>325</v>
      </c>
      <c r="I192" s="77"/>
      <c r="J192" s="65" t="s">
        <v>326</v>
      </c>
      <c r="K192" s="65" t="s">
        <v>327</v>
      </c>
      <c r="L192" s="77"/>
      <c r="M192" s="65" t="s">
        <v>328</v>
      </c>
      <c r="N192" s="65" t="s">
        <v>327</v>
      </c>
    </row>
    <row r="193" spans="1:14" ht="13">
      <c r="A193" s="169" t="s">
        <v>211</v>
      </c>
      <c r="B193" s="170">
        <f>SUM(B194:B198)</f>
        <v>154113187.10316309</v>
      </c>
      <c r="C193" s="583"/>
      <c r="D193" s="65" t="s">
        <v>212</v>
      </c>
      <c r="E193" s="77"/>
      <c r="F193" s="65"/>
      <c r="G193" s="79"/>
      <c r="H193" s="77"/>
      <c r="I193" s="77"/>
      <c r="J193" s="77"/>
      <c r="K193" s="77"/>
      <c r="L193" s="77"/>
      <c r="M193" s="77"/>
      <c r="N193" s="77"/>
    </row>
    <row r="194" spans="1:14">
      <c r="A194" s="413" t="s">
        <v>1377</v>
      </c>
      <c r="B194" s="171">
        <f>H197</f>
        <v>145792302.70602995</v>
      </c>
      <c r="C194" s="20"/>
      <c r="D194" s="80" t="s">
        <v>2482</v>
      </c>
      <c r="E194" s="93" t="s">
        <v>46</v>
      </c>
      <c r="F194" s="94">
        <f>'GIS Heat Input'!E16</f>
        <v>4117.1469683095993</v>
      </c>
      <c r="G194" s="28"/>
      <c r="H194" s="79">
        <f>F194*'GWPs &amp; Fuel EFs'!$N$7</f>
        <v>672949.84088322683</v>
      </c>
      <c r="I194" s="28"/>
      <c r="J194" s="79">
        <f>F194*'GWPs &amp; Fuel EFs'!$M$35</f>
        <v>27.230266008599298</v>
      </c>
      <c r="K194" s="79">
        <f>J194*'GWPs &amp; Fuel EFs'!$D$11</f>
        <v>680.75665021498241</v>
      </c>
      <c r="L194" s="28"/>
      <c r="M194" s="79">
        <f>F194*'GWPs &amp; Fuel EFs'!$M$63</f>
        <v>5.4460532017198586</v>
      </c>
      <c r="N194" s="79">
        <f>M194*'GWPs &amp; Fuel EFs'!$E$11</f>
        <v>1622.9238541125178</v>
      </c>
    </row>
    <row r="195" spans="1:14">
      <c r="A195" s="413" t="s">
        <v>213</v>
      </c>
      <c r="B195" s="171">
        <f>K197</f>
        <v>1184335.818104563</v>
      </c>
      <c r="C195" s="20"/>
      <c r="D195" s="80" t="s">
        <v>374</v>
      </c>
      <c r="E195" s="93" t="s">
        <v>39</v>
      </c>
      <c r="F195" s="94">
        <f>'GIS Heat Input'!E17</f>
        <v>3619.3479364680629</v>
      </c>
      <c r="G195" s="28"/>
      <c r="H195" s="79">
        <f>F195*'GWPs &amp; Fuel EFs'!$N$8</f>
        <v>422184.06711160694</v>
      </c>
      <c r="I195" s="28"/>
      <c r="J195" s="79">
        <f>F195*'GWPs &amp; Fuel EFs'!$M$36</f>
        <v>7.9792963303878146</v>
      </c>
      <c r="K195" s="79">
        <f>J195*'GWPs &amp; Fuel EFs'!$D$11</f>
        <v>199.48240825969538</v>
      </c>
      <c r="L195" s="28"/>
      <c r="M195" s="79">
        <f>F195*'GWPs &amp; Fuel EFs'!$M$64</f>
        <v>0.79792963303878139</v>
      </c>
      <c r="N195" s="79">
        <f>M195*'GWPs &amp; Fuel EFs'!$E$11</f>
        <v>237.78303064555686</v>
      </c>
    </row>
    <row r="196" spans="1:14">
      <c r="A196" s="413" t="s">
        <v>214</v>
      </c>
      <c r="B196" s="171">
        <f>N197</f>
        <v>1882766.1071820087</v>
      </c>
      <c r="C196" s="20"/>
      <c r="D196" s="80" t="s">
        <v>388</v>
      </c>
      <c r="E196" s="93" t="s">
        <v>17</v>
      </c>
      <c r="F196" s="94">
        <f>'GIS Heat Input'!E18</f>
        <v>714097.28800433013</v>
      </c>
      <c r="G196" s="28"/>
      <c r="H196" s="79">
        <f>F196*'GWPs &amp; Fuel EFs'!$N$9</f>
        <v>144697168.79803512</v>
      </c>
      <c r="I196" s="28"/>
      <c r="J196" s="79">
        <f>F196*'GWPs &amp; Fuel EFs'!$M$37</f>
        <v>47338.223161843533</v>
      </c>
      <c r="K196" s="79">
        <f>J196*'GWPs &amp; Fuel EFs'!$D$11</f>
        <v>1183455.5790460883</v>
      </c>
      <c r="L196" s="28"/>
      <c r="M196" s="79">
        <f>F196*'GWPs &amp; Fuel EFs'!$M$65</f>
        <v>6311.763088245807</v>
      </c>
      <c r="N196" s="79">
        <f>M196*'GWPs &amp; Fuel EFs'!$E$11</f>
        <v>1880905.4002972506</v>
      </c>
    </row>
    <row r="197" spans="1:14">
      <c r="A197" s="413" t="s">
        <v>215</v>
      </c>
      <c r="B197" s="171">
        <f>K205</f>
        <v>1390928.9246005565</v>
      </c>
      <c r="C197" s="20"/>
      <c r="D197" s="80"/>
      <c r="E197" s="28"/>
      <c r="F197" s="79"/>
      <c r="G197" s="28"/>
      <c r="H197" s="82">
        <f>SUM(H194:H196)</f>
        <v>145792302.70602995</v>
      </c>
      <c r="I197" s="28"/>
      <c r="J197" s="79"/>
      <c r="K197" s="82">
        <f>SUM(K194:K196)</f>
        <v>1184335.818104563</v>
      </c>
      <c r="L197" s="28"/>
      <c r="M197" s="79"/>
      <c r="N197" s="82">
        <f>SUM(N194:N196)</f>
        <v>1882766.1071820087</v>
      </c>
    </row>
    <row r="198" spans="1:14">
      <c r="A198" s="413" t="s">
        <v>216</v>
      </c>
      <c r="B198" s="171">
        <f>N205</f>
        <v>3862853.5472460156</v>
      </c>
      <c r="C198" s="20"/>
      <c r="D198" s="20"/>
      <c r="E198" s="20"/>
      <c r="F198" s="20"/>
    </row>
    <row r="199" spans="1:14">
      <c r="A199" s="413"/>
      <c r="B199" s="413"/>
      <c r="C199" s="20"/>
      <c r="D199" s="20"/>
      <c r="E199" s="20"/>
      <c r="F199" s="20"/>
    </row>
    <row r="200" spans="1:14" ht="13">
      <c r="A200" s="172" t="s">
        <v>217</v>
      </c>
      <c r="B200" s="170">
        <f>H205</f>
        <v>384122525.73638827</v>
      </c>
      <c r="C200" s="20"/>
      <c r="D200" s="65" t="s">
        <v>218</v>
      </c>
      <c r="E200" s="28"/>
      <c r="F200" s="79"/>
      <c r="G200" s="28"/>
      <c r="H200" s="82"/>
      <c r="I200" s="28"/>
      <c r="J200" s="79"/>
      <c r="K200" s="82"/>
      <c r="L200" s="28"/>
      <c r="M200" s="79"/>
      <c r="N200" s="82"/>
    </row>
    <row r="201" spans="1:14">
      <c r="A201" s="413"/>
      <c r="B201" s="413"/>
      <c r="C201" s="20"/>
      <c r="D201" s="80" t="s">
        <v>382</v>
      </c>
      <c r="E201" s="93" t="s">
        <v>63</v>
      </c>
      <c r="F201" s="94">
        <f>'GIS Heat Input'!E20</f>
        <v>655663.88707368833</v>
      </c>
      <c r="G201" s="28"/>
      <c r="H201" s="79">
        <f>F201*'GWPs &amp; Fuel EFs'!$N$20</f>
        <v>75266739.101667687</v>
      </c>
      <c r="I201" s="28"/>
      <c r="J201" s="79">
        <f>F201*'GWPs &amp; Fuel EFs'!$M$48</f>
        <v>4625.5725969912928</v>
      </c>
      <c r="K201" s="79">
        <f>J201*'GWPs &amp; Fuel EFs'!$D$11</f>
        <v>115639.31492478232</v>
      </c>
      <c r="L201" s="28"/>
      <c r="M201" s="79">
        <f>F201*'GWPs &amp; Fuel EFs'!$M$76</f>
        <v>910.65960503266069</v>
      </c>
      <c r="N201" s="79">
        <f>M201*'GWPs &amp; Fuel EFs'!$E$11</f>
        <v>271376.56229973288</v>
      </c>
    </row>
    <row r="202" spans="1:14">
      <c r="A202" s="413"/>
      <c r="B202" s="584"/>
      <c r="C202" s="20"/>
      <c r="D202" s="80" t="s">
        <v>385</v>
      </c>
      <c r="E202" s="93" t="s">
        <v>16</v>
      </c>
      <c r="F202" s="94">
        <f>'GIS Heat Input'!E21</f>
        <v>584254.23830361047</v>
      </c>
      <c r="G202" s="28"/>
      <c r="H202" s="79">
        <f>F202*'GWPs &amp; Fuel EFs'!$N$21</f>
        <v>122307781.84018707</v>
      </c>
      <c r="I202" s="28"/>
      <c r="J202" s="79">
        <f>F202*'GWPs &amp; Fuel EFs'!$M$49</f>
        <v>36692.33455205612</v>
      </c>
      <c r="K202" s="79">
        <f>J202*'GWPs &amp; Fuel EFs'!$D$11</f>
        <v>917308.36380140297</v>
      </c>
      <c r="L202" s="28"/>
      <c r="M202" s="79">
        <f>F202*'GWPs &amp; Fuel EFs'!$M$77</f>
        <v>4892.3112736074827</v>
      </c>
      <c r="N202" s="79">
        <f>M202*'GWPs &amp; Fuel EFs'!$E$11</f>
        <v>1457908.7595350298</v>
      </c>
    </row>
    <row r="203" spans="1:14">
      <c r="A203" s="413"/>
      <c r="B203" s="413"/>
      <c r="C203" s="20"/>
      <c r="D203" s="80" t="s">
        <v>390</v>
      </c>
      <c r="E203" s="93" t="s">
        <v>69</v>
      </c>
      <c r="F203" s="94">
        <f>'GIS Heat Input'!E22</f>
        <v>902097.56593265058</v>
      </c>
      <c r="G203" s="28"/>
      <c r="H203" s="79">
        <f>F203*'GWPs &amp; Fuel EFs'!$N$23</f>
        <v>186548004.79453349</v>
      </c>
      <c r="I203" s="28"/>
      <c r="J203" s="79">
        <f>F203*'GWPs &amp; Fuel EFs'!$M$51</f>
        <v>14319.249834974851</v>
      </c>
      <c r="K203" s="79">
        <f>J203*'GWPs &amp; Fuel EFs'!$D$11</f>
        <v>357981.24587437126</v>
      </c>
      <c r="L203" s="28"/>
      <c r="M203" s="79">
        <f>F203*'GWPs &amp; Fuel EFs'!$M$79</f>
        <v>7159.6249174874256</v>
      </c>
      <c r="N203" s="79">
        <f>M203*'GWPs &amp; Fuel EFs'!$E$11</f>
        <v>2133568.225411253</v>
      </c>
    </row>
    <row r="204" spans="1:14">
      <c r="A204" s="413"/>
      <c r="B204" s="413"/>
      <c r="C204" s="20"/>
      <c r="D204" s="80" t="s">
        <v>2239</v>
      </c>
      <c r="E204" s="93" t="s">
        <v>68</v>
      </c>
      <c r="F204" s="94">
        <f>'GIS Heat Input'!E23</f>
        <v>0</v>
      </c>
      <c r="G204" s="28"/>
      <c r="H204" s="79">
        <f>F204*'GWPs &amp; Fuel EFs'!$N$27</f>
        <v>0</v>
      </c>
      <c r="I204" s="28"/>
      <c r="J204" s="79">
        <f>F204*'GWPs &amp; Fuel EFs'!$M$55</f>
        <v>0</v>
      </c>
      <c r="K204" s="79">
        <f>J204*'GWPs &amp; Fuel EFs'!$D$11</f>
        <v>0</v>
      </c>
      <c r="L204" s="28"/>
      <c r="M204" s="79">
        <f>F204*'GWPs &amp; Fuel EFs'!$M$83</f>
        <v>0</v>
      </c>
      <c r="N204" s="79">
        <f>M204*'GWPs &amp; Fuel EFs'!$E$11</f>
        <v>0</v>
      </c>
    </row>
    <row r="205" spans="1:14">
      <c r="A205" s="416"/>
      <c r="B205" s="586"/>
      <c r="C205" s="20"/>
      <c r="D205" s="28"/>
      <c r="E205" s="28"/>
      <c r="F205" s="79"/>
      <c r="G205" s="28"/>
      <c r="H205" s="82">
        <f>SUM(H201:H204)</f>
        <v>384122525.73638827</v>
      </c>
      <c r="I205" s="28"/>
      <c r="J205" s="28"/>
      <c r="K205" s="82">
        <f>SUM(K201:K204)</f>
        <v>1390928.9246005565</v>
      </c>
      <c r="L205" s="28"/>
      <c r="M205" s="28"/>
      <c r="N205" s="82">
        <f>SUM(N201:N204)</f>
        <v>3862853.5472460156</v>
      </c>
    </row>
    <row r="206" spans="1:14">
      <c r="A206" s="416"/>
      <c r="B206" s="586"/>
      <c r="C206" s="20"/>
      <c r="D206" s="20"/>
      <c r="E206" s="20"/>
      <c r="F206" s="20"/>
    </row>
    <row r="207" spans="1:14">
      <c r="A207" s="585"/>
      <c r="B207" s="585"/>
      <c r="C207" s="585"/>
      <c r="D207" s="585"/>
      <c r="E207" s="585"/>
      <c r="F207" s="585"/>
      <c r="G207" s="173"/>
      <c r="H207" s="173"/>
      <c r="I207" s="173"/>
      <c r="J207" s="173"/>
      <c r="K207" s="173"/>
      <c r="L207" s="173"/>
      <c r="M207" s="173"/>
      <c r="N207" s="173"/>
    </row>
    <row r="208" spans="1:14" ht="13">
      <c r="A208" s="165" t="s">
        <v>2666</v>
      </c>
      <c r="B208" s="166"/>
      <c r="C208" s="20"/>
      <c r="D208" s="76" t="s">
        <v>219</v>
      </c>
      <c r="E208" s="76"/>
      <c r="F208" s="76"/>
      <c r="G208" s="28"/>
      <c r="H208" s="76" t="s">
        <v>219</v>
      </c>
      <c r="I208" s="28"/>
      <c r="J208" s="76" t="s">
        <v>219</v>
      </c>
      <c r="K208" s="76"/>
      <c r="L208" s="28"/>
      <c r="M208" s="76" t="s">
        <v>219</v>
      </c>
      <c r="N208" s="76"/>
    </row>
    <row r="209" spans="1:14" ht="13">
      <c r="A209" s="166">
        <f>A173</f>
        <v>2022</v>
      </c>
      <c r="B209" s="166"/>
      <c r="C209" s="20"/>
      <c r="D209" s="76" t="s">
        <v>204</v>
      </c>
      <c r="E209" s="76"/>
      <c r="F209" s="76"/>
      <c r="G209" s="28"/>
      <c r="H209" s="76" t="s">
        <v>205</v>
      </c>
      <c r="I209" s="28"/>
      <c r="J209" s="76" t="s">
        <v>206</v>
      </c>
      <c r="K209" s="76"/>
      <c r="L209" s="28"/>
      <c r="M209" s="76" t="s">
        <v>207</v>
      </c>
      <c r="N209" s="76"/>
    </row>
    <row r="210" spans="1:14" ht="35.5">
      <c r="A210" s="167"/>
      <c r="B210" s="168" t="s">
        <v>327</v>
      </c>
      <c r="C210" s="583"/>
      <c r="D210" s="78" t="s">
        <v>208</v>
      </c>
      <c r="E210" s="78" t="s">
        <v>209</v>
      </c>
      <c r="F210" s="78" t="str">
        <f>F174</f>
        <v>Net Heat Input Out of State from MSS Meters</v>
      </c>
      <c r="G210" s="28"/>
      <c r="H210" s="65" t="s">
        <v>325</v>
      </c>
      <c r="I210" s="77"/>
      <c r="J210" s="65" t="s">
        <v>326</v>
      </c>
      <c r="K210" s="65" t="s">
        <v>327</v>
      </c>
      <c r="L210" s="77"/>
      <c r="M210" s="65" t="s">
        <v>328</v>
      </c>
      <c r="N210" s="65" t="s">
        <v>327</v>
      </c>
    </row>
    <row r="211" spans="1:14" ht="13">
      <c r="A211" s="169" t="s">
        <v>211</v>
      </c>
      <c r="B211" s="170">
        <f>SUM(B212:B216)+F215</f>
        <v>38847592.821810365</v>
      </c>
      <c r="C211" s="20"/>
      <c r="D211" s="65" t="s">
        <v>212</v>
      </c>
      <c r="E211" s="77"/>
      <c r="F211" s="20"/>
      <c r="G211" s="28"/>
      <c r="H211" s="28"/>
      <c r="I211" s="28"/>
      <c r="J211" s="77"/>
      <c r="K211" s="77"/>
      <c r="L211" s="28"/>
      <c r="M211" s="77"/>
      <c r="N211" s="77"/>
    </row>
    <row r="212" spans="1:14">
      <c r="A212" s="413" t="s">
        <v>1377</v>
      </c>
      <c r="B212" s="171">
        <f>H215</f>
        <v>15248211.498278759</v>
      </c>
      <c r="C212" s="20"/>
      <c r="D212" s="80" t="s">
        <v>2482</v>
      </c>
      <c r="E212" s="93" t="s">
        <v>46</v>
      </c>
      <c r="F212" s="94">
        <f>'GIS Heat Input'!E40</f>
        <v>0</v>
      </c>
      <c r="G212" s="28"/>
      <c r="H212" s="79">
        <f>F212*'GWPs &amp; Fuel EFs'!$N$7</f>
        <v>0</v>
      </c>
      <c r="I212" s="28"/>
      <c r="J212" s="79">
        <f>F212*'GWPs &amp; Fuel EFs'!$M$35</f>
        <v>0</v>
      </c>
      <c r="K212" s="79">
        <f>J212*'GWPs &amp; Fuel EFs'!$D$11</f>
        <v>0</v>
      </c>
      <c r="L212" s="28"/>
      <c r="M212" s="79">
        <f>F212*'GWPs &amp; Fuel EFs'!$M$63</f>
        <v>0</v>
      </c>
      <c r="N212" s="79">
        <f>M212*'GWPs &amp; Fuel EFs'!$E$11</f>
        <v>0</v>
      </c>
    </row>
    <row r="213" spans="1:14">
      <c r="A213" s="413" t="s">
        <v>213</v>
      </c>
      <c r="B213" s="171">
        <f>K215</f>
        <v>124712.74398810323</v>
      </c>
      <c r="C213" s="20"/>
      <c r="D213" s="80" t="s">
        <v>374</v>
      </c>
      <c r="E213" s="93" t="s">
        <v>39</v>
      </c>
      <c r="F213" s="94">
        <f>'GIS Heat Input'!E41</f>
        <v>0</v>
      </c>
      <c r="G213" s="28"/>
      <c r="H213" s="79">
        <f>F213*'GWPs &amp; Fuel EFs'!$N$8</f>
        <v>0</v>
      </c>
      <c r="I213" s="28"/>
      <c r="J213" s="79">
        <f>F213*'GWPs &amp; Fuel EFs'!$M$36</f>
        <v>0</v>
      </c>
      <c r="K213" s="79">
        <f>J213*'GWPs &amp; Fuel EFs'!$D$11</f>
        <v>0</v>
      </c>
      <c r="L213" s="28"/>
      <c r="M213" s="79">
        <f>F213*'GWPs &amp; Fuel EFs'!$M$64</f>
        <v>0</v>
      </c>
      <c r="N213" s="79">
        <f>M213*'GWPs &amp; Fuel EFs'!$E$11</f>
        <v>0</v>
      </c>
    </row>
    <row r="214" spans="1:14">
      <c r="A214" s="413" t="s">
        <v>214</v>
      </c>
      <c r="B214" s="171">
        <f>N215</f>
        <v>198210.12111175881</v>
      </c>
      <c r="C214" s="20"/>
      <c r="D214" s="80" t="s">
        <v>388</v>
      </c>
      <c r="E214" s="93" t="s">
        <v>17</v>
      </c>
      <c r="F214" s="94">
        <f>'GIS Heat Input'!E42</f>
        <v>75251.689914095725</v>
      </c>
      <c r="G214" s="28"/>
      <c r="H214" s="79">
        <f>F214*'GWPs &amp; Fuel EFs'!$N$9</f>
        <v>15248211.498278759</v>
      </c>
      <c r="I214" s="28"/>
      <c r="J214" s="79">
        <f>F214*'GWPs &amp; Fuel EFs'!$M$37</f>
        <v>4988.5097595241295</v>
      </c>
      <c r="K214" s="79">
        <f>J214*'GWPs &amp; Fuel EFs'!$D$11</f>
        <v>124712.74398810323</v>
      </c>
      <c r="L214" s="28"/>
      <c r="M214" s="79">
        <f>F214*'GWPs &amp; Fuel EFs'!$M$65</f>
        <v>665.13463460321748</v>
      </c>
      <c r="N214" s="79">
        <f>M214*'GWPs &amp; Fuel EFs'!$E$11</f>
        <v>198210.12111175881</v>
      </c>
    </row>
    <row r="215" spans="1:14">
      <c r="A215" s="413" t="s">
        <v>215</v>
      </c>
      <c r="B215" s="171">
        <f>K223</f>
        <v>3440796.2560257851</v>
      </c>
      <c r="C215" s="20"/>
      <c r="D215" s="80"/>
      <c r="E215" s="81"/>
      <c r="F215" s="79"/>
      <c r="G215" s="28"/>
      <c r="H215" s="82">
        <f>SUM(H212:H214)</f>
        <v>15248211.498278759</v>
      </c>
      <c r="I215" s="28"/>
      <c r="J215" s="79"/>
      <c r="K215" s="82">
        <f>SUM(K212:K214)</f>
        <v>124712.74398810323</v>
      </c>
      <c r="L215" s="28"/>
      <c r="M215" s="79"/>
      <c r="N215" s="82">
        <f>SUM(N212:N214)</f>
        <v>198210.12111175881</v>
      </c>
    </row>
    <row r="216" spans="1:14">
      <c r="A216" s="413" t="s">
        <v>216</v>
      </c>
      <c r="B216" s="171">
        <f>N223</f>
        <v>19835662.202405963</v>
      </c>
      <c r="C216" s="20"/>
      <c r="D216" s="20"/>
      <c r="E216" s="28"/>
      <c r="F216" s="20"/>
      <c r="G216" s="28"/>
    </row>
    <row r="217" spans="1:14">
      <c r="A217" s="413"/>
      <c r="B217" s="413"/>
      <c r="C217" s="20"/>
      <c r="D217" s="20"/>
      <c r="E217" s="20"/>
      <c r="F217" s="20"/>
    </row>
    <row r="218" spans="1:14">
      <c r="A218" s="413"/>
      <c r="B218" s="413"/>
      <c r="C218" s="20"/>
      <c r="D218" s="65" t="s">
        <v>218</v>
      </c>
      <c r="E218" s="28"/>
      <c r="F218" s="79"/>
    </row>
    <row r="219" spans="1:14" ht="13">
      <c r="A219" s="172" t="s">
        <v>217</v>
      </c>
      <c r="B219" s="170">
        <f>H223</f>
        <v>1764494189.2145092</v>
      </c>
      <c r="C219" s="20"/>
      <c r="D219" s="80" t="s">
        <v>382</v>
      </c>
      <c r="E219" s="93" t="s">
        <v>63</v>
      </c>
      <c r="F219" s="94">
        <f>'GIS Heat Input'!E44</f>
        <v>248322.15107445192</v>
      </c>
      <c r="G219" s="28"/>
      <c r="H219" s="79">
        <f>F219*'GWPs &amp; Fuel EFs'!$N$20</f>
        <v>28506066.792092692</v>
      </c>
      <c r="I219" s="28"/>
      <c r="J219" s="79">
        <f>F219*'GWPs &amp; Fuel EFs'!$M$48</f>
        <v>1751.8612201785409</v>
      </c>
      <c r="K219" s="79">
        <f>J219*'GWPs &amp; Fuel EFs'!$D$11</f>
        <v>43796.530504463524</v>
      </c>
      <c r="L219" s="28"/>
      <c r="M219" s="79">
        <f>F219*'GWPs &amp; Fuel EFs'!$M$76</f>
        <v>344.8976777226502</v>
      </c>
      <c r="N219" s="79">
        <f>M219*'GWPs &amp; Fuel EFs'!$E$11</f>
        <v>102779.50796134977</v>
      </c>
    </row>
    <row r="220" spans="1:14">
      <c r="A220" s="413"/>
      <c r="B220" s="584"/>
      <c r="C220" s="20"/>
      <c r="D220" s="80" t="s">
        <v>385</v>
      </c>
      <c r="E220" s="93" t="s">
        <v>16</v>
      </c>
      <c r="F220" s="94">
        <f>'GIS Heat Input'!E45</f>
        <v>61568.807934687029</v>
      </c>
      <c r="G220" s="28"/>
      <c r="H220" s="79">
        <f>F220*'GWPs &amp; Fuel EFs'!$N$21</f>
        <v>12888814.210232398</v>
      </c>
      <c r="I220" s="28"/>
      <c r="J220" s="79">
        <f>F220*'GWPs &amp; Fuel EFs'!$M$49</f>
        <v>3866.6442630697188</v>
      </c>
      <c r="K220" s="79">
        <f>J220*'GWPs &amp; Fuel EFs'!$D$11</f>
        <v>96666.106576742968</v>
      </c>
      <c r="L220" s="28"/>
      <c r="M220" s="79">
        <f>F220*'GWPs &amp; Fuel EFs'!$M$77</f>
        <v>515.55256840929587</v>
      </c>
      <c r="N220" s="79">
        <f>M220*'GWPs &amp; Fuel EFs'!$E$11</f>
        <v>153634.66538597018</v>
      </c>
    </row>
    <row r="221" spans="1:14">
      <c r="A221" s="413"/>
      <c r="B221" s="413"/>
      <c r="C221" s="20"/>
      <c r="D221" s="80" t="s">
        <v>390</v>
      </c>
      <c r="E221" s="93" t="s">
        <v>69</v>
      </c>
      <c r="F221" s="94">
        <f>'GIS Heat Input'!E46</f>
        <v>8253416.5809217989</v>
      </c>
      <c r="G221" s="28"/>
      <c r="H221" s="79">
        <f>F221*'GWPs &amp; Fuel EFs'!$N$23</f>
        <v>1706753741.5615096</v>
      </c>
      <c r="I221" s="28"/>
      <c r="J221" s="79">
        <f>F221*'GWPs &amp; Fuel EFs'!$M$51</f>
        <v>131008.81598339946</v>
      </c>
      <c r="K221" s="79">
        <f>J221*'GWPs &amp; Fuel EFs'!$D$11</f>
        <v>3275220.3995849863</v>
      </c>
      <c r="L221" s="28"/>
      <c r="M221" s="79">
        <f>F221*'GWPs &amp; Fuel EFs'!$M$79</f>
        <v>65504.407991699729</v>
      </c>
      <c r="N221" s="79">
        <f>M221*'GWPs &amp; Fuel EFs'!$E$11</f>
        <v>19520313.581526518</v>
      </c>
    </row>
    <row r="222" spans="1:14">
      <c r="A222" s="413"/>
      <c r="B222" s="413"/>
      <c r="C222" s="20"/>
      <c r="D222" s="80" t="s">
        <v>2239</v>
      </c>
      <c r="E222" s="93" t="s">
        <v>68</v>
      </c>
      <c r="F222" s="94">
        <f>'GIS Heat Input'!E47</f>
        <v>142389.55871499892</v>
      </c>
      <c r="G222" s="28"/>
      <c r="H222" s="79">
        <f>F222*'GWPs &amp; Fuel EFs'!$N$27</f>
        <v>16345566.65067469</v>
      </c>
      <c r="I222" s="28"/>
      <c r="J222" s="79">
        <f>F222*'GWPs &amp; Fuel EFs'!$M$55</f>
        <v>1004.5287743836951</v>
      </c>
      <c r="K222" s="79">
        <f>J222*'GWPs &amp; Fuel EFs'!$D$11</f>
        <v>25113.219359592378</v>
      </c>
      <c r="L222" s="28"/>
      <c r="M222" s="79">
        <f>F222*'GWPs &amp; Fuel EFs'!$M$83</f>
        <v>197.76660245678997</v>
      </c>
      <c r="N222" s="79">
        <f>M222*'GWPs &amp; Fuel EFs'!$E$11</f>
        <v>58934.447532123413</v>
      </c>
    </row>
    <row r="223" spans="1:14">
      <c r="A223" s="413"/>
      <c r="B223" s="413"/>
      <c r="C223" s="20"/>
      <c r="D223" s="80"/>
      <c r="E223" s="20"/>
      <c r="F223" s="79"/>
      <c r="G223" s="28"/>
      <c r="H223" s="82">
        <f>SUM(H219:H222)</f>
        <v>1764494189.2145092</v>
      </c>
      <c r="I223" s="28"/>
      <c r="J223" s="28"/>
      <c r="K223" s="82">
        <f>SUM(K219:K222)</f>
        <v>3440796.2560257851</v>
      </c>
      <c r="L223" s="28"/>
      <c r="M223" s="28"/>
      <c r="N223" s="82">
        <f>SUM(N219:N222)</f>
        <v>19835662.202405963</v>
      </c>
    </row>
    <row r="224" spans="1:14">
      <c r="A224" s="413"/>
      <c r="B224" s="413"/>
      <c r="C224" s="20"/>
      <c r="D224" s="80"/>
      <c r="E224" s="81"/>
      <c r="F224" s="79"/>
      <c r="G224" s="28"/>
    </row>
    <row r="225" spans="1:14">
      <c r="A225" s="585"/>
      <c r="B225" s="585"/>
      <c r="C225" s="585"/>
      <c r="D225" s="585"/>
      <c r="E225" s="585"/>
      <c r="F225" s="585"/>
      <c r="G225" s="173"/>
      <c r="H225" s="173"/>
      <c r="I225" s="173"/>
      <c r="J225" s="173"/>
      <c r="K225" s="173"/>
      <c r="L225" s="173"/>
      <c r="M225" s="173"/>
      <c r="N225" s="173"/>
    </row>
    <row r="226" spans="1:14" ht="13">
      <c r="A226" s="165" t="s">
        <v>2665</v>
      </c>
      <c r="B226" s="166"/>
      <c r="C226" s="20"/>
      <c r="D226" s="76" t="s">
        <v>220</v>
      </c>
      <c r="E226" s="76"/>
      <c r="F226" s="76"/>
      <c r="G226" s="28"/>
      <c r="H226" s="76" t="s">
        <v>220</v>
      </c>
      <c r="I226" s="28"/>
      <c r="J226" s="76" t="s">
        <v>220</v>
      </c>
      <c r="K226" s="76"/>
      <c r="L226" s="28"/>
      <c r="M226" s="76" t="s">
        <v>220</v>
      </c>
      <c r="N226" s="76"/>
    </row>
    <row r="227" spans="1:14" ht="13">
      <c r="A227" s="166">
        <f>A173</f>
        <v>2022</v>
      </c>
      <c r="B227" s="166"/>
      <c r="C227" s="20"/>
      <c r="D227" s="76" t="s">
        <v>204</v>
      </c>
      <c r="E227" s="76"/>
      <c r="F227" s="76"/>
      <c r="G227" s="28"/>
      <c r="H227" s="76" t="s">
        <v>205</v>
      </c>
      <c r="I227" s="28"/>
      <c r="J227" s="76" t="s">
        <v>206</v>
      </c>
      <c r="K227" s="76"/>
      <c r="L227" s="28"/>
      <c r="M227" s="76" t="s">
        <v>207</v>
      </c>
      <c r="N227" s="76"/>
    </row>
    <row r="228" spans="1:14" ht="35.5">
      <c r="A228" s="167"/>
      <c r="B228" s="168" t="s">
        <v>327</v>
      </c>
      <c r="C228" s="583"/>
      <c r="D228" s="78" t="s">
        <v>208</v>
      </c>
      <c r="E228" s="78" t="s">
        <v>209</v>
      </c>
      <c r="F228" s="78" t="str">
        <f>F174</f>
        <v>Net Heat Input Out of State from MSS Meters</v>
      </c>
      <c r="G228" s="28"/>
      <c r="H228" s="65" t="s">
        <v>325</v>
      </c>
      <c r="I228" s="77"/>
      <c r="J228" s="65" t="s">
        <v>326</v>
      </c>
      <c r="K228" s="65" t="s">
        <v>327</v>
      </c>
      <c r="L228" s="77"/>
      <c r="M228" s="65" t="s">
        <v>328</v>
      </c>
      <c r="N228" s="65" t="s">
        <v>327</v>
      </c>
    </row>
    <row r="229" spans="1:14" ht="13">
      <c r="A229" s="169" t="s">
        <v>211</v>
      </c>
      <c r="B229" s="170">
        <f>SUM(B230:B234)</f>
        <v>202628709.55702949</v>
      </c>
      <c r="C229" s="20"/>
      <c r="D229" s="65" t="s">
        <v>212</v>
      </c>
      <c r="E229" s="65"/>
      <c r="F229" s="65"/>
      <c r="G229" s="28"/>
      <c r="H229" s="28"/>
      <c r="I229" s="28"/>
      <c r="J229" s="77"/>
      <c r="K229" s="77"/>
      <c r="L229" s="28"/>
      <c r="M229" s="77"/>
      <c r="N229" s="77"/>
    </row>
    <row r="230" spans="1:14">
      <c r="A230" s="413" t="s">
        <v>1378</v>
      </c>
      <c r="B230" s="171">
        <f>H233</f>
        <v>186651612.32087857</v>
      </c>
      <c r="C230" s="20"/>
      <c r="D230" s="80" t="s">
        <v>2482</v>
      </c>
      <c r="E230" s="93" t="s">
        <v>46</v>
      </c>
      <c r="F230" s="94">
        <f>'GIS Heat Input'!E52</f>
        <v>0</v>
      </c>
      <c r="G230" s="28"/>
      <c r="H230" s="79">
        <f>F230*'GWPs &amp; Fuel EFs'!$N$7</f>
        <v>0</v>
      </c>
      <c r="I230" s="28"/>
      <c r="J230" s="79">
        <f>F230*'GWPs &amp; Fuel EFs'!$M$35</f>
        <v>0</v>
      </c>
      <c r="K230" s="79">
        <f>J230*'GWPs &amp; Fuel EFs'!$D$11</f>
        <v>0</v>
      </c>
      <c r="L230" s="28"/>
      <c r="M230" s="79">
        <f>F230*'GWPs &amp; Fuel EFs'!$M$63</f>
        <v>0</v>
      </c>
      <c r="N230" s="79">
        <f>M230*'GWPs &amp; Fuel EFs'!$E$11</f>
        <v>0</v>
      </c>
    </row>
    <row r="231" spans="1:14">
      <c r="A231" s="413" t="s">
        <v>213</v>
      </c>
      <c r="B231" s="171">
        <f>K233</f>
        <v>1526594.4301053314</v>
      </c>
      <c r="C231" s="20"/>
      <c r="D231" s="80" t="s">
        <v>374</v>
      </c>
      <c r="E231" s="93" t="s">
        <v>39</v>
      </c>
      <c r="F231" s="94">
        <f>'GIS Heat Input'!E53</f>
        <v>0</v>
      </c>
      <c r="G231" s="28"/>
      <c r="H231" s="79">
        <f>F231*'GWPs &amp; Fuel EFs'!$N$8</f>
        <v>0</v>
      </c>
      <c r="I231" s="28"/>
      <c r="J231" s="79">
        <f>F231*'GWPs &amp; Fuel EFs'!$M$36</f>
        <v>0</v>
      </c>
      <c r="K231" s="79">
        <f>J231*'GWPs &amp; Fuel EFs'!$D$11</f>
        <v>0</v>
      </c>
      <c r="L231" s="28"/>
      <c r="M231" s="79">
        <f>F231*'GWPs &amp; Fuel EFs'!$M$64</f>
        <v>0</v>
      </c>
      <c r="N231" s="79">
        <f>M231*'GWPs &amp; Fuel EFs'!$E$11</f>
        <v>0</v>
      </c>
    </row>
    <row r="232" spans="1:14">
      <c r="A232" s="413" t="s">
        <v>214</v>
      </c>
      <c r="B232" s="171">
        <f>N233</f>
        <v>2426267.4142474076</v>
      </c>
      <c r="C232" s="20"/>
      <c r="D232" s="80" t="s">
        <v>388</v>
      </c>
      <c r="E232" s="93" t="s">
        <v>17</v>
      </c>
      <c r="F232" s="94">
        <f>'GIS Heat Input'!E54</f>
        <v>921147.32628953108</v>
      </c>
      <c r="G232" s="28"/>
      <c r="H232" s="79">
        <f>F232*'GWPs &amp; Fuel EFs'!$N$9</f>
        <v>186651612.32087857</v>
      </c>
      <c r="I232" s="28"/>
      <c r="J232" s="79">
        <f>F232*'GWPs &amp; Fuel EFs'!$M$37</f>
        <v>61063.777204213256</v>
      </c>
      <c r="K232" s="79">
        <f>J232*'GWPs &amp; Fuel EFs'!$D$11</f>
        <v>1526594.4301053314</v>
      </c>
      <c r="L232" s="28"/>
      <c r="M232" s="79">
        <f>F232*'GWPs &amp; Fuel EFs'!$M$65</f>
        <v>8141.8369605617709</v>
      </c>
      <c r="N232" s="79">
        <f>M232*'GWPs &amp; Fuel EFs'!$E$11</f>
        <v>2426267.4142474076</v>
      </c>
    </row>
    <row r="233" spans="1:14">
      <c r="A233" s="413" t="s">
        <v>215</v>
      </c>
      <c r="B233" s="171">
        <f>K241</f>
        <v>2547727.8087732452</v>
      </c>
      <c r="C233" s="20"/>
      <c r="D233" s="80"/>
      <c r="E233" s="81"/>
      <c r="F233" s="79"/>
      <c r="G233" s="28"/>
      <c r="H233" s="82">
        <f>SUM(H230:H232)</f>
        <v>186651612.32087857</v>
      </c>
      <c r="I233" s="28"/>
      <c r="J233" s="79"/>
      <c r="K233" s="82">
        <f>SUM(K230:K232)</f>
        <v>1526594.4301053314</v>
      </c>
      <c r="L233" s="28"/>
      <c r="M233" s="79"/>
      <c r="N233" s="82">
        <f>SUM(N230:N232)</f>
        <v>2426267.4142474076</v>
      </c>
    </row>
    <row r="234" spans="1:14">
      <c r="A234" s="413" t="s">
        <v>216</v>
      </c>
      <c r="B234" s="171">
        <f>N241</f>
        <v>9476507.5830249432</v>
      </c>
      <c r="C234" s="20"/>
      <c r="D234" s="20"/>
      <c r="E234" s="28"/>
      <c r="F234" s="20"/>
    </row>
    <row r="235" spans="1:14">
      <c r="A235" s="413"/>
      <c r="B235" s="413"/>
      <c r="C235" s="20"/>
      <c r="D235" s="20"/>
      <c r="E235" s="20"/>
      <c r="F235" s="20"/>
    </row>
    <row r="236" spans="1:14" ht="13">
      <c r="A236" s="172" t="s">
        <v>217</v>
      </c>
      <c r="B236" s="170">
        <f>H241</f>
        <v>888057990.7935586</v>
      </c>
      <c r="C236" s="20"/>
      <c r="D236" s="65" t="s">
        <v>218</v>
      </c>
      <c r="E236" s="28"/>
      <c r="F236" s="79"/>
      <c r="G236" s="28"/>
      <c r="H236" s="82"/>
      <c r="I236" s="28"/>
      <c r="J236" s="79"/>
      <c r="K236" s="82"/>
      <c r="L236" s="28"/>
      <c r="M236" s="79"/>
      <c r="N236" s="82"/>
    </row>
    <row r="237" spans="1:14">
      <c r="A237" s="413"/>
      <c r="B237" s="584"/>
      <c r="C237" s="20"/>
      <c r="D237" s="80" t="s">
        <v>382</v>
      </c>
      <c r="E237" s="93" t="s">
        <v>63</v>
      </c>
      <c r="F237" s="94">
        <f>'GIS Heat Input'!E56</f>
        <v>841456.00355284871</v>
      </c>
      <c r="G237" s="28"/>
      <c r="H237" s="79">
        <f>F237*'GWPs &amp; Fuel EFs'!$N$20</f>
        <v>96594689.342447072</v>
      </c>
      <c r="I237" s="28"/>
      <c r="J237" s="79">
        <f>F237*'GWPs &amp; Fuel EFs'!$M$48</f>
        <v>5936.2974053357138</v>
      </c>
      <c r="K237" s="79">
        <f>J237*'GWPs &amp; Fuel EFs'!$D$11</f>
        <v>148407.43513339284</v>
      </c>
      <c r="L237" s="28"/>
      <c r="M237" s="79">
        <f>F237*'GWPs &amp; Fuel EFs'!$M$76</f>
        <v>1168.7085516754687</v>
      </c>
      <c r="N237" s="79">
        <f>M237*'GWPs &amp; Fuel EFs'!$E$11</f>
        <v>348275.1483992897</v>
      </c>
    </row>
    <row r="238" spans="1:14">
      <c r="A238" s="413"/>
      <c r="B238" s="413"/>
      <c r="C238" s="20"/>
      <c r="D238" s="80" t="s">
        <v>385</v>
      </c>
      <c r="E238" s="93" t="s">
        <v>16</v>
      </c>
      <c r="F238" s="94">
        <f>'GIS Heat Input'!E57</f>
        <v>753656.73351140623</v>
      </c>
      <c r="G238" s="28"/>
      <c r="H238" s="79">
        <f>F238*'GWPs &amp; Fuel EFs'!$N$21</f>
        <v>157770500.06918445</v>
      </c>
      <c r="I238" s="28"/>
      <c r="J238" s="79">
        <f>F238*'GWPs &amp; Fuel EFs'!$M$49</f>
        <v>47331.150020755333</v>
      </c>
      <c r="K238" s="79">
        <f>J238*'GWPs &amp; Fuel EFs'!$D$11</f>
        <v>1183278.7505188833</v>
      </c>
      <c r="L238" s="28"/>
      <c r="M238" s="79">
        <f>F238*'GWPs &amp; Fuel EFs'!$M$77</f>
        <v>6310.8200027673774</v>
      </c>
      <c r="N238" s="79">
        <f>M238*'GWPs &amp; Fuel EFs'!$E$11</f>
        <v>1880624.3608246786</v>
      </c>
    </row>
    <row r="239" spans="1:14">
      <c r="A239" s="413"/>
      <c r="B239" s="413"/>
      <c r="C239" s="20"/>
      <c r="D239" s="80" t="s">
        <v>390</v>
      </c>
      <c r="E239" s="93" t="s">
        <v>69</v>
      </c>
      <c r="F239" s="94">
        <f>'GIS Heat Input'!E58</f>
        <v>3064373.3461813498</v>
      </c>
      <c r="G239" s="85"/>
      <c r="H239" s="79">
        <f>F239*'GWPs &amp; Fuel EFs'!$N$23</f>
        <v>633692801.38192713</v>
      </c>
      <c r="I239" s="28"/>
      <c r="J239" s="79">
        <f>F239*'GWPs &amp; Fuel EFs'!$M$51</f>
        <v>48641.664924838755</v>
      </c>
      <c r="K239" s="79">
        <f>J239*'GWPs &amp; Fuel EFs'!$D$11</f>
        <v>1216041.6231209689</v>
      </c>
      <c r="L239" s="28"/>
      <c r="M239" s="79">
        <f>F239*'GWPs &amp; Fuel EFs'!$M$79</f>
        <v>24320.832462419377</v>
      </c>
      <c r="N239" s="79">
        <f>M239*'GWPs &amp; Fuel EFs'!$E$11</f>
        <v>7247608.0738009745</v>
      </c>
    </row>
    <row r="240" spans="1:14" ht="13">
      <c r="A240" s="172"/>
      <c r="B240" s="170"/>
      <c r="C240" s="20"/>
      <c r="D240" s="80" t="s">
        <v>2239</v>
      </c>
      <c r="E240" s="93" t="s">
        <v>68</v>
      </c>
      <c r="F240" s="94">
        <f>'GIS Heat Input'!E59</f>
        <v>0</v>
      </c>
      <c r="G240" s="28"/>
      <c r="H240" s="79">
        <f>F240*'GWPs &amp; Fuel EFs'!$N$27</f>
        <v>0</v>
      </c>
      <c r="I240" s="28"/>
      <c r="J240" s="79">
        <f>F240*'GWPs &amp; Fuel EFs'!$M$55</f>
        <v>0</v>
      </c>
      <c r="K240" s="79">
        <f>J240*'GWPs &amp; Fuel EFs'!$D$11</f>
        <v>0</v>
      </c>
      <c r="L240" s="28"/>
      <c r="M240" s="79">
        <f>F240*'GWPs &amp; Fuel EFs'!$M$83</f>
        <v>0</v>
      </c>
      <c r="N240" s="79">
        <f>M240*'GWPs &amp; Fuel EFs'!$E$11</f>
        <v>0</v>
      </c>
    </row>
    <row r="241" spans="1:14">
      <c r="A241" s="413"/>
      <c r="B241" s="586"/>
      <c r="C241" s="20"/>
      <c r="D241" s="80"/>
      <c r="E241" s="20"/>
      <c r="F241" s="79"/>
      <c r="G241" s="28"/>
      <c r="H241" s="82">
        <f>SUM(H237:H239)</f>
        <v>888057990.7935586</v>
      </c>
      <c r="I241" s="28"/>
      <c r="J241" s="79"/>
      <c r="K241" s="82">
        <f>SUM(K237:K239)</f>
        <v>2547727.8087732452</v>
      </c>
      <c r="L241" s="28"/>
      <c r="M241" s="79"/>
      <c r="N241" s="82">
        <f>SUM(N237:N239)</f>
        <v>9476507.5830249432</v>
      </c>
    </row>
    <row r="242" spans="1:14">
      <c r="A242" s="413"/>
      <c r="B242" s="413"/>
      <c r="C242" s="20"/>
      <c r="D242" s="20"/>
      <c r="E242" s="20"/>
      <c r="F242" s="79"/>
    </row>
    <row r="243" spans="1:14">
      <c r="A243" s="585"/>
      <c r="B243" s="585"/>
      <c r="C243" s="585"/>
      <c r="D243" s="585"/>
      <c r="E243" s="585"/>
      <c r="F243" s="585"/>
      <c r="G243" s="173"/>
      <c r="H243" s="173"/>
      <c r="I243" s="173"/>
      <c r="J243" s="173"/>
      <c r="K243" s="173"/>
      <c r="L243" s="173"/>
      <c r="M243" s="173"/>
      <c r="N243" s="173"/>
    </row>
    <row r="244" spans="1:14" ht="13">
      <c r="A244" s="165" t="s">
        <v>2668</v>
      </c>
      <c r="B244" s="165"/>
      <c r="C244" s="20"/>
      <c r="D244" s="76" t="s">
        <v>222</v>
      </c>
      <c r="E244" s="76"/>
      <c r="F244" s="76"/>
      <c r="G244" s="28"/>
      <c r="H244" s="76" t="s">
        <v>222</v>
      </c>
      <c r="I244" s="28"/>
      <c r="J244" s="76" t="s">
        <v>222</v>
      </c>
      <c r="K244" s="76"/>
      <c r="L244" s="28"/>
      <c r="M244" s="76" t="s">
        <v>222</v>
      </c>
      <c r="N244" s="76"/>
    </row>
    <row r="245" spans="1:14" ht="13">
      <c r="A245" s="166">
        <f>A173</f>
        <v>2022</v>
      </c>
      <c r="B245" s="166"/>
      <c r="C245" s="20"/>
      <c r="D245" s="76" t="s">
        <v>204</v>
      </c>
      <c r="E245" s="76"/>
      <c r="F245" s="76"/>
      <c r="G245" s="28"/>
      <c r="H245" s="76" t="s">
        <v>205</v>
      </c>
      <c r="I245" s="28"/>
      <c r="J245" s="76" t="s">
        <v>206</v>
      </c>
      <c r="K245" s="76"/>
      <c r="L245" s="28"/>
      <c r="M245" s="76" t="s">
        <v>207</v>
      </c>
      <c r="N245" s="76"/>
    </row>
    <row r="246" spans="1:14" ht="35.5">
      <c r="A246" s="167"/>
      <c r="B246" s="168" t="s">
        <v>327</v>
      </c>
      <c r="C246" s="583"/>
      <c r="D246" s="78" t="s">
        <v>208</v>
      </c>
      <c r="E246" s="78" t="s">
        <v>209</v>
      </c>
      <c r="F246" s="78" t="str">
        <f>F192</f>
        <v>Net Heat Input Out of State from MSS Meters</v>
      </c>
      <c r="G246" s="28"/>
      <c r="H246" s="65" t="s">
        <v>325</v>
      </c>
      <c r="I246" s="77"/>
      <c r="J246" s="65" t="s">
        <v>326</v>
      </c>
      <c r="K246" s="65" t="s">
        <v>327</v>
      </c>
      <c r="L246" s="77"/>
      <c r="M246" s="65" t="s">
        <v>328</v>
      </c>
      <c r="N246" s="65" t="s">
        <v>327</v>
      </c>
    </row>
    <row r="247" spans="1:14" ht="13">
      <c r="A247" s="169" t="s">
        <v>211</v>
      </c>
      <c r="B247" s="170">
        <f>SUM(B248:B252)</f>
        <v>106156.8055069258</v>
      </c>
      <c r="C247" s="20"/>
      <c r="D247" s="65" t="s">
        <v>212</v>
      </c>
      <c r="E247" s="65"/>
      <c r="F247" s="65"/>
      <c r="G247" s="28"/>
      <c r="H247" s="28"/>
      <c r="I247" s="28"/>
      <c r="J247" s="77"/>
      <c r="K247" s="77"/>
      <c r="L247" s="28"/>
      <c r="M247" s="77"/>
      <c r="N247" s="77"/>
    </row>
    <row r="248" spans="1:14">
      <c r="A248" s="413" t="s">
        <v>1377</v>
      </c>
      <c r="B248" s="171">
        <f>H251</f>
        <v>0</v>
      </c>
      <c r="C248" s="20"/>
      <c r="D248" s="80" t="s">
        <v>2482</v>
      </c>
      <c r="E248" s="93" t="s">
        <v>46</v>
      </c>
      <c r="F248" s="94">
        <f>'GIS Heat Input'!E64</f>
        <v>0</v>
      </c>
      <c r="G248" s="28"/>
      <c r="H248" s="79">
        <f>F248*'GWPs &amp; Fuel EFs'!$N$7</f>
        <v>0</v>
      </c>
      <c r="I248" s="28"/>
      <c r="J248" s="79">
        <f>F248*'GWPs &amp; Fuel EFs'!$M$35</f>
        <v>0</v>
      </c>
      <c r="K248" s="79">
        <f>J248*'GWPs &amp; Fuel EFs'!$D$11</f>
        <v>0</v>
      </c>
      <c r="L248" s="28"/>
      <c r="M248" s="79">
        <f>F248*'GWPs &amp; Fuel EFs'!$M$63</f>
        <v>0</v>
      </c>
      <c r="N248" s="79">
        <f>M248*'GWPs &amp; Fuel EFs'!$E$11</f>
        <v>0</v>
      </c>
    </row>
    <row r="249" spans="1:14">
      <c r="A249" s="413" t="s">
        <v>213</v>
      </c>
      <c r="B249" s="171">
        <f>K251</f>
        <v>0</v>
      </c>
      <c r="C249" s="20"/>
      <c r="D249" s="80" t="s">
        <v>374</v>
      </c>
      <c r="E249" s="93" t="s">
        <v>39</v>
      </c>
      <c r="F249" s="94">
        <f>'GIS Heat Input'!E65</f>
        <v>0</v>
      </c>
      <c r="G249" s="28"/>
      <c r="H249" s="79">
        <f>F249*'GWPs &amp; Fuel EFs'!$N$8</f>
        <v>0</v>
      </c>
      <c r="I249" s="28"/>
      <c r="J249" s="79">
        <f>F249*'GWPs &amp; Fuel EFs'!$M$36</f>
        <v>0</v>
      </c>
      <c r="K249" s="79">
        <f>J249*'GWPs &amp; Fuel EFs'!$D$11</f>
        <v>0</v>
      </c>
      <c r="L249" s="28"/>
      <c r="M249" s="79">
        <f>F249*'GWPs &amp; Fuel EFs'!$M$64</f>
        <v>0</v>
      </c>
      <c r="N249" s="79">
        <f>M249*'GWPs &amp; Fuel EFs'!$E$11</f>
        <v>0</v>
      </c>
    </row>
    <row r="250" spans="1:14">
      <c r="A250" s="413" t="s">
        <v>214</v>
      </c>
      <c r="B250" s="171">
        <f>N251</f>
        <v>0</v>
      </c>
      <c r="C250" s="20"/>
      <c r="D250" s="80" t="s">
        <v>388</v>
      </c>
      <c r="E250" s="93" t="s">
        <v>17</v>
      </c>
      <c r="F250" s="94">
        <f>'GIS Heat Input'!E66</f>
        <v>0</v>
      </c>
      <c r="G250" s="28"/>
      <c r="H250" s="79">
        <f>F250*'GWPs &amp; Fuel EFs'!$N$9</f>
        <v>0</v>
      </c>
      <c r="I250" s="28"/>
      <c r="J250" s="79">
        <f>F250*'GWPs &amp; Fuel EFs'!$M$37</f>
        <v>0</v>
      </c>
      <c r="K250" s="79">
        <f>J250*'GWPs &amp; Fuel EFs'!$D$11</f>
        <v>0</v>
      </c>
      <c r="L250" s="28"/>
      <c r="M250" s="79">
        <f>F250*'GWPs &amp; Fuel EFs'!$M$65</f>
        <v>0</v>
      </c>
      <c r="N250" s="79">
        <f>M250*'GWPs &amp; Fuel EFs'!$E$11</f>
        <v>0</v>
      </c>
    </row>
    <row r="251" spans="1:14">
      <c r="A251" s="413" t="s">
        <v>215</v>
      </c>
      <c r="B251" s="171">
        <f>K259</f>
        <v>31719.371183065901</v>
      </c>
      <c r="C251" s="20"/>
      <c r="D251" s="80"/>
      <c r="E251" s="81"/>
      <c r="F251" s="81"/>
      <c r="G251" s="28"/>
      <c r="H251" s="82">
        <f>SUM(H248:H250)</f>
        <v>0</v>
      </c>
      <c r="I251" s="28"/>
      <c r="J251" s="79"/>
      <c r="K251" s="82">
        <f>SUM(K248:K250)</f>
        <v>0</v>
      </c>
      <c r="L251" s="28"/>
      <c r="M251" s="79"/>
      <c r="N251" s="82">
        <f>SUM(N248:N250)</f>
        <v>0</v>
      </c>
    </row>
    <row r="252" spans="1:14">
      <c r="A252" s="413" t="s">
        <v>216</v>
      </c>
      <c r="B252" s="171">
        <f>N259</f>
        <v>74437.434323859896</v>
      </c>
      <c r="C252" s="20"/>
      <c r="D252" s="20"/>
      <c r="E252" s="28"/>
      <c r="F252" s="28"/>
    </row>
    <row r="253" spans="1:14">
      <c r="A253" s="413"/>
      <c r="B253" s="413"/>
      <c r="C253" s="20"/>
      <c r="D253" s="20"/>
      <c r="E253" s="20"/>
      <c r="F253" s="20"/>
    </row>
    <row r="254" spans="1:14" ht="13">
      <c r="A254" s="172" t="s">
        <v>217</v>
      </c>
      <c r="B254" s="170">
        <f>H259</f>
        <v>20645345.718778018</v>
      </c>
      <c r="C254" s="20"/>
      <c r="D254" s="65" t="s">
        <v>218</v>
      </c>
      <c r="E254" s="28"/>
      <c r="F254" s="28"/>
      <c r="G254" s="28"/>
      <c r="H254" s="82"/>
      <c r="I254" s="28"/>
      <c r="J254" s="79"/>
      <c r="K254" s="82"/>
      <c r="L254" s="28"/>
      <c r="M254" s="79"/>
      <c r="N254" s="82"/>
    </row>
    <row r="255" spans="1:14">
      <c r="A255" s="413"/>
      <c r="B255" s="584"/>
      <c r="C255" s="20"/>
      <c r="D255" s="80" t="s">
        <v>382</v>
      </c>
      <c r="E255" s="93" t="s">
        <v>63</v>
      </c>
      <c r="F255" s="94">
        <f>'GIS Heat Input'!E68</f>
        <v>179845.80952377408</v>
      </c>
      <c r="G255" s="28"/>
      <c r="H255" s="79">
        <f>F255*'GWPs &amp; Fuel EFs'!$N$20</f>
        <v>20645345.718778018</v>
      </c>
      <c r="I255" s="28"/>
      <c r="J255" s="79">
        <f>F255*'GWPs &amp; Fuel EFs'!$M$48</f>
        <v>1268.7748473226361</v>
      </c>
      <c r="K255" s="79">
        <f>J255*'GWPs &amp; Fuel EFs'!$D$11</f>
        <v>31719.371183065901</v>
      </c>
      <c r="L255" s="28"/>
      <c r="M255" s="79">
        <f>F255*'GWPs &amp; Fuel EFs'!$M$76</f>
        <v>249.79004806664395</v>
      </c>
      <c r="N255" s="79">
        <f>M255*'GWPs &amp; Fuel EFs'!$E$11</f>
        <v>74437.434323859896</v>
      </c>
    </row>
    <row r="256" spans="1:14">
      <c r="A256" s="413"/>
      <c r="B256" s="413"/>
      <c r="C256" s="20"/>
      <c r="D256" s="80" t="s">
        <v>385</v>
      </c>
      <c r="E256" s="93" t="s">
        <v>16</v>
      </c>
      <c r="F256" s="94">
        <f>'GIS Heat Input'!E69</f>
        <v>0</v>
      </c>
      <c r="G256" s="28"/>
      <c r="H256" s="79">
        <f>F256*'GWPs &amp; Fuel EFs'!$N$21</f>
        <v>0</v>
      </c>
      <c r="I256" s="28"/>
      <c r="J256" s="79">
        <f>F256*'GWPs &amp; Fuel EFs'!$M$49</f>
        <v>0</v>
      </c>
      <c r="K256" s="79">
        <f>J256*'GWPs &amp; Fuel EFs'!$D$11</f>
        <v>0</v>
      </c>
      <c r="L256" s="28"/>
      <c r="M256" s="79">
        <f>F256*'GWPs &amp; Fuel EFs'!$M$77</f>
        <v>0</v>
      </c>
      <c r="N256" s="79">
        <f>M256*'GWPs &amp; Fuel EFs'!$E$11</f>
        <v>0</v>
      </c>
    </row>
    <row r="257" spans="1:14">
      <c r="A257" s="413"/>
      <c r="B257" s="413"/>
      <c r="C257" s="20"/>
      <c r="D257" s="80" t="s">
        <v>390</v>
      </c>
      <c r="E257" s="93" t="s">
        <v>69</v>
      </c>
      <c r="F257" s="94">
        <f>'GIS Heat Input'!E70</f>
        <v>0</v>
      </c>
      <c r="G257" s="28"/>
      <c r="H257" s="79">
        <f>F257*'GWPs &amp; Fuel EFs'!$N$23</f>
        <v>0</v>
      </c>
      <c r="I257" s="28"/>
      <c r="J257" s="79">
        <f>F257*'GWPs &amp; Fuel EFs'!$M$51</f>
        <v>0</v>
      </c>
      <c r="K257" s="79">
        <f>J257*'GWPs &amp; Fuel EFs'!$D$11</f>
        <v>0</v>
      </c>
      <c r="L257" s="28"/>
      <c r="M257" s="79">
        <f>F257*'GWPs &amp; Fuel EFs'!$M$79</f>
        <v>0</v>
      </c>
      <c r="N257" s="79">
        <f>M257*'GWPs &amp; Fuel EFs'!$E$11</f>
        <v>0</v>
      </c>
    </row>
    <row r="258" spans="1:14">
      <c r="A258" s="413"/>
      <c r="B258" s="413"/>
      <c r="C258" s="20"/>
      <c r="D258" s="80" t="s">
        <v>2239</v>
      </c>
      <c r="E258" s="93" t="s">
        <v>68</v>
      </c>
      <c r="F258" s="94">
        <f>'GIS Heat Input'!E71</f>
        <v>0</v>
      </c>
      <c r="G258" s="28"/>
      <c r="H258" s="79">
        <f>F258*'GWPs &amp; Fuel EFs'!$N$27</f>
        <v>0</v>
      </c>
      <c r="I258" s="28"/>
      <c r="J258" s="79">
        <f>F258*'GWPs &amp; Fuel EFs'!$M$55</f>
        <v>0</v>
      </c>
      <c r="K258" s="79">
        <f>J258*'GWPs &amp; Fuel EFs'!$D$11</f>
        <v>0</v>
      </c>
      <c r="L258" s="28"/>
      <c r="M258" s="79">
        <f>F258*'GWPs &amp; Fuel EFs'!$M$83</f>
        <v>0</v>
      </c>
      <c r="N258" s="79">
        <f>M258*'GWPs &amp; Fuel EFs'!$E$11</f>
        <v>0</v>
      </c>
    </row>
    <row r="259" spans="1:14">
      <c r="A259" s="413"/>
      <c r="B259" s="584"/>
      <c r="C259" s="20"/>
      <c r="D259" s="28"/>
      <c r="E259" s="28"/>
      <c r="F259" s="79"/>
      <c r="G259" s="28"/>
      <c r="H259" s="82">
        <f>SUM(H255:H258)</f>
        <v>20645345.718778018</v>
      </c>
      <c r="I259" s="28"/>
      <c r="J259" s="28"/>
      <c r="K259" s="82">
        <f>SUM(K255:K258)</f>
        <v>31719.371183065901</v>
      </c>
      <c r="L259" s="28"/>
      <c r="M259" s="28"/>
      <c r="N259" s="82">
        <f>SUM(N255:N258)</f>
        <v>74437.434323859896</v>
      </c>
    </row>
    <row r="260" spans="1:14">
      <c r="A260" s="413"/>
      <c r="B260" s="413"/>
      <c r="C260" s="20"/>
      <c r="D260" s="20"/>
      <c r="E260" s="20"/>
      <c r="F260" s="20"/>
    </row>
    <row r="261" spans="1:14">
      <c r="A261" s="585"/>
      <c r="B261" s="585"/>
      <c r="C261" s="585"/>
      <c r="D261" s="585"/>
      <c r="E261" s="585"/>
      <c r="F261" s="585"/>
      <c r="G261" s="173"/>
      <c r="H261" s="173"/>
      <c r="I261" s="173"/>
      <c r="J261" s="173"/>
      <c r="K261" s="173"/>
      <c r="L261" s="173"/>
      <c r="M261" s="173"/>
      <c r="N261" s="173"/>
    </row>
    <row r="262" spans="1:14" ht="13">
      <c r="A262" s="165" t="s">
        <v>2669</v>
      </c>
      <c r="B262" s="165"/>
      <c r="C262" s="20"/>
      <c r="D262" s="76" t="s">
        <v>221</v>
      </c>
      <c r="E262" s="76"/>
      <c r="F262" s="76"/>
      <c r="G262" s="28"/>
      <c r="H262" s="76" t="s">
        <v>221</v>
      </c>
      <c r="I262" s="28"/>
      <c r="J262" s="76" t="s">
        <v>221</v>
      </c>
      <c r="K262" s="76"/>
      <c r="L262" s="28"/>
      <c r="M262" s="76" t="s">
        <v>221</v>
      </c>
      <c r="N262" s="76"/>
    </row>
    <row r="263" spans="1:14" ht="13">
      <c r="A263" s="166">
        <f>A191</f>
        <v>2022</v>
      </c>
      <c r="B263" s="166"/>
      <c r="C263" s="20"/>
      <c r="D263" s="76" t="s">
        <v>204</v>
      </c>
      <c r="E263" s="76"/>
      <c r="F263" s="76"/>
      <c r="G263" s="28"/>
      <c r="H263" s="76" t="s">
        <v>205</v>
      </c>
      <c r="I263" s="28"/>
      <c r="J263" s="76" t="s">
        <v>206</v>
      </c>
      <c r="K263" s="76"/>
      <c r="L263" s="28"/>
      <c r="M263" s="76" t="s">
        <v>207</v>
      </c>
      <c r="N263" s="76"/>
    </row>
    <row r="264" spans="1:14" ht="35.5">
      <c r="A264" s="167"/>
      <c r="B264" s="168" t="s">
        <v>327</v>
      </c>
      <c r="C264" s="583"/>
      <c r="D264" s="78" t="s">
        <v>208</v>
      </c>
      <c r="E264" s="78" t="s">
        <v>209</v>
      </c>
      <c r="F264" s="78" t="str">
        <f>F192</f>
        <v>Net Heat Input Out of State from MSS Meters</v>
      </c>
      <c r="G264" s="28"/>
      <c r="H264" s="65" t="s">
        <v>325</v>
      </c>
      <c r="I264" s="77"/>
      <c r="J264" s="65" t="s">
        <v>326</v>
      </c>
      <c r="K264" s="65" t="s">
        <v>327</v>
      </c>
      <c r="L264" s="77"/>
      <c r="M264" s="65" t="s">
        <v>328</v>
      </c>
      <c r="N264" s="65" t="s">
        <v>327</v>
      </c>
    </row>
    <row r="265" spans="1:14" ht="13">
      <c r="A265" s="169" t="s">
        <v>211</v>
      </c>
      <c r="B265" s="170">
        <f>SUM(B266:B270)+F269+F270</f>
        <v>15327497.618203437</v>
      </c>
      <c r="C265" s="20"/>
      <c r="D265" s="65" t="s">
        <v>212</v>
      </c>
      <c r="E265" s="65"/>
      <c r="F265" s="65"/>
      <c r="G265" s="28"/>
      <c r="H265" s="28"/>
      <c r="I265" s="28"/>
      <c r="J265" s="77"/>
      <c r="K265" s="77"/>
      <c r="L265" s="28"/>
      <c r="M265" s="77"/>
      <c r="N265" s="77"/>
    </row>
    <row r="266" spans="1:14">
      <c r="A266" s="413" t="s">
        <v>1377</v>
      </c>
      <c r="B266" s="171">
        <f>H270</f>
        <v>0</v>
      </c>
      <c r="C266" s="20"/>
      <c r="D266" s="80" t="s">
        <v>2482</v>
      </c>
      <c r="E266" s="93" t="s">
        <v>46</v>
      </c>
      <c r="F266" s="94">
        <f>'GIS Heat Input'!E76</f>
        <v>0</v>
      </c>
      <c r="G266" s="28"/>
      <c r="H266" s="79">
        <f>F266*'GWPs &amp; Fuel EFs'!$N$7</f>
        <v>0</v>
      </c>
      <c r="I266" s="28"/>
      <c r="J266" s="79">
        <f>F266*'GWPs &amp; Fuel EFs'!$M$35</f>
        <v>0</v>
      </c>
      <c r="K266" s="79">
        <f>J266*'GWPs &amp; Fuel EFs'!$D$11</f>
        <v>0</v>
      </c>
      <c r="L266" s="28"/>
      <c r="M266" s="79">
        <f>F266*'GWPs &amp; Fuel EFs'!$M$63</f>
        <v>0</v>
      </c>
      <c r="N266" s="79">
        <f>M266*'GWPs &amp; Fuel EFs'!$E$11</f>
        <v>0</v>
      </c>
    </row>
    <row r="267" spans="1:14">
      <c r="A267" s="413" t="s">
        <v>213</v>
      </c>
      <c r="B267" s="171">
        <f>K270</f>
        <v>0</v>
      </c>
      <c r="C267" s="20"/>
      <c r="D267" s="80" t="s">
        <v>374</v>
      </c>
      <c r="E267" s="93" t="s">
        <v>39</v>
      </c>
      <c r="F267" s="94">
        <f>'GIS Heat Input'!E77</f>
        <v>0</v>
      </c>
      <c r="G267" s="28"/>
      <c r="H267" s="79">
        <f>F267*'GWPs &amp; Fuel EFs'!$N$8</f>
        <v>0</v>
      </c>
      <c r="I267" s="28"/>
      <c r="J267" s="79">
        <f>F267*'GWPs &amp; Fuel EFs'!$M$36</f>
        <v>0</v>
      </c>
      <c r="K267" s="79">
        <f>J267*'GWPs &amp; Fuel EFs'!$D$11</f>
        <v>0</v>
      </c>
      <c r="L267" s="28"/>
      <c r="M267" s="79">
        <f>F267*'GWPs &amp; Fuel EFs'!$M$64</f>
        <v>0</v>
      </c>
      <c r="N267" s="79">
        <f>M267*'GWPs &amp; Fuel EFs'!$E$11</f>
        <v>0</v>
      </c>
    </row>
    <row r="268" spans="1:14">
      <c r="A268" s="413" t="s">
        <v>214</v>
      </c>
      <c r="B268" s="171">
        <f>N270</f>
        <v>0</v>
      </c>
      <c r="C268" s="20"/>
      <c r="D268" s="80" t="s">
        <v>388</v>
      </c>
      <c r="E268" s="93" t="s">
        <v>17</v>
      </c>
      <c r="F268" s="94">
        <f>'GIS Heat Input'!E78</f>
        <v>0</v>
      </c>
      <c r="G268" s="28"/>
      <c r="H268" s="79">
        <f>F268*'GWPs &amp; Fuel EFs'!$N$9</f>
        <v>0</v>
      </c>
      <c r="I268" s="28"/>
      <c r="J268" s="79">
        <f>F268*'GWPs &amp; Fuel EFs'!$M$37</f>
        <v>0</v>
      </c>
      <c r="K268" s="79">
        <f>J268*'GWPs &amp; Fuel EFs'!$D$11</f>
        <v>0</v>
      </c>
      <c r="L268" s="28"/>
      <c r="M268" s="79">
        <f>F268*'GWPs &amp; Fuel EFs'!$M$65</f>
        <v>0</v>
      </c>
      <c r="N268" s="79">
        <f>M268*'GWPs &amp; Fuel EFs'!$E$11</f>
        <v>0</v>
      </c>
    </row>
    <row r="269" spans="1:14">
      <c r="A269" s="413" t="s">
        <v>215</v>
      </c>
      <c r="B269" s="171">
        <f>K277</f>
        <v>2254735.2759897602</v>
      </c>
      <c r="C269" s="20"/>
      <c r="D269" s="80"/>
      <c r="E269" s="81"/>
      <c r="F269" s="79"/>
      <c r="G269" s="28"/>
      <c r="H269" s="82">
        <f>SUM(H266:H268)</f>
        <v>0</v>
      </c>
      <c r="I269" s="28"/>
      <c r="J269" s="79"/>
      <c r="K269" s="82">
        <f>SUM(K265:K268)</f>
        <v>0</v>
      </c>
      <c r="L269" s="28"/>
      <c r="M269" s="79"/>
      <c r="N269" s="82">
        <f>SUM(N265:N268)</f>
        <v>0</v>
      </c>
    </row>
    <row r="270" spans="1:14">
      <c r="A270" s="413" t="s">
        <v>216</v>
      </c>
      <c r="B270" s="171">
        <f>N277</f>
        <v>13072762.342213677</v>
      </c>
      <c r="C270" s="20"/>
      <c r="D270" s="20"/>
      <c r="E270" s="28"/>
      <c r="F270" s="20"/>
      <c r="G270" s="28"/>
      <c r="H270" s="82"/>
      <c r="I270" s="28"/>
      <c r="J270" s="79"/>
      <c r="K270" s="82"/>
      <c r="L270" s="28"/>
      <c r="M270" s="79"/>
      <c r="N270" s="82"/>
    </row>
    <row r="271" spans="1:14">
      <c r="A271" s="413"/>
      <c r="B271" s="413"/>
      <c r="C271" s="20"/>
      <c r="D271" s="20"/>
      <c r="E271" s="20"/>
      <c r="F271" s="20"/>
    </row>
    <row r="272" spans="1:14" ht="13">
      <c r="A272" s="172" t="s">
        <v>217</v>
      </c>
      <c r="B272" s="170">
        <f>H277</f>
        <v>1188092492.0023644</v>
      </c>
      <c r="C272" s="20"/>
      <c r="D272" s="65" t="s">
        <v>218</v>
      </c>
      <c r="E272" s="28"/>
      <c r="F272" s="79"/>
      <c r="G272" s="28"/>
      <c r="H272" s="82"/>
      <c r="I272" s="28"/>
      <c r="J272" s="79"/>
      <c r="K272" s="82"/>
      <c r="L272" s="28"/>
      <c r="M272" s="79"/>
      <c r="N272" s="82"/>
    </row>
    <row r="273" spans="1:17">
      <c r="A273" s="413"/>
      <c r="B273" s="584"/>
      <c r="C273" s="20"/>
      <c r="D273" s="80" t="s">
        <v>382</v>
      </c>
      <c r="E273" s="93" t="s">
        <v>63</v>
      </c>
      <c r="F273" s="94">
        <f>'GIS Heat Input'!E80</f>
        <v>573458.04913978104</v>
      </c>
      <c r="G273" s="28"/>
      <c r="H273" s="79">
        <f>F273*'GWPs &amp; Fuel EFs'!$N$20</f>
        <v>65829944.612313725</v>
      </c>
      <c r="I273" s="28"/>
      <c r="J273" s="79">
        <f>F273*'GWPs &amp; Fuel EFs'!$M$48</f>
        <v>4045.6274776148252</v>
      </c>
      <c r="K273" s="79">
        <f>J273*'GWPs &amp; Fuel EFs'!$D$11</f>
        <v>101140.68694037064</v>
      </c>
      <c r="L273" s="28"/>
      <c r="M273" s="79">
        <f>F273*'GWPs &amp; Fuel EFs'!$M$76</f>
        <v>796.48290965541867</v>
      </c>
      <c r="N273" s="79">
        <f>M273*'GWPs &amp; Fuel EFs'!$E$11</f>
        <v>237351.90707731477</v>
      </c>
    </row>
    <row r="274" spans="1:17">
      <c r="A274" s="413"/>
      <c r="B274" s="413"/>
      <c r="C274" s="20"/>
      <c r="D274" s="80" t="s">
        <v>385</v>
      </c>
      <c r="E274" s="93" t="s">
        <v>16</v>
      </c>
      <c r="F274" s="94">
        <f>'GIS Heat Input'!E81</f>
        <v>0</v>
      </c>
      <c r="G274" s="28"/>
      <c r="H274" s="79">
        <f>F274*'GWPs &amp; Fuel EFs'!$N$21</f>
        <v>0</v>
      </c>
      <c r="I274" s="28"/>
      <c r="J274" s="79">
        <f>F274*'GWPs &amp; Fuel EFs'!$M$49</f>
        <v>0</v>
      </c>
      <c r="K274" s="79">
        <f>J274*'GWPs &amp; Fuel EFs'!$D$11</f>
        <v>0</v>
      </c>
      <c r="L274" s="28"/>
      <c r="M274" s="79">
        <f>F274*'GWPs &amp; Fuel EFs'!$M$77</f>
        <v>0</v>
      </c>
      <c r="N274" s="79">
        <f>M274*'GWPs &amp; Fuel EFs'!$E$11</f>
        <v>0</v>
      </c>
    </row>
    <row r="275" spans="1:17">
      <c r="A275" s="413"/>
      <c r="B275" s="413"/>
      <c r="C275" s="20"/>
      <c r="D275" s="80" t="s">
        <v>390</v>
      </c>
      <c r="E275" s="93" t="s">
        <v>69</v>
      </c>
      <c r="F275" s="94">
        <f>'GIS Heat Input'!E82</f>
        <v>5426957.7938916795</v>
      </c>
      <c r="G275" s="28"/>
      <c r="H275" s="79">
        <f>F275*'GWPs &amp; Fuel EFs'!$N$23</f>
        <v>1122260148.7766562</v>
      </c>
      <c r="I275" s="28"/>
      <c r="J275" s="79">
        <f>F275*'GWPs &amp; Fuel EFs'!$M$51</f>
        <v>86143.636153432031</v>
      </c>
      <c r="K275" s="79">
        <f>J275*'GWPs &amp; Fuel EFs'!$D$11</f>
        <v>2153590.9038358009</v>
      </c>
      <c r="L275" s="28"/>
      <c r="M275" s="79">
        <f>F275*'GWPs &amp; Fuel EFs'!$M$79</f>
        <v>43071.818076716016</v>
      </c>
      <c r="N275" s="79">
        <f>M275*'GWPs &amp; Fuel EFs'!$E$11</f>
        <v>12835401.786861373</v>
      </c>
    </row>
    <row r="276" spans="1:17">
      <c r="A276" s="413"/>
      <c r="B276" s="171"/>
      <c r="C276" s="20"/>
      <c r="D276" s="80" t="s">
        <v>2239</v>
      </c>
      <c r="E276" s="93" t="s">
        <v>68</v>
      </c>
      <c r="F276" s="94">
        <f>'GIS Heat Input'!E83</f>
        <v>20.8948095878951</v>
      </c>
      <c r="G276" s="28"/>
      <c r="H276" s="79">
        <f>F276*'GWPs &amp; Fuel EFs'!$N$27</f>
        <v>2398.613394509518</v>
      </c>
      <c r="I276" s="28"/>
      <c r="J276" s="79">
        <f>F276*'GWPs &amp; Fuel EFs'!$M$55</f>
        <v>0.14740854354581254</v>
      </c>
      <c r="K276" s="79">
        <f>J276*'GWPs &amp; Fuel EFs'!$D$11</f>
        <v>3.6852135886453135</v>
      </c>
      <c r="L276" s="28"/>
      <c r="M276" s="79">
        <f>F276*'GWPs &amp; Fuel EFs'!$M$83</f>
        <v>2.902105701058184E-2</v>
      </c>
      <c r="N276" s="79">
        <f>M276*'GWPs &amp; Fuel EFs'!$E$11</f>
        <v>8.6482749891533892</v>
      </c>
    </row>
    <row r="277" spans="1:17">
      <c r="A277" s="413"/>
      <c r="B277" s="171"/>
      <c r="C277" s="20"/>
      <c r="D277" s="80"/>
      <c r="E277" s="81"/>
      <c r="F277" s="79"/>
      <c r="G277" s="28"/>
      <c r="H277" s="82">
        <f>SUM(H273:H276)</f>
        <v>1188092492.0023644</v>
      </c>
      <c r="I277" s="28"/>
      <c r="J277" s="79"/>
      <c r="K277" s="82">
        <f>SUM(K273:K276)</f>
        <v>2254735.2759897602</v>
      </c>
      <c r="L277" s="28"/>
      <c r="M277" s="79"/>
      <c r="N277" s="82">
        <f>SUM(N273:N276)</f>
        <v>13072762.342213677</v>
      </c>
    </row>
    <row r="278" spans="1:17">
      <c r="A278" s="413"/>
      <c r="B278" s="171"/>
      <c r="C278" s="20"/>
      <c r="D278" s="80"/>
      <c r="E278" s="81"/>
      <c r="F278" s="79"/>
      <c r="G278" s="28"/>
      <c r="H278" s="79"/>
      <c r="I278" s="28"/>
      <c r="J278" s="79"/>
      <c r="K278" s="79"/>
      <c r="L278" s="28"/>
      <c r="M278" s="79"/>
      <c r="N278" s="79"/>
    </row>
    <row r="279" spans="1:17">
      <c r="A279" s="251"/>
      <c r="B279" s="251"/>
      <c r="C279" s="251"/>
      <c r="D279" s="251"/>
      <c r="E279" s="251"/>
      <c r="F279" s="251"/>
      <c r="G279" s="251"/>
      <c r="H279" s="251"/>
      <c r="I279" s="251"/>
      <c r="J279" s="251"/>
      <c r="K279" s="251"/>
      <c r="L279" s="251"/>
      <c r="M279" s="251"/>
      <c r="N279" s="251"/>
      <c r="O279" s="251"/>
      <c r="P279" s="251"/>
      <c r="Q279" s="251"/>
    </row>
    <row r="281" spans="1:17" ht="15.5">
      <c r="A281" s="248" t="s">
        <v>3016</v>
      </c>
    </row>
    <row r="282" spans="1:17">
      <c r="A282" s="20" t="s">
        <v>2697</v>
      </c>
    </row>
    <row r="283" spans="1:17">
      <c r="A283" s="20" t="s">
        <v>2586</v>
      </c>
    </row>
    <row r="284" spans="1:17">
      <c r="A284" s="611" t="s">
        <v>3012</v>
      </c>
    </row>
    <row r="285" spans="1:17">
      <c r="A285" s="20" t="s">
        <v>2698</v>
      </c>
    </row>
    <row r="286" spans="1:17">
      <c r="A286" s="20" t="s">
        <v>2709</v>
      </c>
    </row>
    <row r="287" spans="1:17" ht="13">
      <c r="A287" s="25"/>
      <c r="P287" s="177" t="s">
        <v>2516</v>
      </c>
    </row>
    <row r="288" spans="1:17" ht="13">
      <c r="A288" s="214" t="s">
        <v>2493</v>
      </c>
      <c r="B288" s="215"/>
      <c r="D288" s="76" t="s">
        <v>223</v>
      </c>
      <c r="E288" s="76"/>
      <c r="F288" s="76"/>
      <c r="G288" s="28"/>
      <c r="H288" s="76" t="s">
        <v>223</v>
      </c>
      <c r="I288" s="81"/>
      <c r="J288" s="76" t="s">
        <v>223</v>
      </c>
      <c r="K288" s="76"/>
      <c r="L288" s="81"/>
      <c r="M288" s="76" t="s">
        <v>223</v>
      </c>
      <c r="N288" s="76"/>
      <c r="P288" s="798" t="s">
        <v>2497</v>
      </c>
      <c r="Q288" s="799" t="s">
        <v>1283</v>
      </c>
    </row>
    <row r="289" spans="1:17" ht="13">
      <c r="A289" s="215">
        <v>2022</v>
      </c>
      <c r="B289" s="215"/>
      <c r="D289" s="76" t="s">
        <v>204</v>
      </c>
      <c r="E289" s="76"/>
      <c r="F289" s="76"/>
      <c r="G289" s="28"/>
      <c r="H289" s="76" t="s">
        <v>205</v>
      </c>
      <c r="I289" s="81"/>
      <c r="J289" s="76" t="s">
        <v>206</v>
      </c>
      <c r="K289" s="76"/>
      <c r="L289" s="81"/>
      <c r="M289" s="76" t="s">
        <v>207</v>
      </c>
      <c r="N289" s="76"/>
      <c r="P289" s="798"/>
      <c r="Q289" s="799"/>
    </row>
    <row r="290" spans="1:17" ht="35.5">
      <c r="A290" s="216"/>
      <c r="B290" s="217" t="s">
        <v>327</v>
      </c>
      <c r="C290" s="12"/>
      <c r="D290" s="78" t="s">
        <v>208</v>
      </c>
      <c r="E290" s="78" t="s">
        <v>209</v>
      </c>
      <c r="F290" s="78" t="str">
        <f>F314</f>
        <v>Heat Input from GIS certificates (MMBtu)</v>
      </c>
      <c r="G290" s="28"/>
      <c r="H290" s="78" t="s">
        <v>325</v>
      </c>
      <c r="I290" s="164"/>
      <c r="J290" s="78" t="s">
        <v>326</v>
      </c>
      <c r="K290" s="78" t="s">
        <v>327</v>
      </c>
      <c r="L290" s="164"/>
      <c r="M290" s="78" t="s">
        <v>328</v>
      </c>
      <c r="N290" s="78" t="s">
        <v>327</v>
      </c>
      <c r="P290" s="97" t="s">
        <v>2238</v>
      </c>
      <c r="Q290" s="176">
        <f>GIS!Q69*GIS!$C36</f>
        <v>0</v>
      </c>
    </row>
    <row r="291" spans="1:17" ht="14.5">
      <c r="A291" s="218" t="s">
        <v>211</v>
      </c>
      <c r="B291" s="219">
        <f>SUM(B292:B296)</f>
        <v>2169182182.2232561</v>
      </c>
      <c r="D291" s="65" t="s">
        <v>212</v>
      </c>
      <c r="E291" s="65"/>
      <c r="F291" s="65"/>
      <c r="G291" s="28"/>
      <c r="H291" s="28"/>
      <c r="I291" s="28"/>
      <c r="J291" s="77"/>
      <c r="K291" s="77"/>
      <c r="L291" s="28"/>
      <c r="M291" s="77"/>
      <c r="N291" s="77"/>
      <c r="P291" s="33" t="s">
        <v>1239</v>
      </c>
      <c r="Q291" s="176">
        <f>GIS!Q70*GIS!$C37</f>
        <v>1244369.2681251694</v>
      </c>
    </row>
    <row r="292" spans="1:17" ht="14.5">
      <c r="A292" s="220" t="s">
        <v>1377</v>
      </c>
      <c r="B292" s="221">
        <f>H296</f>
        <v>2094310334.9171643</v>
      </c>
      <c r="D292" s="80" t="s">
        <v>2482</v>
      </c>
      <c r="E292" s="93" t="s">
        <v>46</v>
      </c>
      <c r="F292" s="94">
        <f>Q293+Q304</f>
        <v>0</v>
      </c>
      <c r="G292" s="28"/>
      <c r="H292" s="79">
        <f>F292*'GWPs &amp; Fuel EFs'!$N$7</f>
        <v>0</v>
      </c>
      <c r="I292" s="28"/>
      <c r="J292" s="79">
        <f>F292*'GWPs &amp; Fuel EFs'!$M$35</f>
        <v>0</v>
      </c>
      <c r="K292" s="79">
        <f>J292*'GWPs &amp; Fuel EFs'!$D$11</f>
        <v>0</v>
      </c>
      <c r="L292" s="28"/>
      <c r="M292" s="79">
        <f>F292*'GWPs &amp; Fuel EFs'!$M$63</f>
        <v>0</v>
      </c>
      <c r="N292" s="79">
        <f>M292*'GWPs &amp; Fuel EFs'!$E$11</f>
        <v>0</v>
      </c>
      <c r="P292" s="33" t="s">
        <v>1240</v>
      </c>
      <c r="Q292" s="176">
        <f>GIS!Q71*GIS!$C38</f>
        <v>0</v>
      </c>
    </row>
    <row r="293" spans="1:17" ht="14.5">
      <c r="A293" s="220" t="s">
        <v>213</v>
      </c>
      <c r="B293" s="221">
        <f>K295</f>
        <v>15532474.069115298</v>
      </c>
      <c r="D293" s="80" t="s">
        <v>374</v>
      </c>
      <c r="E293" s="93" t="s">
        <v>39</v>
      </c>
      <c r="F293" s="94">
        <f>Q302</f>
        <v>0</v>
      </c>
      <c r="G293" s="28"/>
      <c r="H293" s="79">
        <f>F293*'GWPs &amp; Fuel EFs'!$N$8</f>
        <v>0</v>
      </c>
      <c r="I293" s="28"/>
      <c r="J293" s="79">
        <f>F293*'GWPs &amp; Fuel EFs'!$M$36</f>
        <v>0</v>
      </c>
      <c r="K293" s="79">
        <f>J293*'GWPs &amp; Fuel EFs'!$D$11</f>
        <v>0</v>
      </c>
      <c r="L293" s="28"/>
      <c r="M293" s="79">
        <f>F293*'GWPs &amp; Fuel EFs'!$M$64</f>
        <v>0</v>
      </c>
      <c r="N293" s="79">
        <f>M293*'GWPs &amp; Fuel EFs'!$E$11</f>
        <v>0</v>
      </c>
      <c r="P293" s="33" t="s">
        <v>1241</v>
      </c>
      <c r="Q293" s="176">
        <f>GIS!Q72*GIS!$C39</f>
        <v>0</v>
      </c>
    </row>
    <row r="294" spans="1:17" ht="14.5">
      <c r="A294" s="220" t="s">
        <v>214</v>
      </c>
      <c r="B294" s="221">
        <f>N295</f>
        <v>24686278.787180588</v>
      </c>
      <c r="D294" s="80" t="s">
        <v>388</v>
      </c>
      <c r="E294" s="93" t="s">
        <v>17</v>
      </c>
      <c r="F294" s="687">
        <f>(Q301+Q306)*'GIS Heat Input'!F30</f>
        <v>9372297.368096536</v>
      </c>
      <c r="G294" s="28"/>
      <c r="H294" s="79">
        <f>F294*'GWPs &amp; Fuel EFs'!$N$9</f>
        <v>1899103829.5171642</v>
      </c>
      <c r="I294" s="28"/>
      <c r="J294" s="79">
        <f>F294*'GWPs &amp; Fuel EFs'!$M$37</f>
        <v>621298.96276461193</v>
      </c>
      <c r="K294" s="79">
        <f>J294*'GWPs &amp; Fuel EFs'!$D$11</f>
        <v>15532474.069115298</v>
      </c>
      <c r="L294" s="28"/>
      <c r="M294" s="79">
        <f>F294*'GWPs &amp; Fuel EFs'!$M$65</f>
        <v>82839.861701948277</v>
      </c>
      <c r="N294" s="79">
        <f>M294*'GWPs &amp; Fuel EFs'!$E$11</f>
        <v>24686278.787180588</v>
      </c>
      <c r="P294" s="33" t="s">
        <v>1242</v>
      </c>
      <c r="Q294" s="176">
        <f>GIS!Q73*GIS!$C40</f>
        <v>0</v>
      </c>
    </row>
    <row r="295" spans="1:17" ht="14.5">
      <c r="A295" s="220" t="s">
        <v>215</v>
      </c>
      <c r="B295" s="221">
        <f>K303</f>
        <v>12545814.622198146</v>
      </c>
      <c r="D295" s="134" t="s">
        <v>3001</v>
      </c>
      <c r="E295" s="93" t="s">
        <v>2998</v>
      </c>
      <c r="F295" s="94"/>
      <c r="G295" s="28"/>
      <c r="H295" s="142">
        <f>GIS!Q75*'GWPs &amp; Fuel EFs'!$E$34</f>
        <v>195206505.40000001</v>
      </c>
      <c r="I295" s="28"/>
      <c r="J295" s="79"/>
      <c r="K295" s="82">
        <f>SUM(K292:K294)</f>
        <v>15532474.069115298</v>
      </c>
      <c r="L295" s="28"/>
      <c r="M295" s="79"/>
      <c r="N295" s="82">
        <f>SUM(N292:N294)</f>
        <v>24686278.787180588</v>
      </c>
      <c r="P295" s="33" t="s">
        <v>1243</v>
      </c>
      <c r="Q295" s="176">
        <f>GIS!Q74*GIS!$C41</f>
        <v>0</v>
      </c>
    </row>
    <row r="296" spans="1:17" ht="14.5">
      <c r="A296" s="220" t="s">
        <v>216</v>
      </c>
      <c r="B296" s="221">
        <f>N303</f>
        <v>22107279.82759767</v>
      </c>
      <c r="H296" s="82">
        <f>SUM(H292:H295)</f>
        <v>2094310334.9171643</v>
      </c>
      <c r="P296" s="33" t="s">
        <v>1244</v>
      </c>
      <c r="Q296" s="176">
        <f>GIS!Q75*GIS!$C42</f>
        <v>0</v>
      </c>
    </row>
    <row r="297" spans="1:17" ht="14.5">
      <c r="A297" s="220"/>
      <c r="B297" s="220"/>
      <c r="P297" s="37" t="s">
        <v>1245</v>
      </c>
      <c r="Q297" s="176">
        <f>GIS!Q76*GIS!$C43</f>
        <v>0</v>
      </c>
    </row>
    <row r="298" spans="1:17" ht="14.5">
      <c r="A298" s="222" t="s">
        <v>217</v>
      </c>
      <c r="B298" s="219">
        <f>H303</f>
        <v>1870779864.8147016</v>
      </c>
      <c r="D298" s="65" t="s">
        <v>218</v>
      </c>
      <c r="E298" s="28"/>
      <c r="F298" s="79"/>
      <c r="G298" s="28"/>
      <c r="H298" s="82"/>
      <c r="I298" s="28"/>
      <c r="J298" s="79"/>
      <c r="K298" s="82"/>
      <c r="L298" s="28"/>
      <c r="M298" s="79"/>
      <c r="N298" s="82"/>
      <c r="P298" s="37" t="s">
        <v>1246</v>
      </c>
      <c r="Q298" s="176">
        <f>GIS!Q77*GIS!$C44</f>
        <v>0</v>
      </c>
    </row>
    <row r="299" spans="1:17" ht="14.5">
      <c r="A299" s="220"/>
      <c r="B299" s="220"/>
      <c r="D299" s="80" t="s">
        <v>382</v>
      </c>
      <c r="E299" s="93" t="s">
        <v>63</v>
      </c>
      <c r="F299" s="94">
        <f>Q300</f>
        <v>71404.702873160481</v>
      </c>
      <c r="G299" s="28"/>
      <c r="H299" s="79">
        <f>F299*'GWPs &amp; Fuel EFs'!$N$20</f>
        <v>8196881.4323035246</v>
      </c>
      <c r="I299" s="28"/>
      <c r="J299" s="79">
        <f>F299*'GWPs &amp; Fuel EFs'!$M$48</f>
        <v>503.74535401135546</v>
      </c>
      <c r="K299" s="79">
        <f>J299*'GWPs &amp; Fuel EFs'!$D$11</f>
        <v>12593.633850283886</v>
      </c>
      <c r="L299" s="28"/>
      <c r="M299" s="79">
        <f>F299*'GWPs &amp; Fuel EFs'!$M$76</f>
        <v>99.1748665709856</v>
      </c>
      <c r="N299" s="79">
        <f>M299*'GWPs &amp; Fuel EFs'!$E$11</f>
        <v>29554.110238153709</v>
      </c>
      <c r="P299" s="33" t="s">
        <v>1247</v>
      </c>
      <c r="Q299" s="176">
        <f>GIS!Q78*GIS!$C45</f>
        <v>0</v>
      </c>
    </row>
    <row r="300" spans="1:17" ht="14.5">
      <c r="A300" s="220"/>
      <c r="B300" s="223"/>
      <c r="D300" s="80" t="s">
        <v>385</v>
      </c>
      <c r="E300" s="93" t="s">
        <v>16</v>
      </c>
      <c r="F300" s="687">
        <f>(Q301+Q306)*'GIS Heat Input'!F33</f>
        <v>7668173.2389642159</v>
      </c>
      <c r="G300" s="28"/>
      <c r="H300" s="79">
        <f>F300*'GWPs &amp; Fuel EFs'!$N$21</f>
        <v>1605255380.5123167</v>
      </c>
      <c r="I300" s="28"/>
      <c r="J300" s="79">
        <f>F300*'GWPs &amp; Fuel EFs'!$M$49</f>
        <v>481576.614153695</v>
      </c>
      <c r="K300" s="79">
        <f>J300*'GWPs &amp; Fuel EFs'!$D$11</f>
        <v>12039415.353842376</v>
      </c>
      <c r="L300" s="28"/>
      <c r="M300" s="79">
        <f>F300*'GWPs &amp; Fuel EFs'!$M$77</f>
        <v>64210.215220492668</v>
      </c>
      <c r="N300" s="79">
        <f>M300*'GWPs &amp; Fuel EFs'!$E$11</f>
        <v>19134644.135706816</v>
      </c>
      <c r="P300" s="33" t="s">
        <v>1248</v>
      </c>
      <c r="Q300" s="176">
        <f>GIS!Q79*GIS!$C46</f>
        <v>71404.702873160481</v>
      </c>
    </row>
    <row r="301" spans="1:17" ht="14.5">
      <c r="A301" s="220"/>
      <c r="B301" s="220"/>
      <c r="D301" s="80" t="s">
        <v>390</v>
      </c>
      <c r="E301" s="93" t="s">
        <v>69</v>
      </c>
      <c r="F301" s="94">
        <f>Q291+Q308</f>
        <v>1244369.2681251694</v>
      </c>
      <c r="G301" s="28"/>
      <c r="H301" s="79">
        <f>F301*'GWPs &amp; Fuel EFs'!$N$23</f>
        <v>257327602.87008145</v>
      </c>
      <c r="I301" s="28"/>
      <c r="J301" s="79">
        <f>F301*'GWPs &amp; Fuel EFs'!$M$51</f>
        <v>19752.225380219472</v>
      </c>
      <c r="K301" s="79">
        <f>J301*'GWPs &amp; Fuel EFs'!$D$11</f>
        <v>493805.63450548681</v>
      </c>
      <c r="L301" s="28"/>
      <c r="M301" s="79">
        <f>F301*'GWPs &amp; Fuel EFs'!$M$79</f>
        <v>9876.1126901097359</v>
      </c>
      <c r="N301" s="79">
        <f>M301*'GWPs &amp; Fuel EFs'!$E$11</f>
        <v>2943081.5816527014</v>
      </c>
      <c r="P301" s="33" t="s">
        <v>1249</v>
      </c>
      <c r="Q301" s="176">
        <f>GIS!Q80*GIS!$C47</f>
        <v>0</v>
      </c>
    </row>
    <row r="302" spans="1:17" ht="14.5">
      <c r="A302" s="220"/>
      <c r="B302" s="220"/>
      <c r="D302" s="80" t="s">
        <v>2239</v>
      </c>
      <c r="E302" s="93" t="s">
        <v>68</v>
      </c>
      <c r="F302" s="94">
        <f>Q290+Q294</f>
        <v>0</v>
      </c>
      <c r="G302" s="28"/>
      <c r="H302" s="79">
        <f>F302*'GWPs &amp; Fuel EFs'!$N$27</f>
        <v>0</v>
      </c>
      <c r="I302" s="28"/>
      <c r="J302" s="79">
        <f>F302*'GWPs &amp; Fuel EFs'!$M$55</f>
        <v>0</v>
      </c>
      <c r="K302" s="79">
        <f>J302*'GWPs &amp; Fuel EFs'!$D$11</f>
        <v>0</v>
      </c>
      <c r="L302" s="28"/>
      <c r="M302" s="79">
        <f>F302*'GWPs &amp; Fuel EFs'!$M$83</f>
        <v>0</v>
      </c>
      <c r="N302" s="79">
        <f>M302*'GWPs &amp; Fuel EFs'!$E$11</f>
        <v>0</v>
      </c>
      <c r="P302" s="33" t="s">
        <v>1250</v>
      </c>
      <c r="Q302" s="176">
        <f>GIS!Q81*GIS!$C48</f>
        <v>0</v>
      </c>
    </row>
    <row r="303" spans="1:17" ht="14.5">
      <c r="A303" s="220"/>
      <c r="B303" s="221"/>
      <c r="D303" s="28"/>
      <c r="E303" s="28"/>
      <c r="F303" s="79"/>
      <c r="G303" s="28"/>
      <c r="H303" s="82">
        <f>SUM(H299:H302)</f>
        <v>1870779864.8147016</v>
      </c>
      <c r="I303" s="28"/>
      <c r="J303" s="28"/>
      <c r="K303" s="82">
        <f>SUM(K299:K302)</f>
        <v>12545814.622198146</v>
      </c>
      <c r="L303" s="28"/>
      <c r="M303" s="28"/>
      <c r="N303" s="82">
        <f>SUM(N299:N302)</f>
        <v>22107279.82759767</v>
      </c>
      <c r="P303" s="33" t="s">
        <v>1251</v>
      </c>
      <c r="Q303" s="176">
        <f>GIS!Q82*GIS!$C49</f>
        <v>0</v>
      </c>
    </row>
    <row r="304" spans="1:17" ht="14.5">
      <c r="A304" s="220"/>
      <c r="B304" s="220"/>
      <c r="P304" s="33" t="s">
        <v>1252</v>
      </c>
      <c r="Q304" s="176">
        <f>GIS!Q83*GIS!$C50</f>
        <v>0</v>
      </c>
    </row>
    <row r="305" spans="1:17" ht="14.5">
      <c r="A305" s="220"/>
      <c r="B305" s="220"/>
      <c r="D305" s="28"/>
      <c r="E305" s="28"/>
      <c r="F305" s="28"/>
      <c r="G305" s="28"/>
      <c r="H305" s="28"/>
      <c r="I305" s="28"/>
      <c r="J305" s="28"/>
      <c r="K305" s="85"/>
      <c r="L305" s="28"/>
      <c r="M305" s="28"/>
      <c r="N305" s="28"/>
      <c r="P305" s="42" t="s">
        <v>1253</v>
      </c>
      <c r="Q305" s="176">
        <f>GIS!Q84*GIS!$C51</f>
        <v>0</v>
      </c>
    </row>
    <row r="306" spans="1:17" ht="14.5">
      <c r="A306" s="220"/>
      <c r="B306" s="220"/>
      <c r="P306" s="33" t="s">
        <v>1254</v>
      </c>
      <c r="Q306" s="176">
        <f>GIS!Q85*GIS!$C52</f>
        <v>17040470.607060753</v>
      </c>
    </row>
    <row r="307" spans="1:17" ht="14.5">
      <c r="A307" s="220"/>
      <c r="B307" s="220"/>
      <c r="P307" s="33" t="s">
        <v>1255</v>
      </c>
      <c r="Q307" s="176">
        <f>GIS!Q86*GIS!$C53</f>
        <v>0</v>
      </c>
    </row>
    <row r="308" spans="1:17" ht="14.5">
      <c r="A308" s="220"/>
      <c r="B308" s="220"/>
      <c r="P308" s="33" t="s">
        <v>1256</v>
      </c>
      <c r="Q308" s="176">
        <f>GIS!Q87*GIS!$C54</f>
        <v>0</v>
      </c>
    </row>
    <row r="310" spans="1:17">
      <c r="A310" s="173"/>
      <c r="B310" s="173"/>
      <c r="C310" s="173"/>
      <c r="D310" s="173"/>
      <c r="E310" s="173"/>
      <c r="F310" s="173"/>
      <c r="G310" s="173"/>
      <c r="H310" s="173"/>
      <c r="I310" s="173"/>
      <c r="J310" s="173"/>
      <c r="K310" s="173"/>
      <c r="L310" s="173"/>
      <c r="M310" s="173"/>
      <c r="N310" s="173"/>
      <c r="O310" s="173"/>
      <c r="P310" s="173"/>
      <c r="Q310" s="173"/>
    </row>
    <row r="311" spans="1:17" ht="13">
      <c r="P311" s="177" t="s">
        <v>2515</v>
      </c>
    </row>
    <row r="312" spans="1:17" ht="13">
      <c r="A312" s="214" t="s">
        <v>2494</v>
      </c>
      <c r="B312" s="215"/>
      <c r="D312" s="76" t="s">
        <v>203</v>
      </c>
      <c r="E312" s="76"/>
      <c r="F312" s="76"/>
      <c r="G312" s="28"/>
      <c r="H312" s="76" t="s">
        <v>203</v>
      </c>
      <c r="I312" s="76"/>
      <c r="J312" s="76" t="s">
        <v>203</v>
      </c>
      <c r="K312" s="76"/>
      <c r="L312" s="28"/>
      <c r="M312" s="76" t="s">
        <v>203</v>
      </c>
      <c r="N312" s="76"/>
      <c r="P312" s="798" t="s">
        <v>2497</v>
      </c>
      <c r="Q312" s="799" t="s">
        <v>1285</v>
      </c>
    </row>
    <row r="313" spans="1:17" ht="13">
      <c r="A313" s="215">
        <f>A289</f>
        <v>2022</v>
      </c>
      <c r="B313" s="215"/>
      <c r="D313" s="76" t="s">
        <v>204</v>
      </c>
      <c r="E313" s="76"/>
      <c r="F313" s="76"/>
      <c r="G313" s="77"/>
      <c r="H313" s="76" t="s">
        <v>205</v>
      </c>
      <c r="I313" s="76"/>
      <c r="J313" s="76" t="s">
        <v>206</v>
      </c>
      <c r="K313" s="76"/>
      <c r="L313" s="28"/>
      <c r="M313" s="76" t="s">
        <v>207</v>
      </c>
      <c r="N313" s="76"/>
      <c r="P313" s="798"/>
      <c r="Q313" s="799"/>
    </row>
    <row r="314" spans="1:17" ht="35.5">
      <c r="A314" s="216"/>
      <c r="B314" s="217" t="s">
        <v>327</v>
      </c>
      <c r="C314" s="12"/>
      <c r="D314" s="78" t="s">
        <v>208</v>
      </c>
      <c r="E314" s="78" t="s">
        <v>209</v>
      </c>
      <c r="F314" s="78" t="s">
        <v>2481</v>
      </c>
      <c r="G314" s="28"/>
      <c r="H314" s="65" t="s">
        <v>325</v>
      </c>
      <c r="I314" s="77"/>
      <c r="J314" s="65" t="s">
        <v>326</v>
      </c>
      <c r="K314" s="65" t="s">
        <v>327</v>
      </c>
      <c r="L314" s="77"/>
      <c r="M314" s="65" t="s">
        <v>328</v>
      </c>
      <c r="N314" s="65" t="s">
        <v>327</v>
      </c>
      <c r="P314" s="97" t="s">
        <v>2238</v>
      </c>
      <c r="Q314" s="176">
        <f>GIS!T94*GIS!$B36</f>
        <v>0</v>
      </c>
    </row>
    <row r="315" spans="1:17" ht="14.5">
      <c r="A315" s="218" t="s">
        <v>211</v>
      </c>
      <c r="B315" s="219">
        <f>SUM(B316:B320)</f>
        <v>3394660776.111073</v>
      </c>
      <c r="C315" s="12"/>
      <c r="D315" s="65" t="s">
        <v>212</v>
      </c>
      <c r="E315" s="77"/>
      <c r="F315" s="65"/>
      <c r="G315" s="79"/>
      <c r="H315" s="77"/>
      <c r="I315" s="77"/>
      <c r="J315" s="77"/>
      <c r="K315" s="77"/>
      <c r="L315" s="77"/>
      <c r="M315" s="77"/>
      <c r="N315" s="77"/>
      <c r="O315" s="12"/>
      <c r="P315" s="33" t="s">
        <v>1239</v>
      </c>
      <c r="Q315" s="176">
        <f>GIS!T95*GIS!$B37</f>
        <v>0</v>
      </c>
    </row>
    <row r="316" spans="1:17" ht="14.5">
      <c r="A316" s="220" t="s">
        <v>1377</v>
      </c>
      <c r="B316" s="221">
        <f>H320</f>
        <v>3271475116.0952229</v>
      </c>
      <c r="D316" s="80" t="s">
        <v>2482</v>
      </c>
      <c r="E316" s="93" t="s">
        <v>46</v>
      </c>
      <c r="F316" s="94">
        <f>Q317+Q328</f>
        <v>0</v>
      </c>
      <c r="G316" s="28"/>
      <c r="H316" s="79">
        <f>F316*'GWPs &amp; Fuel EFs'!$N$7</f>
        <v>0</v>
      </c>
      <c r="I316" s="28"/>
      <c r="J316" s="79">
        <f>F316*'GWPs &amp; Fuel EFs'!$M$35</f>
        <v>0</v>
      </c>
      <c r="K316" s="79">
        <f>J316*'GWPs &amp; Fuel EFs'!$D$11</f>
        <v>0</v>
      </c>
      <c r="L316" s="28"/>
      <c r="M316" s="79">
        <f>F316*'GWPs &amp; Fuel EFs'!$M$63</f>
        <v>0</v>
      </c>
      <c r="N316" s="79">
        <f>M316*'GWPs &amp; Fuel EFs'!$E$11</f>
        <v>0</v>
      </c>
      <c r="O316" s="12"/>
      <c r="P316" s="33" t="s">
        <v>1240</v>
      </c>
      <c r="Q316" s="176">
        <f>GIS!T96*GIS!$B38</f>
        <v>0</v>
      </c>
    </row>
    <row r="317" spans="1:17" ht="14.5">
      <c r="A317" s="220" t="s">
        <v>213</v>
      </c>
      <c r="B317" s="221">
        <f>K319</f>
        <v>26756884.809939109</v>
      </c>
      <c r="D317" s="80" t="s">
        <v>374</v>
      </c>
      <c r="E317" s="93" t="s">
        <v>39</v>
      </c>
      <c r="F317" s="94">
        <f>Q326</f>
        <v>0</v>
      </c>
      <c r="G317" s="28"/>
      <c r="H317" s="79">
        <f>F317*'GWPs &amp; Fuel EFs'!$N$8</f>
        <v>0</v>
      </c>
      <c r="I317" s="28"/>
      <c r="J317" s="79">
        <f>F317*'GWPs &amp; Fuel EFs'!$M$36</f>
        <v>0</v>
      </c>
      <c r="K317" s="79">
        <f>J317*'GWPs &amp; Fuel EFs'!$D$11</f>
        <v>0</v>
      </c>
      <c r="L317" s="28"/>
      <c r="M317" s="79">
        <f>F317*'GWPs &amp; Fuel EFs'!$M$64</f>
        <v>0</v>
      </c>
      <c r="N317" s="79">
        <f>M317*'GWPs &amp; Fuel EFs'!$E$11</f>
        <v>0</v>
      </c>
      <c r="P317" s="33" t="s">
        <v>1241</v>
      </c>
      <c r="Q317" s="176">
        <f>GIS!T97*GIS!$B39</f>
        <v>0</v>
      </c>
    </row>
    <row r="318" spans="1:17" ht="14.5">
      <c r="A318" s="220" t="s">
        <v>214</v>
      </c>
      <c r="B318" s="221">
        <f>N319</f>
        <v>42525608.924596578</v>
      </c>
      <c r="D318" s="80" t="s">
        <v>388</v>
      </c>
      <c r="E318" s="93" t="s">
        <v>17</v>
      </c>
      <c r="F318" s="687">
        <f>(Q325+Q330)*'GIS Heat Input'!F18</f>
        <v>16145108.626403013</v>
      </c>
      <c r="G318" s="28"/>
      <c r="H318" s="79">
        <f>F318*'GWPs &amp; Fuel EFs'!$N$9</f>
        <v>3271475116.0952229</v>
      </c>
      <c r="I318" s="28"/>
      <c r="J318" s="79">
        <f>F318*'GWPs &amp; Fuel EFs'!$M$37</f>
        <v>1070275.3923975644</v>
      </c>
      <c r="K318" s="79">
        <f>J318*'GWPs &amp; Fuel EFs'!$D$11</f>
        <v>26756884.809939109</v>
      </c>
      <c r="L318" s="28"/>
      <c r="M318" s="79">
        <f>F318*'GWPs &amp; Fuel EFs'!$M$65</f>
        <v>142703.38565300865</v>
      </c>
      <c r="N318" s="79">
        <f>M318*'GWPs &amp; Fuel EFs'!$E$11</f>
        <v>42525608.924596578</v>
      </c>
      <c r="P318" s="33" t="s">
        <v>1242</v>
      </c>
      <c r="Q318" s="176">
        <f>GIS!T98*GIS!$B40</f>
        <v>0</v>
      </c>
    </row>
    <row r="319" spans="1:17" ht="14.5">
      <c r="A319" s="220" t="s">
        <v>215</v>
      </c>
      <c r="B319" s="221">
        <f>K327</f>
        <v>20799770.845100686</v>
      </c>
      <c r="D319" s="134" t="s">
        <v>3001</v>
      </c>
      <c r="E319" s="93" t="s">
        <v>2998</v>
      </c>
      <c r="F319" s="94">
        <f>Q320</f>
        <v>0</v>
      </c>
      <c r="G319" s="28"/>
      <c r="H319" s="142">
        <f>GIS!T100*'GWPs &amp; Fuel EFs'!$E$34</f>
        <v>0</v>
      </c>
      <c r="I319" s="28"/>
      <c r="J319" s="79"/>
      <c r="K319" s="82">
        <f>SUM(K316:K318)</f>
        <v>26756884.809939109</v>
      </c>
      <c r="L319" s="28"/>
      <c r="M319" s="79"/>
      <c r="N319" s="82">
        <f>SUM(N316:N318)</f>
        <v>42525608.924596578</v>
      </c>
      <c r="P319" s="33" t="s">
        <v>1243</v>
      </c>
      <c r="Q319" s="176">
        <f>GIS!T99*GIS!$B41</f>
        <v>0</v>
      </c>
    </row>
    <row r="320" spans="1:17" ht="14.5">
      <c r="A320" s="220" t="s">
        <v>216</v>
      </c>
      <c r="B320" s="221">
        <f>N327</f>
        <v>33103395.436213359</v>
      </c>
      <c r="H320" s="82">
        <f>SUM(H316:H319)</f>
        <v>3271475116.0952229</v>
      </c>
      <c r="P320" s="33" t="s">
        <v>1244</v>
      </c>
      <c r="Q320" s="176">
        <f>GIS!T100*GIS!$B42</f>
        <v>0</v>
      </c>
    </row>
    <row r="321" spans="1:17" ht="14.5">
      <c r="A321" s="220"/>
      <c r="B321" s="220"/>
      <c r="P321" s="37" t="s">
        <v>1245</v>
      </c>
      <c r="Q321" s="176">
        <f>GIS!T101*GIS!$B43</f>
        <v>0</v>
      </c>
    </row>
    <row r="322" spans="1:17" ht="14.5">
      <c r="A322" s="222" t="s">
        <v>217</v>
      </c>
      <c r="B322" s="219">
        <f>H327</f>
        <v>2804479165.7365947</v>
      </c>
      <c r="D322" s="65" t="s">
        <v>218</v>
      </c>
      <c r="E322" s="28"/>
      <c r="F322" s="79"/>
      <c r="G322" s="28"/>
      <c r="H322" s="82"/>
      <c r="I322" s="28"/>
      <c r="J322" s="79"/>
      <c r="K322" s="82"/>
      <c r="L322" s="28"/>
      <c r="M322" s="79"/>
      <c r="N322" s="82"/>
      <c r="P322" s="37" t="s">
        <v>1246</v>
      </c>
      <c r="Q322" s="176">
        <f>GIS!T102*GIS!$B44</f>
        <v>0</v>
      </c>
    </row>
    <row r="323" spans="1:17" ht="14.5">
      <c r="A323" s="220"/>
      <c r="B323" s="220"/>
      <c r="D323" s="80" t="s">
        <v>382</v>
      </c>
      <c r="E323" s="93" t="s">
        <v>63</v>
      </c>
      <c r="F323" s="94">
        <f>Q324</f>
        <v>341551.50959972362</v>
      </c>
      <c r="G323" s="28"/>
      <c r="H323" s="79">
        <f>F323*'GWPs &amp; Fuel EFs'!$N$20</f>
        <v>39208303.018729396</v>
      </c>
      <c r="I323" s="28"/>
      <c r="J323" s="79">
        <f>F323*'GWPs &amp; Fuel EFs'!$M$48</f>
        <v>2409.5749886678332</v>
      </c>
      <c r="K323" s="79">
        <f>J323*'GWPs &amp; Fuel EFs'!$D$11</f>
        <v>60239.374716695827</v>
      </c>
      <c r="L323" s="28"/>
      <c r="M323" s="79">
        <f>F323*'GWPs &amp; Fuel EFs'!$M$76</f>
        <v>474.3850758939796</v>
      </c>
      <c r="N323" s="79">
        <f>M323*'GWPs &amp; Fuel EFs'!$E$11</f>
        <v>141366.75261640592</v>
      </c>
      <c r="P323" s="33" t="s">
        <v>1247</v>
      </c>
      <c r="Q323" s="176">
        <f>GIS!T103*GIS!$B45</f>
        <v>0</v>
      </c>
    </row>
    <row r="324" spans="1:17" ht="14.5">
      <c r="A324" s="220"/>
      <c r="B324" s="223"/>
      <c r="D324" s="80" t="s">
        <v>385</v>
      </c>
      <c r="E324" s="93" t="s">
        <v>16</v>
      </c>
      <c r="F324" s="687">
        <f>(Q325+Q330)*'GIS Heat Input'!F21</f>
        <v>13209472.016354926</v>
      </c>
      <c r="G324" s="28"/>
      <c r="H324" s="79">
        <f>F324*'GWPs &amp; Fuel EFs'!$N$21</f>
        <v>2765270862.7178655</v>
      </c>
      <c r="I324" s="28"/>
      <c r="J324" s="79">
        <f>F324*'GWPs &amp; Fuel EFs'!$M$49</f>
        <v>829581.25881535967</v>
      </c>
      <c r="K324" s="79">
        <f>J324*'GWPs &amp; Fuel EFs'!$D$11</f>
        <v>20739531.470383991</v>
      </c>
      <c r="L324" s="28"/>
      <c r="M324" s="79">
        <f>F324*'GWPs &amp; Fuel EFs'!$M$77</f>
        <v>110610.83450871462</v>
      </c>
      <c r="N324" s="79">
        <f>M324*'GWPs &amp; Fuel EFs'!$E$11</f>
        <v>32962028.683596954</v>
      </c>
      <c r="P324" s="33" t="s">
        <v>1248</v>
      </c>
      <c r="Q324" s="176">
        <f>GIS!T104*GIS!$B46</f>
        <v>341551.50959972362</v>
      </c>
    </row>
    <row r="325" spans="1:17" ht="14.5">
      <c r="A325" s="220"/>
      <c r="B325" s="220"/>
      <c r="D325" s="80" t="s">
        <v>390</v>
      </c>
      <c r="E325" s="93" t="s">
        <v>69</v>
      </c>
      <c r="F325" s="94">
        <f>Q315+Q332</f>
        <v>0</v>
      </c>
      <c r="G325" s="28"/>
      <c r="H325" s="79">
        <f>F325*'GWPs &amp; Fuel EFs'!$N$23</f>
        <v>0</v>
      </c>
      <c r="I325" s="28"/>
      <c r="J325" s="79">
        <f>F325*'GWPs &amp; Fuel EFs'!$M$51</f>
        <v>0</v>
      </c>
      <c r="K325" s="79">
        <f>J325*'GWPs &amp; Fuel EFs'!$D$11</f>
        <v>0</v>
      </c>
      <c r="L325" s="28"/>
      <c r="M325" s="79">
        <f>F325*'GWPs &amp; Fuel EFs'!$M$79</f>
        <v>0</v>
      </c>
      <c r="N325" s="79">
        <f>M325*'GWPs &amp; Fuel EFs'!$E$11</f>
        <v>0</v>
      </c>
      <c r="P325" s="33" t="s">
        <v>1249</v>
      </c>
      <c r="Q325" s="176">
        <f>GIS!T105*GIS!$B47</f>
        <v>10732081.051407926</v>
      </c>
    </row>
    <row r="326" spans="1:17" ht="14.5">
      <c r="A326" s="220"/>
      <c r="B326" s="220"/>
      <c r="D326" s="80" t="s">
        <v>2239</v>
      </c>
      <c r="E326" s="93" t="s">
        <v>68</v>
      </c>
      <c r="F326" s="94">
        <f>Q314+Q318</f>
        <v>0</v>
      </c>
      <c r="G326" s="28"/>
      <c r="H326" s="79">
        <f>F326*'GWPs &amp; Fuel EFs'!$N$27</f>
        <v>0</v>
      </c>
      <c r="I326" s="28"/>
      <c r="J326" s="79">
        <f>F326*'GWPs &amp; Fuel EFs'!$M$55</f>
        <v>0</v>
      </c>
      <c r="K326" s="79">
        <f>J326*'GWPs &amp; Fuel EFs'!$D$11</f>
        <v>0</v>
      </c>
      <c r="L326" s="28"/>
      <c r="M326" s="79">
        <f>F326*'GWPs &amp; Fuel EFs'!$M$83</f>
        <v>0</v>
      </c>
      <c r="N326" s="79">
        <f>M326*'GWPs &amp; Fuel EFs'!$E$11</f>
        <v>0</v>
      </c>
      <c r="P326" s="33" t="s">
        <v>1250</v>
      </c>
      <c r="Q326" s="176">
        <f>GIS!T106*GIS!$B48</f>
        <v>0</v>
      </c>
    </row>
    <row r="327" spans="1:17" ht="14.5">
      <c r="A327" s="224"/>
      <c r="B327" s="225"/>
      <c r="D327" s="28"/>
      <c r="E327" s="28"/>
      <c r="F327" s="79"/>
      <c r="G327" s="28"/>
      <c r="H327" s="82">
        <f>SUM(H323:H326)</f>
        <v>2804479165.7365947</v>
      </c>
      <c r="I327" s="28"/>
      <c r="J327" s="28"/>
      <c r="K327" s="82">
        <f>SUM(K323:K326)</f>
        <v>20799770.845100686</v>
      </c>
      <c r="L327" s="28"/>
      <c r="M327" s="28"/>
      <c r="N327" s="82">
        <f>SUM(N323:N326)</f>
        <v>33103395.436213359</v>
      </c>
      <c r="P327" s="33" t="s">
        <v>1251</v>
      </c>
      <c r="Q327" s="176">
        <f>GIS!T107*GIS!$B49</f>
        <v>0</v>
      </c>
    </row>
    <row r="328" spans="1:17" ht="14.5">
      <c r="A328" s="224"/>
      <c r="B328" s="225"/>
      <c r="P328" s="33" t="s">
        <v>1252</v>
      </c>
      <c r="Q328" s="176">
        <f>GIS!T108*GIS!$B50</f>
        <v>0</v>
      </c>
    </row>
    <row r="329" spans="1:17" ht="14.5">
      <c r="A329" s="224"/>
      <c r="B329" s="225"/>
      <c r="P329" s="42" t="s">
        <v>1253</v>
      </c>
      <c r="Q329" s="176">
        <f>GIS!T109*GIS!$B51</f>
        <v>0</v>
      </c>
    </row>
    <row r="330" spans="1:17" ht="14.5">
      <c r="A330" s="224"/>
      <c r="B330" s="225"/>
      <c r="P330" s="33" t="s">
        <v>1254</v>
      </c>
      <c r="Q330" s="176">
        <f>GIS!T110*GIS!$B52</f>
        <v>18622499.591350015</v>
      </c>
    </row>
    <row r="331" spans="1:17" ht="14.5">
      <c r="A331" s="224"/>
      <c r="B331" s="225"/>
      <c r="P331" s="33" t="s">
        <v>1255</v>
      </c>
      <c r="Q331" s="176">
        <f>GIS!T111*GIS!$B53</f>
        <v>0</v>
      </c>
    </row>
    <row r="332" spans="1:17" ht="14.5">
      <c r="A332" s="224"/>
      <c r="B332" s="225"/>
      <c r="P332" s="33" t="s">
        <v>1256</v>
      </c>
      <c r="Q332" s="176">
        <f>GIS!T112*GIS!$B54</f>
        <v>0</v>
      </c>
    </row>
    <row r="333" spans="1:17">
      <c r="O333" s="12"/>
    </row>
    <row r="334" spans="1:17">
      <c r="A334" s="173"/>
      <c r="B334" s="173"/>
      <c r="C334" s="173"/>
      <c r="D334" s="173"/>
      <c r="E334" s="173"/>
      <c r="F334" s="173"/>
      <c r="G334" s="173"/>
      <c r="H334" s="173"/>
      <c r="I334" s="173"/>
      <c r="J334" s="173"/>
      <c r="K334" s="173"/>
      <c r="L334" s="173"/>
      <c r="M334" s="173"/>
      <c r="N334" s="173"/>
      <c r="O334" s="173"/>
      <c r="P334" s="173"/>
      <c r="Q334" s="173"/>
    </row>
    <row r="335" spans="1:17" ht="13">
      <c r="P335" s="177" t="s">
        <v>2514</v>
      </c>
    </row>
    <row r="336" spans="1:17" ht="13">
      <c r="A336" s="214" t="s">
        <v>2495</v>
      </c>
      <c r="B336" s="215"/>
      <c r="D336" s="76" t="s">
        <v>219</v>
      </c>
      <c r="E336" s="76"/>
      <c r="F336" s="76"/>
      <c r="G336" s="28"/>
      <c r="H336" s="76" t="s">
        <v>219</v>
      </c>
      <c r="I336" s="28"/>
      <c r="J336" s="76" t="s">
        <v>219</v>
      </c>
      <c r="K336" s="76"/>
      <c r="L336" s="28"/>
      <c r="M336" s="76" t="s">
        <v>219</v>
      </c>
      <c r="N336" s="76"/>
      <c r="P336" s="798" t="s">
        <v>2497</v>
      </c>
      <c r="Q336" s="799" t="s">
        <v>1374</v>
      </c>
    </row>
    <row r="337" spans="1:17" ht="13">
      <c r="A337" s="215">
        <f>A289</f>
        <v>2022</v>
      </c>
      <c r="B337" s="215"/>
      <c r="D337" s="76" t="s">
        <v>204</v>
      </c>
      <c r="E337" s="76"/>
      <c r="F337" s="76"/>
      <c r="G337" s="28"/>
      <c r="H337" s="76" t="s">
        <v>205</v>
      </c>
      <c r="I337" s="28"/>
      <c r="J337" s="76" t="s">
        <v>206</v>
      </c>
      <c r="K337" s="76"/>
      <c r="L337" s="28"/>
      <c r="M337" s="76" t="s">
        <v>207</v>
      </c>
      <c r="N337" s="76"/>
      <c r="P337" s="798"/>
      <c r="Q337" s="799" t="s">
        <v>1271</v>
      </c>
    </row>
    <row r="338" spans="1:17" ht="35.5">
      <c r="A338" s="216"/>
      <c r="B338" s="217" t="s">
        <v>327</v>
      </c>
      <c r="C338" s="12"/>
      <c r="D338" s="78" t="s">
        <v>208</v>
      </c>
      <c r="E338" s="78" t="s">
        <v>209</v>
      </c>
      <c r="F338" s="78" t="str">
        <f>F314</f>
        <v>Heat Input from GIS certificates (MMBtu)</v>
      </c>
      <c r="G338" s="28"/>
      <c r="H338" s="65" t="s">
        <v>325</v>
      </c>
      <c r="I338" s="77"/>
      <c r="J338" s="65" t="s">
        <v>326</v>
      </c>
      <c r="K338" s="65" t="s">
        <v>327</v>
      </c>
      <c r="L338" s="77"/>
      <c r="M338" s="65" t="s">
        <v>328</v>
      </c>
      <c r="N338" s="65" t="s">
        <v>327</v>
      </c>
      <c r="P338" s="97" t="s">
        <v>2238</v>
      </c>
      <c r="Q338" s="176">
        <f>GIS!Y119*GIS!$D36</f>
        <v>0</v>
      </c>
    </row>
    <row r="339" spans="1:17" ht="14.5">
      <c r="A339" s="218" t="s">
        <v>211</v>
      </c>
      <c r="B339" s="219">
        <f>SUM(B340:B344)+F343</f>
        <v>282511828.55542707</v>
      </c>
      <c r="D339" s="65" t="s">
        <v>212</v>
      </c>
      <c r="E339" s="77"/>
      <c r="G339" s="28"/>
      <c r="H339" s="28"/>
      <c r="I339" s="28"/>
      <c r="J339" s="77"/>
      <c r="K339" s="77"/>
      <c r="L339" s="28"/>
      <c r="M339" s="77"/>
      <c r="N339" s="77"/>
      <c r="P339" s="33" t="s">
        <v>1239</v>
      </c>
      <c r="Q339" s="176">
        <f>GIS!Y120*GIS!$D37</f>
        <v>281710.08871357987</v>
      </c>
    </row>
    <row r="340" spans="1:17" ht="14.5">
      <c r="A340" s="220" t="s">
        <v>1377</v>
      </c>
      <c r="B340" s="221">
        <f>H343</f>
        <v>271520967.64840078</v>
      </c>
      <c r="D340" s="80" t="s">
        <v>2482</v>
      </c>
      <c r="E340" s="93" t="s">
        <v>46</v>
      </c>
      <c r="F340" s="94">
        <f>Q341+Q352</f>
        <v>0</v>
      </c>
      <c r="G340" s="28"/>
      <c r="H340" s="79">
        <f>F340*'GWPs &amp; Fuel EFs'!$N$7</f>
        <v>0</v>
      </c>
      <c r="I340" s="28"/>
      <c r="J340" s="79">
        <f>F340*'GWPs &amp; Fuel EFs'!$M$35</f>
        <v>0</v>
      </c>
      <c r="K340" s="79">
        <f>J340*'GWPs &amp; Fuel EFs'!$D$11</f>
        <v>0</v>
      </c>
      <c r="L340" s="28"/>
      <c r="M340" s="79">
        <f>F340*'GWPs &amp; Fuel EFs'!$M$63</f>
        <v>0</v>
      </c>
      <c r="N340" s="79">
        <f>M340*'GWPs &amp; Fuel EFs'!$E$11</f>
        <v>0</v>
      </c>
      <c r="P340" s="33" t="s">
        <v>1240</v>
      </c>
      <c r="Q340" s="176">
        <f>GIS!Y121*GIS!$D38</f>
        <v>0</v>
      </c>
    </row>
    <row r="341" spans="1:17" ht="14.5">
      <c r="A341" s="220" t="s">
        <v>213</v>
      </c>
      <c r="B341" s="221">
        <f>K343</f>
        <v>2220727.6525223614</v>
      </c>
      <c r="D341" s="80" t="s">
        <v>374</v>
      </c>
      <c r="E341" s="93" t="s">
        <v>39</v>
      </c>
      <c r="F341" s="94">
        <f>Q350</f>
        <v>0</v>
      </c>
      <c r="G341" s="28"/>
      <c r="H341" s="79">
        <f>F341*'GWPs &amp; Fuel EFs'!$N$8</f>
        <v>0</v>
      </c>
      <c r="I341" s="28"/>
      <c r="J341" s="79">
        <f>F341*'GWPs &amp; Fuel EFs'!$M$36</f>
        <v>0</v>
      </c>
      <c r="K341" s="79">
        <f>J341*'GWPs &amp; Fuel EFs'!$D$11</f>
        <v>0</v>
      </c>
      <c r="L341" s="28"/>
      <c r="M341" s="79">
        <f>F341*'GWPs &amp; Fuel EFs'!$M$64</f>
        <v>0</v>
      </c>
      <c r="N341" s="79">
        <f>M341*'GWPs &amp; Fuel EFs'!$E$11</f>
        <v>0</v>
      </c>
      <c r="P341" s="33" t="s">
        <v>1241</v>
      </c>
      <c r="Q341" s="176">
        <f>GIS!Y122*GIS!$D39</f>
        <v>0</v>
      </c>
    </row>
    <row r="342" spans="1:17" ht="14.5">
      <c r="A342" s="220" t="s">
        <v>214</v>
      </c>
      <c r="B342" s="221">
        <f>N343</f>
        <v>3529476.4824088747</v>
      </c>
      <c r="D342" s="80" t="s">
        <v>388</v>
      </c>
      <c r="E342" s="93" t="s">
        <v>17</v>
      </c>
      <c r="F342" s="94">
        <f>(Q349+Q354)*'GIS Heat Input'!F42</f>
        <v>1339987.4250799259</v>
      </c>
      <c r="G342" s="28"/>
      <c r="H342" s="79">
        <f>F342*'GWPs &amp; Fuel EFs'!$N$9</f>
        <v>271520967.64840078</v>
      </c>
      <c r="I342" s="28"/>
      <c r="J342" s="79">
        <f>F342*'GWPs &amp; Fuel EFs'!$M$37</f>
        <v>88829.106100894453</v>
      </c>
      <c r="K342" s="79">
        <f>J342*'GWPs &amp; Fuel EFs'!$D$11</f>
        <v>2220727.6525223614</v>
      </c>
      <c r="L342" s="28"/>
      <c r="M342" s="79">
        <f>F342*'GWPs &amp; Fuel EFs'!$M$65</f>
        <v>11843.880813452599</v>
      </c>
      <c r="N342" s="79">
        <f>M342*'GWPs &amp; Fuel EFs'!$E$11</f>
        <v>3529476.4824088747</v>
      </c>
      <c r="P342" s="33" t="s">
        <v>1242</v>
      </c>
      <c r="Q342" s="176">
        <f>GIS!Y123*GIS!$D40</f>
        <v>0</v>
      </c>
    </row>
    <row r="343" spans="1:17" ht="14.5">
      <c r="A343" s="220" t="s">
        <v>215</v>
      </c>
      <c r="B343" s="221">
        <f>K351</f>
        <v>1833896.8525037887</v>
      </c>
      <c r="D343" s="80"/>
      <c r="E343" s="81"/>
      <c r="F343" s="79"/>
      <c r="G343" s="28"/>
      <c r="H343" s="82">
        <f>SUM(H340:H342)</f>
        <v>271520967.64840078</v>
      </c>
      <c r="I343" s="28"/>
      <c r="J343" s="79"/>
      <c r="K343" s="82">
        <f>SUM(K340:K342)</f>
        <v>2220727.6525223614</v>
      </c>
      <c r="L343" s="28"/>
      <c r="M343" s="79"/>
      <c r="N343" s="82">
        <f>SUM(N340:N342)</f>
        <v>3529476.4824088747</v>
      </c>
      <c r="P343" s="33" t="s">
        <v>1243</v>
      </c>
      <c r="Q343" s="176">
        <f>GIS!Y124*GIS!$D41</f>
        <v>0</v>
      </c>
    </row>
    <row r="344" spans="1:17" ht="14.5">
      <c r="A344" s="220" t="s">
        <v>216</v>
      </c>
      <c r="B344" s="221">
        <f>N351</f>
        <v>3406759.9195912369</v>
      </c>
      <c r="E344" s="28"/>
      <c r="G344" s="28"/>
      <c r="P344" s="33" t="s">
        <v>1244</v>
      </c>
      <c r="Q344" s="176">
        <f>GIS!Y125*GIS!$D42</f>
        <v>0</v>
      </c>
    </row>
    <row r="345" spans="1:17" ht="14.5">
      <c r="A345" s="220"/>
      <c r="B345" s="220"/>
      <c r="P345" s="37" t="s">
        <v>1245</v>
      </c>
      <c r="Q345" s="176">
        <f>GIS!Y126*GIS!$D43</f>
        <v>0</v>
      </c>
    </row>
    <row r="346" spans="1:17" ht="14.5">
      <c r="A346" s="220"/>
      <c r="B346" s="220"/>
      <c r="D346" s="65" t="s">
        <v>218</v>
      </c>
      <c r="E346" s="28"/>
      <c r="F346" s="79"/>
      <c r="P346" s="37" t="s">
        <v>1246</v>
      </c>
      <c r="Q346" s="176">
        <f>GIS!Y127*GIS!$D44</f>
        <v>0</v>
      </c>
    </row>
    <row r="347" spans="1:17" ht="14.5">
      <c r="A347" s="222" t="s">
        <v>217</v>
      </c>
      <c r="B347" s="219">
        <f>H351</f>
        <v>288178873.64839685</v>
      </c>
      <c r="D347" s="80" t="s">
        <v>382</v>
      </c>
      <c r="E347" s="93" t="s">
        <v>63</v>
      </c>
      <c r="F347" s="94">
        <f>Q348</f>
        <v>0</v>
      </c>
      <c r="G347" s="28"/>
      <c r="H347" s="79">
        <f>F347*'GWPs &amp; Fuel EFs'!$N$20</f>
        <v>0</v>
      </c>
      <c r="I347" s="28"/>
      <c r="J347" s="79">
        <f>F347*'GWPs &amp; Fuel EFs'!$M$48</f>
        <v>0</v>
      </c>
      <c r="K347" s="79">
        <f>J347*'GWPs &amp; Fuel EFs'!$D$11</f>
        <v>0</v>
      </c>
      <c r="L347" s="28"/>
      <c r="M347" s="79">
        <f>F347*'GWPs &amp; Fuel EFs'!$M$76</f>
        <v>0</v>
      </c>
      <c r="N347" s="79">
        <f>M347*'GWPs &amp; Fuel EFs'!$E$11</f>
        <v>0</v>
      </c>
      <c r="P347" s="33" t="s">
        <v>1247</v>
      </c>
      <c r="Q347" s="176">
        <f>GIS!Y128*GIS!$D45</f>
        <v>0</v>
      </c>
    </row>
    <row r="348" spans="1:17" ht="14.5">
      <c r="A348" s="220"/>
      <c r="B348" s="223"/>
      <c r="D348" s="80" t="s">
        <v>385</v>
      </c>
      <c r="E348" s="93" t="s">
        <v>16</v>
      </c>
      <c r="F348" s="94">
        <f>(Q349+Q354)*'GIS Heat Input'!F45</f>
        <v>1096339.8762715105</v>
      </c>
      <c r="G348" s="28"/>
      <c r="H348" s="79">
        <f>F348*'GWPs &amp; Fuel EFs'!$N$21</f>
        <v>229507788.9362826</v>
      </c>
      <c r="I348" s="28"/>
      <c r="J348" s="79">
        <f>F348*'GWPs &amp; Fuel EFs'!$M$49</f>
        <v>68852.336680884779</v>
      </c>
      <c r="K348" s="79">
        <f>J348*'GWPs &amp; Fuel EFs'!$D$11</f>
        <v>1721308.4170221195</v>
      </c>
      <c r="L348" s="28"/>
      <c r="M348" s="79">
        <f>F348*'GWPs &amp; Fuel EFs'!$M$77</f>
        <v>9180.3115574513049</v>
      </c>
      <c r="N348" s="79">
        <f>M348*'GWPs &amp; Fuel EFs'!$E$11</f>
        <v>2735732.844120489</v>
      </c>
      <c r="P348" s="33" t="s">
        <v>1248</v>
      </c>
      <c r="Q348" s="176">
        <f>GIS!Y129*GIS!$D46</f>
        <v>0</v>
      </c>
    </row>
    <row r="349" spans="1:17" ht="14.5">
      <c r="A349" s="220"/>
      <c r="B349" s="220"/>
      <c r="D349" s="80" t="s">
        <v>390</v>
      </c>
      <c r="E349" s="93" t="s">
        <v>69</v>
      </c>
      <c r="F349" s="94">
        <f>Q339+Q356</f>
        <v>283718.08515304775</v>
      </c>
      <c r="G349" s="28"/>
      <c r="H349" s="79">
        <f>F349*'GWPs &amp; Fuel EFs'!$N$23</f>
        <v>58671084.712114252</v>
      </c>
      <c r="I349" s="28"/>
      <c r="J349" s="79">
        <f>F349*'GWPs &amp; Fuel EFs'!$M$51</f>
        <v>4503.537419266765</v>
      </c>
      <c r="K349" s="79">
        <f>J349*'GWPs &amp; Fuel EFs'!$D$11</f>
        <v>112588.43548166912</v>
      </c>
      <c r="L349" s="28"/>
      <c r="M349" s="79">
        <f>F349*'GWPs &amp; Fuel EFs'!$M$79</f>
        <v>2251.7687096333825</v>
      </c>
      <c r="N349" s="79">
        <f>M349*'GWPs &amp; Fuel EFs'!$E$11</f>
        <v>671027.07547074801</v>
      </c>
      <c r="P349" s="33" t="s">
        <v>1249</v>
      </c>
      <c r="Q349" s="176">
        <f>GIS!Y130*GIS!$D47</f>
        <v>338622.28050361463</v>
      </c>
    </row>
    <row r="350" spans="1:17" ht="14.5">
      <c r="A350" s="220"/>
      <c r="B350" s="220"/>
      <c r="D350" s="80" t="s">
        <v>2239</v>
      </c>
      <c r="E350" s="93" t="s">
        <v>68</v>
      </c>
      <c r="F350" s="94">
        <f>Q338+Q342</f>
        <v>0</v>
      </c>
      <c r="G350" s="28"/>
      <c r="H350" s="79">
        <f>F350*'GWPs &amp; Fuel EFs'!$N$27</f>
        <v>0</v>
      </c>
      <c r="I350" s="28"/>
      <c r="J350" s="79">
        <f>F350*'GWPs &amp; Fuel EFs'!$M$55</f>
        <v>0</v>
      </c>
      <c r="K350" s="79">
        <f>J350*'GWPs &amp; Fuel EFs'!$D$11</f>
        <v>0</v>
      </c>
      <c r="L350" s="28"/>
      <c r="M350" s="79">
        <f>F350*'GWPs &amp; Fuel EFs'!$M$83</f>
        <v>0</v>
      </c>
      <c r="N350" s="79">
        <f>M350*'GWPs &amp; Fuel EFs'!$E$11</f>
        <v>0</v>
      </c>
      <c r="O350" s="12"/>
      <c r="P350" s="33" t="s">
        <v>1250</v>
      </c>
      <c r="Q350" s="176">
        <f>GIS!Y131*GIS!$D48</f>
        <v>0</v>
      </c>
    </row>
    <row r="351" spans="1:17" ht="14.5">
      <c r="A351" s="220"/>
      <c r="B351" s="220"/>
      <c r="D351" s="80"/>
      <c r="F351" s="79"/>
      <c r="G351" s="28"/>
      <c r="H351" s="82">
        <f>SUM(H347:H350)</f>
        <v>288178873.64839685</v>
      </c>
      <c r="I351" s="28"/>
      <c r="J351" s="28"/>
      <c r="K351" s="82">
        <f>SUM(K347:K350)</f>
        <v>1833896.8525037887</v>
      </c>
      <c r="L351" s="28"/>
      <c r="M351" s="28"/>
      <c r="N351" s="82">
        <f>SUM(N347:N350)</f>
        <v>3406759.9195912369</v>
      </c>
      <c r="P351" s="33" t="s">
        <v>1251</v>
      </c>
      <c r="Q351" s="176">
        <f>GIS!Y132*GIS!$D49</f>
        <v>0</v>
      </c>
    </row>
    <row r="352" spans="1:17" ht="14.5">
      <c r="A352" s="220"/>
      <c r="B352" s="220"/>
      <c r="D352" s="80"/>
      <c r="E352" s="81"/>
      <c r="F352" s="79"/>
      <c r="G352" s="28"/>
      <c r="P352" s="33" t="s">
        <v>1252</v>
      </c>
      <c r="Q352" s="176">
        <f>GIS!Y133*GIS!$D50</f>
        <v>0</v>
      </c>
    </row>
    <row r="353" spans="1:17" ht="14.5">
      <c r="A353" s="220"/>
      <c r="B353" s="220"/>
      <c r="D353" s="80"/>
      <c r="E353" s="81"/>
      <c r="F353" s="79"/>
      <c r="G353" s="28"/>
      <c r="P353" s="42" t="s">
        <v>1253</v>
      </c>
      <c r="Q353" s="176">
        <f>GIS!Y134*GIS!$D51</f>
        <v>0</v>
      </c>
    </row>
    <row r="354" spans="1:17" ht="14.5">
      <c r="A354" s="220"/>
      <c r="B354" s="220"/>
      <c r="D354" s="80"/>
      <c r="E354" s="81"/>
      <c r="F354" s="79"/>
      <c r="G354" s="28"/>
      <c r="P354" s="33" t="s">
        <v>1254</v>
      </c>
      <c r="Q354" s="176">
        <f>GIS!Y135*GIS!$D52</f>
        <v>2097705.0208478216</v>
      </c>
    </row>
    <row r="355" spans="1:17" ht="14.5">
      <c r="A355" s="220"/>
      <c r="B355" s="220"/>
      <c r="P355" s="33" t="s">
        <v>1255</v>
      </c>
      <c r="Q355" s="176">
        <f>GIS!Y136*GIS!$D53</f>
        <v>0</v>
      </c>
    </row>
    <row r="356" spans="1:17" ht="14.5">
      <c r="A356" s="220"/>
      <c r="B356" s="220"/>
      <c r="P356" s="33" t="s">
        <v>1256</v>
      </c>
      <c r="Q356" s="176">
        <f>GIS!Y137*GIS!$D54</f>
        <v>2007.996439467865</v>
      </c>
    </row>
    <row r="358" spans="1:17">
      <c r="A358" s="173"/>
      <c r="B358" s="173"/>
      <c r="C358" s="173"/>
      <c r="D358" s="173"/>
      <c r="E358" s="173"/>
      <c r="F358" s="173"/>
      <c r="G358" s="173"/>
      <c r="H358" s="173"/>
      <c r="I358" s="173"/>
      <c r="J358" s="173"/>
      <c r="K358" s="173"/>
      <c r="L358" s="173"/>
      <c r="M358" s="173"/>
      <c r="N358" s="173"/>
      <c r="O358" s="173"/>
      <c r="P358" s="173"/>
      <c r="Q358" s="173"/>
    </row>
    <row r="359" spans="1:17" ht="13">
      <c r="P359" s="177" t="s">
        <v>2513</v>
      </c>
    </row>
    <row r="360" spans="1:17" ht="13">
      <c r="A360" s="214" t="s">
        <v>2496</v>
      </c>
      <c r="B360" s="215"/>
      <c r="D360" s="76" t="s">
        <v>220</v>
      </c>
      <c r="E360" s="76"/>
      <c r="F360" s="76"/>
      <c r="G360" s="28"/>
      <c r="H360" s="76" t="s">
        <v>220</v>
      </c>
      <c r="I360" s="28"/>
      <c r="J360" s="76" t="s">
        <v>220</v>
      </c>
      <c r="K360" s="76"/>
      <c r="L360" s="28"/>
      <c r="M360" s="76" t="s">
        <v>220</v>
      </c>
      <c r="N360" s="76"/>
      <c r="P360" s="798" t="s">
        <v>2497</v>
      </c>
      <c r="Q360" s="799" t="s">
        <v>1320</v>
      </c>
    </row>
    <row r="361" spans="1:17" ht="13">
      <c r="A361" s="215">
        <f>A289</f>
        <v>2022</v>
      </c>
      <c r="B361" s="215"/>
      <c r="D361" s="76" t="s">
        <v>204</v>
      </c>
      <c r="E361" s="76"/>
      <c r="F361" s="76"/>
      <c r="G361" s="28"/>
      <c r="H361" s="76" t="s">
        <v>205</v>
      </c>
      <c r="I361" s="28"/>
      <c r="J361" s="76" t="s">
        <v>206</v>
      </c>
      <c r="K361" s="76"/>
      <c r="L361" s="28"/>
      <c r="M361" s="76" t="s">
        <v>207</v>
      </c>
      <c r="N361" s="76"/>
      <c r="P361" s="798"/>
      <c r="Q361" s="799"/>
    </row>
    <row r="362" spans="1:17" ht="35.5">
      <c r="A362" s="216"/>
      <c r="B362" s="217" t="s">
        <v>327</v>
      </c>
      <c r="C362" s="12"/>
      <c r="D362" s="78" t="s">
        <v>208</v>
      </c>
      <c r="E362" s="78" t="s">
        <v>209</v>
      </c>
      <c r="F362" s="78" t="str">
        <f>F314</f>
        <v>Heat Input from GIS certificates (MMBtu)</v>
      </c>
      <c r="G362" s="28"/>
      <c r="H362" s="65" t="s">
        <v>325</v>
      </c>
      <c r="I362" s="77"/>
      <c r="J362" s="65" t="s">
        <v>326</v>
      </c>
      <c r="K362" s="65" t="s">
        <v>327</v>
      </c>
      <c r="L362" s="77"/>
      <c r="M362" s="65" t="s">
        <v>328</v>
      </c>
      <c r="N362" s="65" t="s">
        <v>327</v>
      </c>
      <c r="P362" s="97" t="s">
        <v>2238</v>
      </c>
      <c r="Q362" s="176">
        <f>GIS!Z144*GIS!$E36</f>
        <v>0</v>
      </c>
    </row>
    <row r="363" spans="1:17" ht="14.5">
      <c r="A363" s="218" t="s">
        <v>211</v>
      </c>
      <c r="B363" s="219">
        <f>SUM(B364:B368)</f>
        <v>19318855.15273533</v>
      </c>
      <c r="D363" s="65" t="s">
        <v>212</v>
      </c>
      <c r="E363" s="65"/>
      <c r="F363" s="65"/>
      <c r="G363" s="28"/>
      <c r="H363" s="28"/>
      <c r="I363" s="28"/>
      <c r="J363" s="77"/>
      <c r="K363" s="77"/>
      <c r="L363" s="28"/>
      <c r="M363" s="77"/>
      <c r="N363" s="77"/>
      <c r="P363" s="33" t="s">
        <v>1239</v>
      </c>
      <c r="Q363" s="176">
        <f>GIS!Z145*GIS!$E37</f>
        <v>6993132.0253589815</v>
      </c>
    </row>
    <row r="364" spans="1:17" ht="14.5">
      <c r="A364" s="220" t="s">
        <v>1378</v>
      </c>
      <c r="B364" s="221">
        <f>H367</f>
        <v>0</v>
      </c>
      <c r="D364" s="80" t="s">
        <v>2482</v>
      </c>
      <c r="E364" s="93" t="s">
        <v>46</v>
      </c>
      <c r="F364" s="94">
        <f>Q365+Q376</f>
        <v>0</v>
      </c>
      <c r="G364" s="28"/>
      <c r="H364" s="79">
        <f>F364*'GWPs &amp; Fuel EFs'!$N$7</f>
        <v>0</v>
      </c>
      <c r="I364" s="28"/>
      <c r="J364" s="79">
        <f>F364*'GWPs &amp; Fuel EFs'!$M$35</f>
        <v>0</v>
      </c>
      <c r="K364" s="79">
        <f>J364*'GWPs &amp; Fuel EFs'!$D$11</f>
        <v>0</v>
      </c>
      <c r="L364" s="28"/>
      <c r="M364" s="79">
        <f>F364*'GWPs &amp; Fuel EFs'!$M$63</f>
        <v>0</v>
      </c>
      <c r="N364" s="79">
        <f>M364*'GWPs &amp; Fuel EFs'!$E$11</f>
        <v>0</v>
      </c>
      <c r="P364" s="33" t="s">
        <v>1240</v>
      </c>
      <c r="Q364" s="176">
        <f>GIS!Z146*GIS!$E38</f>
        <v>0</v>
      </c>
    </row>
    <row r="365" spans="1:17" ht="14.5">
      <c r="A365" s="220" t="s">
        <v>213</v>
      </c>
      <c r="B365" s="221">
        <f>K367</f>
        <v>0</v>
      </c>
      <c r="D365" s="80" t="s">
        <v>374</v>
      </c>
      <c r="E365" s="93" t="s">
        <v>39</v>
      </c>
      <c r="F365" s="94">
        <f>Q374</f>
        <v>0</v>
      </c>
      <c r="G365" s="28"/>
      <c r="H365" s="79">
        <f>F365*'GWPs &amp; Fuel EFs'!$N$8</f>
        <v>0</v>
      </c>
      <c r="I365" s="28"/>
      <c r="J365" s="79">
        <f>F365*'GWPs &amp; Fuel EFs'!$M$36</f>
        <v>0</v>
      </c>
      <c r="K365" s="79">
        <f>J365*'GWPs &amp; Fuel EFs'!$D$11</f>
        <v>0</v>
      </c>
      <c r="L365" s="28"/>
      <c r="M365" s="79">
        <f>F365*'GWPs &amp; Fuel EFs'!$M$64</f>
        <v>0</v>
      </c>
      <c r="N365" s="79">
        <f>M365*'GWPs &amp; Fuel EFs'!$E$11</f>
        <v>0</v>
      </c>
      <c r="P365" s="33" t="s">
        <v>1241</v>
      </c>
      <c r="Q365" s="176">
        <f>GIS!Z147*GIS!$E39</f>
        <v>0</v>
      </c>
    </row>
    <row r="366" spans="1:17" ht="14.5">
      <c r="A366" s="220" t="s">
        <v>214</v>
      </c>
      <c r="B366" s="221">
        <f>N367</f>
        <v>0</v>
      </c>
      <c r="D366" s="80" t="s">
        <v>388</v>
      </c>
      <c r="E366" s="93" t="s">
        <v>17</v>
      </c>
      <c r="F366" s="94">
        <f>(Q373+Q378)*'GIS Heat Input'!F54</f>
        <v>0</v>
      </c>
      <c r="G366" s="28"/>
      <c r="H366" s="79">
        <f>F366*'GWPs &amp; Fuel EFs'!$N$9</f>
        <v>0</v>
      </c>
      <c r="I366" s="28"/>
      <c r="J366" s="79">
        <f>F366*'GWPs &amp; Fuel EFs'!$M$37</f>
        <v>0</v>
      </c>
      <c r="K366" s="79">
        <f>J366*'GWPs &amp; Fuel EFs'!$D$11</f>
        <v>0</v>
      </c>
      <c r="L366" s="28"/>
      <c r="M366" s="79">
        <f>F366*'GWPs &amp; Fuel EFs'!$M$65</f>
        <v>0</v>
      </c>
      <c r="N366" s="79">
        <f>M366*'GWPs &amp; Fuel EFs'!$E$11</f>
        <v>0</v>
      </c>
      <c r="P366" s="33" t="s">
        <v>1242</v>
      </c>
      <c r="Q366" s="176">
        <f>GIS!Z148*GIS!$E40</f>
        <v>0</v>
      </c>
    </row>
    <row r="367" spans="1:17" ht="14.5">
      <c r="A367" s="220" t="s">
        <v>215</v>
      </c>
      <c r="B367" s="221">
        <f>K375</f>
        <v>2776343.7493486535</v>
      </c>
      <c r="D367" s="80"/>
      <c r="E367" s="81"/>
      <c r="F367" s="79"/>
      <c r="G367" s="28"/>
      <c r="H367" s="82">
        <f>SUM(H364:H366)</f>
        <v>0</v>
      </c>
      <c r="I367" s="28"/>
      <c r="J367" s="79"/>
      <c r="K367" s="82">
        <f>SUM(K364:K366)</f>
        <v>0</v>
      </c>
      <c r="L367" s="28"/>
      <c r="M367" s="79"/>
      <c r="N367" s="82">
        <f>SUM(N364:N366)</f>
        <v>0</v>
      </c>
      <c r="P367" s="33" t="s">
        <v>1243</v>
      </c>
      <c r="Q367" s="176">
        <f>GIS!Z149*GIS!$E41</f>
        <v>0</v>
      </c>
    </row>
    <row r="368" spans="1:17" ht="14.5">
      <c r="A368" s="220" t="s">
        <v>216</v>
      </c>
      <c r="B368" s="221">
        <f>N375</f>
        <v>16542511.403386675</v>
      </c>
      <c r="E368" s="28"/>
      <c r="O368" s="12"/>
      <c r="P368" s="33" t="s">
        <v>1244</v>
      </c>
      <c r="Q368" s="176">
        <f>GIS!Z150*GIS!$E42</f>
        <v>0</v>
      </c>
    </row>
    <row r="369" spans="1:17" ht="14.5">
      <c r="A369" s="220"/>
      <c r="B369" s="220"/>
      <c r="P369" s="37" t="s">
        <v>1245</v>
      </c>
      <c r="Q369" s="176">
        <f>GIS!Z151*GIS!$E43</f>
        <v>0</v>
      </c>
    </row>
    <row r="370" spans="1:17" ht="14.5">
      <c r="A370" s="222" t="s">
        <v>217</v>
      </c>
      <c r="B370" s="219">
        <f>H375</f>
        <v>1446945090.6644185</v>
      </c>
      <c r="D370" s="65" t="s">
        <v>218</v>
      </c>
      <c r="E370" s="28"/>
      <c r="F370" s="79"/>
      <c r="G370" s="28"/>
      <c r="H370" s="82"/>
      <c r="I370" s="28"/>
      <c r="J370" s="79"/>
      <c r="K370" s="82"/>
      <c r="L370" s="28"/>
      <c r="M370" s="79"/>
      <c r="N370" s="82"/>
      <c r="P370" s="37" t="s">
        <v>1246</v>
      </c>
      <c r="Q370" s="176">
        <f>GIS!Z152*GIS!$E44</f>
        <v>0</v>
      </c>
    </row>
    <row r="371" spans="1:17" ht="14.5">
      <c r="A371" s="220"/>
      <c r="B371" s="223"/>
      <c r="D371" s="80" t="s">
        <v>382</v>
      </c>
      <c r="E371" s="93" t="s">
        <v>63</v>
      </c>
      <c r="F371" s="94">
        <f>Q372</f>
        <v>7057.2211648267985</v>
      </c>
      <c r="G371" s="28"/>
      <c r="H371" s="79">
        <f>F371*'GWPs &amp; Fuel EFs'!$N$20</f>
        <v>810131.5852036376</v>
      </c>
      <c r="I371" s="28"/>
      <c r="J371" s="79">
        <f>F371*'GWPs &amp; Fuel EFs'!$M$48</f>
        <v>49.787230125823704</v>
      </c>
      <c r="K371" s="79">
        <f>J371*'GWPs &amp; Fuel EFs'!$D$11</f>
        <v>1244.6807531455927</v>
      </c>
      <c r="L371" s="28"/>
      <c r="M371" s="79">
        <f>F371*'GWPs &amp; Fuel EFs'!$M$76</f>
        <v>9.8018609310215421</v>
      </c>
      <c r="N371" s="79">
        <f>M371*'GWPs &amp; Fuel EFs'!$E$11</f>
        <v>2920.9545574444196</v>
      </c>
      <c r="P371" s="33" t="s">
        <v>1247</v>
      </c>
      <c r="Q371" s="176">
        <f>GIS!Z153*GIS!$E45</f>
        <v>0</v>
      </c>
    </row>
    <row r="372" spans="1:17" ht="14.5">
      <c r="A372" s="220"/>
      <c r="B372" s="220"/>
      <c r="D372" s="80" t="s">
        <v>385</v>
      </c>
      <c r="E372" s="93" t="s">
        <v>16</v>
      </c>
      <c r="F372" s="94">
        <f>(Q373+Q378)*'GIS Heat Input'!F57</f>
        <v>0</v>
      </c>
      <c r="G372" s="28"/>
      <c r="H372" s="79">
        <f>F372*'GWPs &amp; Fuel EFs'!$N$21</f>
        <v>0</v>
      </c>
      <c r="I372" s="28"/>
      <c r="J372" s="79">
        <f>F372*'GWPs &amp; Fuel EFs'!$M$49</f>
        <v>0</v>
      </c>
      <c r="K372" s="79">
        <f>J372*'GWPs &amp; Fuel EFs'!$D$11</f>
        <v>0</v>
      </c>
      <c r="L372" s="28"/>
      <c r="M372" s="79">
        <f>F372*'GWPs &amp; Fuel EFs'!$M$77</f>
        <v>0</v>
      </c>
      <c r="N372" s="79">
        <f>M372*'GWPs &amp; Fuel EFs'!$E$11</f>
        <v>0</v>
      </c>
      <c r="P372" s="33" t="s">
        <v>1248</v>
      </c>
      <c r="Q372" s="176">
        <f>GIS!Z154*GIS!$E46</f>
        <v>7057.2211648267985</v>
      </c>
    </row>
    <row r="373" spans="1:17" ht="14.5">
      <c r="A373" s="220"/>
      <c r="B373" s="220"/>
      <c r="D373" s="80" t="s">
        <v>390</v>
      </c>
      <c r="E373" s="93" t="s">
        <v>69</v>
      </c>
      <c r="F373" s="94">
        <f>Q363+Q380</f>
        <v>6993132.0253589815</v>
      </c>
      <c r="G373" s="85"/>
      <c r="H373" s="79">
        <f>F373*'GWPs &amp; Fuel EFs'!$N$23</f>
        <v>1446134959.0792148</v>
      </c>
      <c r="I373" s="28"/>
      <c r="J373" s="79">
        <f>F373*'GWPs &amp; Fuel EFs'!$M$51</f>
        <v>111003.96274382033</v>
      </c>
      <c r="K373" s="79">
        <f>J373*'GWPs &amp; Fuel EFs'!$D$11</f>
        <v>2775099.0685955081</v>
      </c>
      <c r="L373" s="28"/>
      <c r="M373" s="79">
        <f>F373*'GWPs &amp; Fuel EFs'!$M$79</f>
        <v>55501.981371910166</v>
      </c>
      <c r="N373" s="79">
        <f>M373*'GWPs &amp; Fuel EFs'!$E$11</f>
        <v>16539590.44882923</v>
      </c>
      <c r="P373" s="33" t="s">
        <v>1249</v>
      </c>
      <c r="Q373" s="176">
        <f>GIS!Z155*GIS!$E47</f>
        <v>0</v>
      </c>
    </row>
    <row r="374" spans="1:17" ht="14.5">
      <c r="A374" s="222"/>
      <c r="B374" s="219"/>
      <c r="D374" s="80" t="s">
        <v>2239</v>
      </c>
      <c r="E374" s="93" t="s">
        <v>68</v>
      </c>
      <c r="F374" s="94">
        <f>Q362+Q366</f>
        <v>0</v>
      </c>
      <c r="G374" s="28"/>
      <c r="H374" s="79">
        <f>F374*'GWPs &amp; Fuel EFs'!$N$27</f>
        <v>0</v>
      </c>
      <c r="I374" s="28"/>
      <c r="J374" s="79">
        <f>F374*'GWPs &amp; Fuel EFs'!$M$55</f>
        <v>0</v>
      </c>
      <c r="K374" s="79">
        <f>J374*'GWPs &amp; Fuel EFs'!$D$11</f>
        <v>0</v>
      </c>
      <c r="L374" s="28"/>
      <c r="M374" s="79">
        <f>F374*'GWPs &amp; Fuel EFs'!$M$83</f>
        <v>0</v>
      </c>
      <c r="N374" s="79">
        <f>M374*'GWPs &amp; Fuel EFs'!$E$11</f>
        <v>0</v>
      </c>
      <c r="P374" s="33" t="s">
        <v>1250</v>
      </c>
      <c r="Q374" s="176">
        <f>GIS!Z156*GIS!$E48</f>
        <v>0</v>
      </c>
    </row>
    <row r="375" spans="1:17" ht="14.5">
      <c r="A375" s="220"/>
      <c r="B375" s="225"/>
      <c r="D375" s="80"/>
      <c r="F375" s="79"/>
      <c r="G375" s="28"/>
      <c r="H375" s="82">
        <f>SUM(H371:H373)</f>
        <v>1446945090.6644185</v>
      </c>
      <c r="I375" s="28"/>
      <c r="J375" s="79"/>
      <c r="K375" s="82">
        <f>SUM(K371:K373)</f>
        <v>2776343.7493486535</v>
      </c>
      <c r="L375" s="28"/>
      <c r="M375" s="79"/>
      <c r="N375" s="82">
        <f>SUM(N371:N373)</f>
        <v>16542511.403386675</v>
      </c>
      <c r="P375" s="33" t="s">
        <v>1251</v>
      </c>
      <c r="Q375" s="176">
        <f>GIS!Z157*GIS!$E49</f>
        <v>0</v>
      </c>
    </row>
    <row r="376" spans="1:17" ht="14.5">
      <c r="A376" s="220"/>
      <c r="B376" s="220"/>
      <c r="F376" s="79"/>
      <c r="P376" s="33" t="s">
        <v>1252</v>
      </c>
      <c r="Q376" s="176">
        <f>GIS!Z158*GIS!$E50</f>
        <v>0</v>
      </c>
    </row>
    <row r="377" spans="1:17" ht="14.5">
      <c r="A377" s="220"/>
      <c r="B377" s="220"/>
      <c r="P377" s="42" t="s">
        <v>1253</v>
      </c>
      <c r="Q377" s="176">
        <f>GIS!Z159*GIS!$E51</f>
        <v>0</v>
      </c>
    </row>
    <row r="378" spans="1:17" ht="14.5">
      <c r="A378" s="220"/>
      <c r="B378" s="220"/>
      <c r="P378" s="33" t="s">
        <v>1254</v>
      </c>
      <c r="Q378" s="176">
        <f>GIS!Z160*GIS!$E52</f>
        <v>0</v>
      </c>
    </row>
    <row r="379" spans="1:17" ht="14.5">
      <c r="A379" s="220"/>
      <c r="B379" s="220"/>
      <c r="P379" s="33" t="s">
        <v>1255</v>
      </c>
      <c r="Q379" s="176">
        <f>GIS!Z161*GIS!$E53</f>
        <v>0</v>
      </c>
    </row>
    <row r="380" spans="1:17" ht="14.5">
      <c r="A380" s="220"/>
      <c r="B380" s="220"/>
      <c r="P380" s="33" t="s">
        <v>1256</v>
      </c>
      <c r="Q380" s="176">
        <f>GIS!Z162*GIS!$E54</f>
        <v>0</v>
      </c>
    </row>
    <row r="382" spans="1:17">
      <c r="A382" s="173"/>
      <c r="B382" s="173"/>
      <c r="C382" s="173"/>
      <c r="D382" s="173"/>
      <c r="E382" s="173"/>
      <c r="F382" s="173"/>
      <c r="G382" s="173"/>
      <c r="H382" s="173"/>
      <c r="I382" s="173"/>
      <c r="J382" s="173"/>
      <c r="K382" s="173"/>
      <c r="L382" s="173"/>
      <c r="M382" s="173"/>
      <c r="N382" s="173"/>
      <c r="O382" s="173"/>
      <c r="P382" s="173"/>
      <c r="Q382" s="173"/>
    </row>
    <row r="383" spans="1:17" ht="13">
      <c r="P383" s="177" t="s">
        <v>2512</v>
      </c>
    </row>
    <row r="384" spans="1:17" ht="13">
      <c r="A384" s="214" t="s">
        <v>2498</v>
      </c>
      <c r="B384" s="214"/>
      <c r="D384" s="76" t="s">
        <v>222</v>
      </c>
      <c r="E384" s="76"/>
      <c r="F384" s="76"/>
      <c r="G384" s="28"/>
      <c r="H384" s="76" t="s">
        <v>222</v>
      </c>
      <c r="I384" s="28"/>
      <c r="J384" s="76" t="s">
        <v>222</v>
      </c>
      <c r="K384" s="76"/>
      <c r="L384" s="28"/>
      <c r="M384" s="76" t="s">
        <v>222</v>
      </c>
      <c r="N384" s="76"/>
      <c r="P384" s="798" t="s">
        <v>2497</v>
      </c>
      <c r="Q384" s="799" t="s">
        <v>1334</v>
      </c>
    </row>
    <row r="385" spans="1:17" ht="13">
      <c r="A385" s="215">
        <f>A289</f>
        <v>2022</v>
      </c>
      <c r="B385" s="215"/>
      <c r="D385" s="76" t="s">
        <v>204</v>
      </c>
      <c r="E385" s="76"/>
      <c r="F385" s="76"/>
      <c r="G385" s="28"/>
      <c r="H385" s="76" t="s">
        <v>205</v>
      </c>
      <c r="I385" s="28"/>
      <c r="J385" s="76" t="s">
        <v>206</v>
      </c>
      <c r="K385" s="76"/>
      <c r="L385" s="28"/>
      <c r="M385" s="76" t="s">
        <v>207</v>
      </c>
      <c r="N385" s="76"/>
      <c r="P385" s="798"/>
      <c r="Q385" s="799" t="s">
        <v>1271</v>
      </c>
    </row>
    <row r="386" spans="1:17" ht="35.5">
      <c r="A386" s="216"/>
      <c r="B386" s="217" t="s">
        <v>327</v>
      </c>
      <c r="C386" s="12"/>
      <c r="D386" s="78" t="s">
        <v>208</v>
      </c>
      <c r="E386" s="78" t="s">
        <v>209</v>
      </c>
      <c r="F386" s="78" t="str">
        <f>F314</f>
        <v>Heat Input from GIS certificates (MMBtu)</v>
      </c>
      <c r="G386" s="28"/>
      <c r="H386" s="65" t="s">
        <v>325</v>
      </c>
      <c r="I386" s="77"/>
      <c r="J386" s="65" t="s">
        <v>326</v>
      </c>
      <c r="K386" s="65" t="s">
        <v>327</v>
      </c>
      <c r="L386" s="77"/>
      <c r="M386" s="65" t="s">
        <v>328</v>
      </c>
      <c r="N386" s="65" t="s">
        <v>327</v>
      </c>
      <c r="P386" s="97" t="s">
        <v>2238</v>
      </c>
      <c r="Q386" s="176">
        <f>GIS!AC169*GIS!$F36</f>
        <v>32579.552274287613</v>
      </c>
    </row>
    <row r="387" spans="1:17" ht="14.5">
      <c r="A387" s="218" t="s">
        <v>211</v>
      </c>
      <c r="B387" s="219">
        <f>SUM(B388:B392)</f>
        <v>1157494.8357242735</v>
      </c>
      <c r="D387" s="65" t="s">
        <v>212</v>
      </c>
      <c r="E387" s="65"/>
      <c r="F387" s="65"/>
      <c r="G387" s="28"/>
      <c r="H387" s="28"/>
      <c r="I387" s="28"/>
      <c r="J387" s="77"/>
      <c r="K387" s="77"/>
      <c r="L387" s="28"/>
      <c r="M387" s="77"/>
      <c r="N387" s="77"/>
      <c r="P387" s="33" t="s">
        <v>1239</v>
      </c>
      <c r="Q387" s="176">
        <f>GIS!AC170*GIS!$F37</f>
        <v>0</v>
      </c>
    </row>
    <row r="388" spans="1:17" ht="14.5">
      <c r="A388" s="220" t="s">
        <v>1377</v>
      </c>
      <c r="B388" s="221">
        <f>H391</f>
        <v>0</v>
      </c>
      <c r="D388" s="80" t="s">
        <v>2482</v>
      </c>
      <c r="E388" s="93" t="s">
        <v>46</v>
      </c>
      <c r="F388" s="94">
        <f>Q389+Q400</f>
        <v>0</v>
      </c>
      <c r="G388" s="28"/>
      <c r="H388" s="79">
        <f>F388*'GWPs &amp; Fuel EFs'!$N$7</f>
        <v>0</v>
      </c>
      <c r="I388" s="28"/>
      <c r="J388" s="79">
        <f>F388*'GWPs &amp; Fuel EFs'!$M$35</f>
        <v>0</v>
      </c>
      <c r="K388" s="79">
        <f>J388*'GWPs &amp; Fuel EFs'!$D$11</f>
        <v>0</v>
      </c>
      <c r="L388" s="28"/>
      <c r="M388" s="79">
        <f>F388*'GWPs &amp; Fuel EFs'!$M$63</f>
        <v>0</v>
      </c>
      <c r="N388" s="79">
        <f>M388*'GWPs &amp; Fuel EFs'!$E$11</f>
        <v>0</v>
      </c>
      <c r="O388" s="12"/>
      <c r="P388" s="33" t="s">
        <v>1240</v>
      </c>
      <c r="Q388" s="176">
        <f>GIS!AC171*GIS!$F38</f>
        <v>0</v>
      </c>
    </row>
    <row r="389" spans="1:17" ht="14.5">
      <c r="A389" s="220" t="s">
        <v>213</v>
      </c>
      <c r="B389" s="221">
        <f>K391</f>
        <v>0</v>
      </c>
      <c r="D389" s="80" t="s">
        <v>374</v>
      </c>
      <c r="E389" s="93" t="s">
        <v>39</v>
      </c>
      <c r="F389" s="94">
        <f>Q398</f>
        <v>0</v>
      </c>
      <c r="G389" s="28"/>
      <c r="H389" s="79">
        <f>F389*'GWPs &amp; Fuel EFs'!$N$8</f>
        <v>0</v>
      </c>
      <c r="I389" s="28"/>
      <c r="J389" s="79">
        <f>F389*'GWPs &amp; Fuel EFs'!$M$36</f>
        <v>0</v>
      </c>
      <c r="K389" s="79">
        <f>J389*'GWPs &amp; Fuel EFs'!$D$11</f>
        <v>0</v>
      </c>
      <c r="L389" s="28"/>
      <c r="M389" s="79">
        <f>F389*'GWPs &amp; Fuel EFs'!$M$64</f>
        <v>0</v>
      </c>
      <c r="N389" s="79">
        <f>M389*'GWPs &amp; Fuel EFs'!$E$11</f>
        <v>0</v>
      </c>
      <c r="P389" s="33" t="s">
        <v>1241</v>
      </c>
      <c r="Q389" s="176">
        <f>GIS!AC172*GIS!$F39</f>
        <v>0</v>
      </c>
    </row>
    <row r="390" spans="1:17" ht="14.5">
      <c r="A390" s="220" t="s">
        <v>214</v>
      </c>
      <c r="B390" s="221">
        <f>N391</f>
        <v>0</v>
      </c>
      <c r="D390" s="80" t="s">
        <v>388</v>
      </c>
      <c r="E390" s="93" t="s">
        <v>17</v>
      </c>
      <c r="F390" s="94">
        <f>(Q397+Q402)*'GIS Heat Input'!F66</f>
        <v>0</v>
      </c>
      <c r="G390" s="28"/>
      <c r="H390" s="79">
        <f>F390*'GWPs &amp; Fuel EFs'!$N$9</f>
        <v>0</v>
      </c>
      <c r="I390" s="28"/>
      <c r="J390" s="79">
        <f>F390*'GWPs &amp; Fuel EFs'!$M$37</f>
        <v>0</v>
      </c>
      <c r="K390" s="79">
        <f>J390*'GWPs &amp; Fuel EFs'!$D$11</f>
        <v>0</v>
      </c>
      <c r="L390" s="28"/>
      <c r="M390" s="79">
        <f>F390*'GWPs &amp; Fuel EFs'!$M$65</f>
        <v>0</v>
      </c>
      <c r="N390" s="79">
        <f>M390*'GWPs &amp; Fuel EFs'!$E$11</f>
        <v>0</v>
      </c>
      <c r="P390" s="33" t="s">
        <v>1242</v>
      </c>
      <c r="Q390" s="176">
        <f>GIS!AC173*GIS!$F40</f>
        <v>0</v>
      </c>
    </row>
    <row r="391" spans="1:17" ht="14.5">
      <c r="A391" s="220" t="s">
        <v>215</v>
      </c>
      <c r="B391" s="221">
        <f>K399</f>
        <v>345856.37879264168</v>
      </c>
      <c r="D391" s="80"/>
      <c r="E391" s="81"/>
      <c r="F391" s="79"/>
      <c r="G391" s="28"/>
      <c r="H391" s="82">
        <f>SUM(H388:H390)</f>
        <v>0</v>
      </c>
      <c r="I391" s="28"/>
      <c r="J391" s="79"/>
      <c r="K391" s="82">
        <f>SUM(K388:K390)</f>
        <v>0</v>
      </c>
      <c r="L391" s="28"/>
      <c r="M391" s="79"/>
      <c r="N391" s="82">
        <f>SUM(N388:N390)</f>
        <v>0</v>
      </c>
      <c r="P391" s="33" t="s">
        <v>1243</v>
      </c>
      <c r="Q391" s="176">
        <f>GIS!AC174*GIS!$F41</f>
        <v>0</v>
      </c>
    </row>
    <row r="392" spans="1:17" ht="14.5">
      <c r="A392" s="220" t="s">
        <v>216</v>
      </c>
      <c r="B392" s="221">
        <f>N399</f>
        <v>811638.45693163178</v>
      </c>
      <c r="E392" s="28"/>
      <c r="P392" s="33" t="s">
        <v>1244</v>
      </c>
      <c r="Q392" s="176">
        <f>GIS!AC175*GIS!$F42</f>
        <v>0</v>
      </c>
    </row>
    <row r="393" spans="1:17" ht="14.5">
      <c r="A393" s="220"/>
      <c r="B393" s="220"/>
      <c r="P393" s="37" t="s">
        <v>1245</v>
      </c>
      <c r="Q393" s="176">
        <f>GIS!AC176*GIS!$F43</f>
        <v>0</v>
      </c>
    </row>
    <row r="394" spans="1:17" ht="14.5">
      <c r="A394" s="222" t="s">
        <v>217</v>
      </c>
      <c r="B394" s="219">
        <f>H399</f>
        <v>225109270.54666063</v>
      </c>
      <c r="D394" s="65" t="s">
        <v>218</v>
      </c>
      <c r="E394" s="28"/>
      <c r="F394" s="79"/>
      <c r="G394" s="28"/>
      <c r="H394" s="82"/>
      <c r="I394" s="28"/>
      <c r="J394" s="79"/>
      <c r="K394" s="82"/>
      <c r="L394" s="28"/>
      <c r="M394" s="79"/>
      <c r="N394" s="82"/>
      <c r="P394" s="37" t="s">
        <v>1246</v>
      </c>
      <c r="Q394" s="176">
        <f>GIS!AC177*GIS!$F44</f>
        <v>0</v>
      </c>
    </row>
    <row r="395" spans="1:17" ht="14.5">
      <c r="A395" s="220"/>
      <c r="B395" s="223"/>
      <c r="D395" s="80" t="s">
        <v>382</v>
      </c>
      <c r="E395" s="93" t="s">
        <v>63</v>
      </c>
      <c r="F395" s="94">
        <f>Q396</f>
        <v>1928393.1310723166</v>
      </c>
      <c r="G395" s="28"/>
      <c r="H395" s="79">
        <f>F395*'GWPs &amp; Fuel EFs'!$N$20</f>
        <v>221369310.62295303</v>
      </c>
      <c r="I395" s="28"/>
      <c r="J395" s="79">
        <f>F395*'GWPs &amp; Fuel EFs'!$M$48</f>
        <v>13604.413174446892</v>
      </c>
      <c r="K395" s="79">
        <f>J395*'GWPs &amp; Fuel EFs'!$D$11</f>
        <v>340110.32936117233</v>
      </c>
      <c r="L395" s="28"/>
      <c r="M395" s="79">
        <f>F395*'GWPs &amp; Fuel EFs'!$M$76</f>
        <v>2678.3688437192318</v>
      </c>
      <c r="N395" s="79">
        <f>M395*'GWPs &amp; Fuel EFs'!$E$11</f>
        <v>798153.91542833112</v>
      </c>
      <c r="P395" s="33" t="s">
        <v>1247</v>
      </c>
      <c r="Q395" s="176">
        <f>GIS!AC178*GIS!$F45</f>
        <v>0</v>
      </c>
    </row>
    <row r="396" spans="1:17" ht="14.5">
      <c r="A396" s="220"/>
      <c r="B396" s="220"/>
      <c r="D396" s="80" t="s">
        <v>385</v>
      </c>
      <c r="E396" s="93" t="s">
        <v>16</v>
      </c>
      <c r="F396" s="94">
        <f>(Q397+Q402)*'GIS Heat Input'!F69</f>
        <v>0</v>
      </c>
      <c r="G396" s="28"/>
      <c r="H396" s="79">
        <f>F396*'GWPs &amp; Fuel EFs'!$N$21</f>
        <v>0</v>
      </c>
      <c r="I396" s="28"/>
      <c r="J396" s="79">
        <f>F396*'GWPs &amp; Fuel EFs'!$M$49</f>
        <v>0</v>
      </c>
      <c r="K396" s="79">
        <f>J396*'GWPs &amp; Fuel EFs'!$D$11</f>
        <v>0</v>
      </c>
      <c r="L396" s="28"/>
      <c r="M396" s="79">
        <f>F396*'GWPs &amp; Fuel EFs'!$M$77</f>
        <v>0</v>
      </c>
      <c r="N396" s="79">
        <f>M396*'GWPs &amp; Fuel EFs'!$E$11</f>
        <v>0</v>
      </c>
      <c r="P396" s="33" t="s">
        <v>1248</v>
      </c>
      <c r="Q396" s="176">
        <f>GIS!AC179*GIS!$F46</f>
        <v>1928393.1310723166</v>
      </c>
    </row>
    <row r="397" spans="1:17" ht="14.5">
      <c r="A397" s="220"/>
      <c r="B397" s="220"/>
      <c r="D397" s="80" t="s">
        <v>390</v>
      </c>
      <c r="E397" s="93" t="s">
        <v>69</v>
      </c>
      <c r="F397" s="94">
        <f>Q387+Q404</f>
        <v>0</v>
      </c>
      <c r="G397" s="28"/>
      <c r="H397" s="79">
        <f>F397*'GWPs &amp; Fuel EFs'!$N$23</f>
        <v>0</v>
      </c>
      <c r="I397" s="28"/>
      <c r="J397" s="79">
        <f>F397*'GWPs &amp; Fuel EFs'!$M$51</f>
        <v>0</v>
      </c>
      <c r="K397" s="79">
        <f>J397*'GWPs &amp; Fuel EFs'!$D$11</f>
        <v>0</v>
      </c>
      <c r="L397" s="28"/>
      <c r="M397" s="79">
        <f>F397*'GWPs &amp; Fuel EFs'!$M$79</f>
        <v>0</v>
      </c>
      <c r="N397" s="79">
        <f>M397*'GWPs &amp; Fuel EFs'!$E$11</f>
        <v>0</v>
      </c>
      <c r="P397" s="33" t="s">
        <v>1249</v>
      </c>
      <c r="Q397" s="176">
        <f>GIS!AC180*GIS!$F47</f>
        <v>0</v>
      </c>
    </row>
    <row r="398" spans="1:17" ht="14.5">
      <c r="A398" s="220"/>
      <c r="B398" s="220"/>
      <c r="D398" s="80" t="s">
        <v>2239</v>
      </c>
      <c r="E398" s="93" t="s">
        <v>68</v>
      </c>
      <c r="F398" s="94">
        <f>Q386+Q390</f>
        <v>32579.552274287613</v>
      </c>
      <c r="G398" s="28"/>
      <c r="H398" s="79">
        <f>F398*'GWPs &amp; Fuel EFs'!$N$27</f>
        <v>3739959.9237076151</v>
      </c>
      <c r="I398" s="28"/>
      <c r="J398" s="79">
        <f>F398*'GWPs &amp; Fuel EFs'!$M$55</f>
        <v>229.84197725877414</v>
      </c>
      <c r="K398" s="79">
        <f>J398*'GWPs &amp; Fuel EFs'!$D$11</f>
        <v>5746.0494314693533</v>
      </c>
      <c r="L398" s="28"/>
      <c r="M398" s="79">
        <f>F398*'GWPs &amp; Fuel EFs'!$M$83</f>
        <v>45.250139272821151</v>
      </c>
      <c r="N398" s="79">
        <f>M398*'GWPs &amp; Fuel EFs'!$E$11</f>
        <v>13484.541503300703</v>
      </c>
      <c r="P398" s="33" t="s">
        <v>1250</v>
      </c>
      <c r="Q398" s="176">
        <f>GIS!AC181*GIS!$F48</f>
        <v>0</v>
      </c>
    </row>
    <row r="399" spans="1:17" ht="14.5">
      <c r="A399" s="220"/>
      <c r="B399" s="223"/>
      <c r="D399" s="28"/>
      <c r="E399" s="28"/>
      <c r="F399" s="79"/>
      <c r="G399" s="28"/>
      <c r="H399" s="82">
        <f>SUM(H395:H398)</f>
        <v>225109270.54666063</v>
      </c>
      <c r="I399" s="28"/>
      <c r="J399" s="28"/>
      <c r="K399" s="82">
        <f>SUM(K395:K398)</f>
        <v>345856.37879264168</v>
      </c>
      <c r="L399" s="28"/>
      <c r="M399" s="28"/>
      <c r="N399" s="82">
        <f>SUM(N395:N398)</f>
        <v>811638.45693163178</v>
      </c>
      <c r="P399" s="33" t="s">
        <v>1251</v>
      </c>
      <c r="Q399" s="176">
        <f>GIS!AC182*GIS!$F49</f>
        <v>0</v>
      </c>
    </row>
    <row r="400" spans="1:17" ht="14.5">
      <c r="A400" s="220"/>
      <c r="B400" s="220"/>
      <c r="P400" s="33" t="s">
        <v>1252</v>
      </c>
      <c r="Q400" s="176">
        <f>GIS!AC183*GIS!$F50</f>
        <v>0</v>
      </c>
    </row>
    <row r="401" spans="1:17" ht="14.5">
      <c r="A401" s="220"/>
      <c r="B401" s="220"/>
      <c r="P401" s="42" t="s">
        <v>1253</v>
      </c>
      <c r="Q401" s="176">
        <f>GIS!AC184*GIS!$F51</f>
        <v>0</v>
      </c>
    </row>
    <row r="402" spans="1:17" ht="14.5">
      <c r="A402" s="220"/>
      <c r="B402" s="220"/>
      <c r="P402" s="33" t="s">
        <v>1254</v>
      </c>
      <c r="Q402" s="176">
        <f>GIS!AC185*GIS!$F52</f>
        <v>0</v>
      </c>
    </row>
    <row r="403" spans="1:17" ht="14.5">
      <c r="A403" s="220"/>
      <c r="B403" s="220"/>
      <c r="D403" s="28"/>
      <c r="E403" s="28"/>
      <c r="F403" s="28"/>
      <c r="G403" s="28"/>
      <c r="H403" s="28"/>
      <c r="I403" s="28"/>
      <c r="J403" s="28"/>
      <c r="K403" s="28"/>
      <c r="L403" s="28"/>
      <c r="M403" s="28"/>
      <c r="N403" s="28"/>
      <c r="P403" s="33" t="s">
        <v>1255</v>
      </c>
      <c r="Q403" s="176">
        <f>GIS!AC186*GIS!$F53</f>
        <v>0</v>
      </c>
    </row>
    <row r="404" spans="1:17" ht="14.5">
      <c r="A404" s="220"/>
      <c r="B404" s="220"/>
      <c r="P404" s="33" t="s">
        <v>1256</v>
      </c>
      <c r="Q404" s="176">
        <f>GIS!AC187*GIS!$F54</f>
        <v>0</v>
      </c>
    </row>
    <row r="406" spans="1:17">
      <c r="A406" s="173"/>
      <c r="B406" s="173"/>
      <c r="C406" s="173"/>
      <c r="D406" s="173"/>
      <c r="E406" s="173"/>
      <c r="F406" s="173"/>
      <c r="G406" s="173"/>
      <c r="H406" s="173"/>
      <c r="I406" s="173"/>
      <c r="J406" s="173"/>
      <c r="K406" s="173"/>
      <c r="L406" s="173"/>
      <c r="M406" s="173"/>
      <c r="N406" s="173"/>
      <c r="O406" s="173"/>
      <c r="P406" s="173"/>
      <c r="Q406" s="173"/>
    </row>
    <row r="407" spans="1:17" ht="13">
      <c r="P407" s="177" t="s">
        <v>2517</v>
      </c>
    </row>
    <row r="408" spans="1:17" ht="13">
      <c r="A408" s="214" t="s">
        <v>2499</v>
      </c>
      <c r="B408" s="214"/>
      <c r="D408" s="76" t="s">
        <v>221</v>
      </c>
      <c r="E408" s="76"/>
      <c r="F408" s="76"/>
      <c r="G408" s="28"/>
      <c r="H408" s="76" t="s">
        <v>221</v>
      </c>
      <c r="I408" s="28"/>
      <c r="J408" s="76" t="s">
        <v>221</v>
      </c>
      <c r="K408" s="76"/>
      <c r="L408" s="28"/>
      <c r="M408" s="76" t="s">
        <v>221</v>
      </c>
      <c r="N408" s="76"/>
      <c r="P408" s="798" t="s">
        <v>2497</v>
      </c>
      <c r="Q408" s="799" t="s">
        <v>1346</v>
      </c>
    </row>
    <row r="409" spans="1:17" ht="13">
      <c r="A409" s="215">
        <f>A313</f>
        <v>2022</v>
      </c>
      <c r="B409" s="215"/>
      <c r="D409" s="76" t="s">
        <v>204</v>
      </c>
      <c r="E409" s="76"/>
      <c r="F409" s="76"/>
      <c r="G409" s="28"/>
      <c r="H409" s="76" t="s">
        <v>205</v>
      </c>
      <c r="I409" s="28"/>
      <c r="J409" s="76" t="s">
        <v>206</v>
      </c>
      <c r="K409" s="76"/>
      <c r="L409" s="28"/>
      <c r="M409" s="76" t="s">
        <v>207</v>
      </c>
      <c r="N409" s="76"/>
      <c r="P409" s="798"/>
      <c r="Q409" s="799" t="s">
        <v>1271</v>
      </c>
    </row>
    <row r="410" spans="1:17" ht="35.5">
      <c r="A410" s="216"/>
      <c r="B410" s="217" t="s">
        <v>327</v>
      </c>
      <c r="C410" s="12"/>
      <c r="D410" s="78" t="s">
        <v>208</v>
      </c>
      <c r="E410" s="78" t="s">
        <v>209</v>
      </c>
      <c r="F410" s="78" t="str">
        <f>F314</f>
        <v>Heat Input from GIS certificates (MMBtu)</v>
      </c>
      <c r="G410" s="28"/>
      <c r="H410" s="65" t="s">
        <v>325</v>
      </c>
      <c r="I410" s="77"/>
      <c r="J410" s="65" t="s">
        <v>326</v>
      </c>
      <c r="K410" s="65" t="s">
        <v>327</v>
      </c>
      <c r="L410" s="77"/>
      <c r="M410" s="65" t="s">
        <v>328</v>
      </c>
      <c r="N410" s="65" t="s">
        <v>327</v>
      </c>
      <c r="P410" s="97" t="s">
        <v>2238</v>
      </c>
      <c r="Q410" s="176">
        <f>GIS!AF194*GIS!$G36</f>
        <v>0</v>
      </c>
    </row>
    <row r="411" spans="1:17" ht="14.5">
      <c r="A411" s="218" t="s">
        <v>211</v>
      </c>
      <c r="B411" s="219">
        <f>SUM(B412:B416)+F415+F416</f>
        <v>42735.537922072501</v>
      </c>
      <c r="D411" s="65" t="s">
        <v>212</v>
      </c>
      <c r="E411" s="65"/>
      <c r="F411" s="65"/>
      <c r="G411" s="28"/>
      <c r="H411" s="28"/>
      <c r="I411" s="28"/>
      <c r="J411" s="77"/>
      <c r="K411" s="77"/>
      <c r="L411" s="28"/>
      <c r="M411" s="77"/>
      <c r="N411" s="77"/>
      <c r="P411" s="33" t="s">
        <v>1239</v>
      </c>
      <c r="Q411" s="176">
        <f>GIS!AF195*GIS!$G37</f>
        <v>0</v>
      </c>
    </row>
    <row r="412" spans="1:17" ht="14.5">
      <c r="A412" s="220" t="s">
        <v>1377</v>
      </c>
      <c r="B412" s="221">
        <f>H416</f>
        <v>0</v>
      </c>
      <c r="D412" s="80" t="s">
        <v>2482</v>
      </c>
      <c r="E412" s="93" t="s">
        <v>46</v>
      </c>
      <c r="F412" s="94">
        <f>Q413+Q424</f>
        <v>0</v>
      </c>
      <c r="G412" s="28"/>
      <c r="H412" s="79">
        <f>F412*'GWPs &amp; Fuel EFs'!$N$7</f>
        <v>0</v>
      </c>
      <c r="I412" s="28"/>
      <c r="J412" s="79">
        <f>F412*'GWPs &amp; Fuel EFs'!$M$35</f>
        <v>0</v>
      </c>
      <c r="K412" s="79">
        <f>J412*'GWPs &amp; Fuel EFs'!$D$11</f>
        <v>0</v>
      </c>
      <c r="L412" s="28"/>
      <c r="M412" s="79">
        <f>F412*'GWPs &amp; Fuel EFs'!$M$63</f>
        <v>0</v>
      </c>
      <c r="N412" s="79">
        <f>M412*'GWPs &amp; Fuel EFs'!$E$11</f>
        <v>0</v>
      </c>
      <c r="P412" s="33" t="s">
        <v>1240</v>
      </c>
      <c r="Q412" s="176">
        <f>GIS!AF196*GIS!$G38</f>
        <v>0</v>
      </c>
    </row>
    <row r="413" spans="1:17" ht="14.5">
      <c r="A413" s="220" t="s">
        <v>213</v>
      </c>
      <c r="B413" s="221">
        <f>K416</f>
        <v>0</v>
      </c>
      <c r="D413" s="80" t="s">
        <v>374</v>
      </c>
      <c r="E413" s="93" t="s">
        <v>39</v>
      </c>
      <c r="F413" s="94">
        <f>Q422</f>
        <v>0</v>
      </c>
      <c r="G413" s="28"/>
      <c r="H413" s="79">
        <f>F413*'GWPs &amp; Fuel EFs'!$N$8</f>
        <v>0</v>
      </c>
      <c r="I413" s="28"/>
      <c r="J413" s="79">
        <f>F413*'GWPs &amp; Fuel EFs'!$M$36</f>
        <v>0</v>
      </c>
      <c r="K413" s="79">
        <f>J413*'GWPs &amp; Fuel EFs'!$D$11</f>
        <v>0</v>
      </c>
      <c r="L413" s="28"/>
      <c r="M413" s="79">
        <f>F413*'GWPs &amp; Fuel EFs'!$M$64</f>
        <v>0</v>
      </c>
      <c r="N413" s="79">
        <f>M413*'GWPs &amp; Fuel EFs'!$E$11</f>
        <v>0</v>
      </c>
      <c r="P413" s="33" t="s">
        <v>1241</v>
      </c>
      <c r="Q413" s="176">
        <f>GIS!AF197*GIS!$G39</f>
        <v>0</v>
      </c>
    </row>
    <row r="414" spans="1:17" ht="14.5">
      <c r="A414" s="220" t="s">
        <v>214</v>
      </c>
      <c r="B414" s="221">
        <f>N416</f>
        <v>0</v>
      </c>
      <c r="D414" s="80" t="s">
        <v>388</v>
      </c>
      <c r="E414" s="93" t="s">
        <v>17</v>
      </c>
      <c r="F414" s="94">
        <f>(Q421+Q426)*'GIS Heat Input'!F78</f>
        <v>0</v>
      </c>
      <c r="G414" s="28"/>
      <c r="H414" s="79">
        <f>F414*'GWPs &amp; Fuel EFs'!$N$9</f>
        <v>0</v>
      </c>
      <c r="I414" s="28"/>
      <c r="J414" s="79">
        <f>F414*'GWPs &amp; Fuel EFs'!$M$37</f>
        <v>0</v>
      </c>
      <c r="K414" s="79">
        <f>J414*'GWPs &amp; Fuel EFs'!$D$11</f>
        <v>0</v>
      </c>
      <c r="L414" s="28"/>
      <c r="M414" s="79">
        <f>F414*'GWPs &amp; Fuel EFs'!$M$65</f>
        <v>0</v>
      </c>
      <c r="N414" s="79">
        <f>M414*'GWPs &amp; Fuel EFs'!$E$11</f>
        <v>0</v>
      </c>
      <c r="P414" s="33" t="s">
        <v>1242</v>
      </c>
      <c r="Q414" s="176">
        <f>GIS!AF198*GIS!$G40</f>
        <v>72400.515222056521</v>
      </c>
    </row>
    <row r="415" spans="1:17" ht="14.5">
      <c r="A415" s="220" t="s">
        <v>215</v>
      </c>
      <c r="B415" s="221">
        <f>K423</f>
        <v>12769.26508465601</v>
      </c>
      <c r="D415" s="80"/>
      <c r="E415" s="81"/>
      <c r="F415" s="79"/>
      <c r="G415" s="28"/>
      <c r="H415" s="82">
        <f>SUM(H412:H414)</f>
        <v>0</v>
      </c>
      <c r="I415" s="28"/>
      <c r="J415" s="79"/>
      <c r="K415" s="82">
        <f>SUM(K411:K414)</f>
        <v>0</v>
      </c>
      <c r="L415" s="28"/>
      <c r="M415" s="79"/>
      <c r="N415" s="82">
        <f>SUM(N411:N414)</f>
        <v>0</v>
      </c>
      <c r="P415" s="33" t="s">
        <v>1243</v>
      </c>
      <c r="Q415" s="176">
        <f>GIS!AF199*GIS!$G41</f>
        <v>0</v>
      </c>
    </row>
    <row r="416" spans="1:17" ht="14.5">
      <c r="A416" s="220" t="s">
        <v>216</v>
      </c>
      <c r="B416" s="221">
        <f>N423</f>
        <v>29966.272837416491</v>
      </c>
      <c r="E416" s="28"/>
      <c r="G416" s="28"/>
      <c r="H416" s="82"/>
      <c r="I416" s="28"/>
      <c r="J416" s="79"/>
      <c r="K416" s="82"/>
      <c r="L416" s="28"/>
      <c r="M416" s="79"/>
      <c r="N416" s="82"/>
      <c r="P416" s="33" t="s">
        <v>1244</v>
      </c>
      <c r="Q416" s="176">
        <f>GIS!AF200*GIS!$G42</f>
        <v>0</v>
      </c>
    </row>
    <row r="417" spans="1:17" ht="14.5">
      <c r="A417" s="220"/>
      <c r="B417" s="220"/>
      <c r="P417" s="37" t="s">
        <v>1245</v>
      </c>
      <c r="Q417" s="176">
        <f>GIS!AF201*GIS!$G43</f>
        <v>0</v>
      </c>
    </row>
    <row r="418" spans="1:17" ht="14.5">
      <c r="A418" s="222" t="s">
        <v>217</v>
      </c>
      <c r="B418" s="219">
        <f>H423</f>
        <v>8311195.4119754806</v>
      </c>
      <c r="D418" s="65" t="s">
        <v>218</v>
      </c>
      <c r="E418" s="28"/>
      <c r="F418" s="79"/>
      <c r="G418" s="28"/>
      <c r="H418" s="82"/>
      <c r="I418" s="28"/>
      <c r="J418" s="79"/>
      <c r="K418" s="82"/>
      <c r="L418" s="28"/>
      <c r="M418" s="79"/>
      <c r="N418" s="82"/>
      <c r="P418" s="37" t="s">
        <v>1246</v>
      </c>
      <c r="Q418" s="176">
        <f>GIS!AF202*GIS!$G44</f>
        <v>0</v>
      </c>
    </row>
    <row r="419" spans="1:17" ht="14.5">
      <c r="A419" s="220"/>
      <c r="B419" s="223"/>
      <c r="D419" s="80" t="s">
        <v>382</v>
      </c>
      <c r="E419" s="93" t="s">
        <v>63</v>
      </c>
      <c r="F419" s="94">
        <f>Q420</f>
        <v>0</v>
      </c>
      <c r="G419" s="28"/>
      <c r="H419" s="79">
        <f>F419*'GWPs &amp; Fuel EFs'!$N$20</f>
        <v>0</v>
      </c>
      <c r="I419" s="28"/>
      <c r="J419" s="79">
        <f>F419*'GWPs &amp; Fuel EFs'!$M$48</f>
        <v>0</v>
      </c>
      <c r="K419" s="79">
        <f>J419*'GWPs &amp; Fuel EFs'!$D$11</f>
        <v>0</v>
      </c>
      <c r="L419" s="28"/>
      <c r="M419" s="79">
        <f>F419*'GWPs &amp; Fuel EFs'!$M$76</f>
        <v>0</v>
      </c>
      <c r="N419" s="79">
        <f>M419*'GWPs &amp; Fuel EFs'!$E$11</f>
        <v>0</v>
      </c>
      <c r="P419" s="33" t="s">
        <v>1247</v>
      </c>
      <c r="Q419" s="176">
        <f>GIS!AF203*GIS!$G45</f>
        <v>0</v>
      </c>
    </row>
    <row r="420" spans="1:17" ht="14.5">
      <c r="A420" s="220"/>
      <c r="B420" s="220"/>
      <c r="D420" s="80" t="s">
        <v>385</v>
      </c>
      <c r="E420" s="93" t="s">
        <v>16</v>
      </c>
      <c r="F420" s="94">
        <f>(Q421+Q426)*'GIS Heat Input'!F81</f>
        <v>0</v>
      </c>
      <c r="G420" s="28"/>
      <c r="H420" s="79">
        <f>F420*'GWPs &amp; Fuel EFs'!$N$21</f>
        <v>0</v>
      </c>
      <c r="I420" s="28"/>
      <c r="J420" s="79">
        <f>F420*'GWPs &amp; Fuel EFs'!$M$49</f>
        <v>0</v>
      </c>
      <c r="K420" s="79">
        <f>J420*'GWPs &amp; Fuel EFs'!$D$11</f>
        <v>0</v>
      </c>
      <c r="L420" s="28"/>
      <c r="M420" s="79">
        <f>F420*'GWPs &amp; Fuel EFs'!$M$77</f>
        <v>0</v>
      </c>
      <c r="N420" s="79">
        <f>M420*'GWPs &amp; Fuel EFs'!$E$11</f>
        <v>0</v>
      </c>
      <c r="P420" s="33" t="s">
        <v>1248</v>
      </c>
      <c r="Q420" s="176">
        <f>GIS!AF204*GIS!$G46</f>
        <v>0</v>
      </c>
    </row>
    <row r="421" spans="1:17" ht="14.5">
      <c r="A421" s="220"/>
      <c r="B421" s="220"/>
      <c r="D421" s="80" t="s">
        <v>390</v>
      </c>
      <c r="E421" s="93" t="s">
        <v>69</v>
      </c>
      <c r="F421" s="94">
        <f>Q411+Q428</f>
        <v>0</v>
      </c>
      <c r="G421" s="28"/>
      <c r="H421" s="79">
        <f>F421*'GWPs &amp; Fuel EFs'!$N$23</f>
        <v>0</v>
      </c>
      <c r="I421" s="28"/>
      <c r="J421" s="79">
        <f>F421*'GWPs &amp; Fuel EFs'!$M$51</f>
        <v>0</v>
      </c>
      <c r="K421" s="79">
        <f>J421*'GWPs &amp; Fuel EFs'!$D$11</f>
        <v>0</v>
      </c>
      <c r="L421" s="28"/>
      <c r="M421" s="79">
        <f>F421*'GWPs &amp; Fuel EFs'!$M$79</f>
        <v>0</v>
      </c>
      <c r="N421" s="79">
        <f>M421*'GWPs &amp; Fuel EFs'!$E$11</f>
        <v>0</v>
      </c>
      <c r="P421" s="33" t="s">
        <v>1249</v>
      </c>
      <c r="Q421" s="176">
        <f>GIS!AF205*GIS!$G47</f>
        <v>0</v>
      </c>
    </row>
    <row r="422" spans="1:17" ht="14.5">
      <c r="A422" s="220"/>
      <c r="B422" s="221"/>
      <c r="D422" s="80" t="s">
        <v>2239</v>
      </c>
      <c r="E422" s="93" t="s">
        <v>68</v>
      </c>
      <c r="F422" s="94">
        <f>Q410+Q414</f>
        <v>72400.515222056521</v>
      </c>
      <c r="G422" s="28"/>
      <c r="H422" s="79">
        <f>F422*'GWPs &amp; Fuel EFs'!$N$27</f>
        <v>8311195.4119754806</v>
      </c>
      <c r="I422" s="28"/>
      <c r="J422" s="79">
        <f>F422*'GWPs &amp; Fuel EFs'!$M$55</f>
        <v>510.7706033862404</v>
      </c>
      <c r="K422" s="79">
        <f>J422*'GWPs &amp; Fuel EFs'!$D$11</f>
        <v>12769.26508465601</v>
      </c>
      <c r="L422" s="28"/>
      <c r="M422" s="79">
        <f>F422*'GWPs &amp; Fuel EFs'!$M$83</f>
        <v>100.55796254166607</v>
      </c>
      <c r="N422" s="79">
        <f>M422*'GWPs &amp; Fuel EFs'!$E$11</f>
        <v>29966.272837416491</v>
      </c>
      <c r="O422" s="12"/>
      <c r="P422" s="33" t="s">
        <v>1250</v>
      </c>
      <c r="Q422" s="176">
        <f>GIS!AF206*GIS!$G48</f>
        <v>0</v>
      </c>
    </row>
    <row r="423" spans="1:17" ht="14.5">
      <c r="A423" s="220"/>
      <c r="B423" s="221"/>
      <c r="D423" s="80"/>
      <c r="E423" s="81"/>
      <c r="F423" s="79"/>
      <c r="G423" s="28"/>
      <c r="H423" s="82">
        <f>SUM(H419:H422)</f>
        <v>8311195.4119754806</v>
      </c>
      <c r="I423" s="28"/>
      <c r="J423" s="79"/>
      <c r="K423" s="82">
        <f>SUM(K419:K422)</f>
        <v>12769.26508465601</v>
      </c>
      <c r="L423" s="28"/>
      <c r="M423" s="79"/>
      <c r="N423" s="82">
        <f>SUM(N419:N422)</f>
        <v>29966.272837416491</v>
      </c>
      <c r="P423" s="33" t="s">
        <v>1251</v>
      </c>
      <c r="Q423" s="176">
        <f>GIS!AF207*GIS!$G49</f>
        <v>0</v>
      </c>
    </row>
    <row r="424" spans="1:17" ht="14.5">
      <c r="A424" s="220"/>
      <c r="B424" s="221"/>
      <c r="D424" s="80"/>
      <c r="E424" s="81"/>
      <c r="F424" s="79"/>
      <c r="G424" s="28"/>
      <c r="H424" s="79"/>
      <c r="I424" s="28"/>
      <c r="J424" s="79"/>
      <c r="K424" s="79"/>
      <c r="L424" s="28"/>
      <c r="M424" s="79"/>
      <c r="N424" s="79"/>
      <c r="P424" s="33" t="s">
        <v>1252</v>
      </c>
      <c r="Q424" s="176">
        <f>GIS!AF208*GIS!$G50</f>
        <v>0</v>
      </c>
    </row>
    <row r="425" spans="1:17" ht="14.5">
      <c r="A425" s="220"/>
      <c r="B425" s="221"/>
      <c r="D425" s="28"/>
      <c r="E425" s="28"/>
      <c r="F425" s="28"/>
      <c r="G425" s="28"/>
      <c r="P425" s="42" t="s">
        <v>1253</v>
      </c>
      <c r="Q425" s="176">
        <f>GIS!AF209*GIS!$G51</f>
        <v>0</v>
      </c>
    </row>
    <row r="426" spans="1:17" ht="14.5">
      <c r="A426" s="220"/>
      <c r="B426" s="220"/>
      <c r="P426" s="33" t="s">
        <v>1254</v>
      </c>
      <c r="Q426" s="176">
        <f>GIS!AF210*GIS!$G52</f>
        <v>0</v>
      </c>
    </row>
    <row r="427" spans="1:17" ht="14.5">
      <c r="A427" s="220"/>
      <c r="B427" s="220"/>
      <c r="P427" s="33" t="s">
        <v>1255</v>
      </c>
      <c r="Q427" s="176">
        <f>GIS!AF211*GIS!$G53</f>
        <v>0</v>
      </c>
    </row>
    <row r="428" spans="1:17" ht="14.5">
      <c r="A428" s="220"/>
      <c r="B428" s="220"/>
      <c r="P428" s="33" t="s">
        <v>1256</v>
      </c>
      <c r="Q428" s="176">
        <f>GIS!AF212*GIS!$G54</f>
        <v>0</v>
      </c>
    </row>
    <row r="429" spans="1:17">
      <c r="A429" s="251"/>
      <c r="B429" s="251"/>
      <c r="C429" s="251"/>
      <c r="D429" s="251"/>
      <c r="E429" s="251"/>
      <c r="F429" s="251"/>
      <c r="G429" s="251"/>
      <c r="H429" s="251"/>
      <c r="I429" s="251"/>
      <c r="J429" s="251"/>
      <c r="K429" s="251"/>
      <c r="L429" s="251"/>
      <c r="M429" s="251"/>
      <c r="N429" s="251"/>
      <c r="O429" s="251"/>
      <c r="P429" s="251"/>
      <c r="Q429" s="251"/>
    </row>
  </sheetData>
  <mergeCells count="82">
    <mergeCell ref="Q288:Q289"/>
    <mergeCell ref="P288:P289"/>
    <mergeCell ref="Q312:Q313"/>
    <mergeCell ref="Q336:Q337"/>
    <mergeCell ref="P312:P313"/>
    <mergeCell ref="P336:P337"/>
    <mergeCell ref="P384:P385"/>
    <mergeCell ref="P408:P409"/>
    <mergeCell ref="P360:P361"/>
    <mergeCell ref="Q360:Q361"/>
    <mergeCell ref="Q408:Q409"/>
    <mergeCell ref="Q384:Q385"/>
    <mergeCell ref="A15:B15"/>
    <mergeCell ref="H15:I15"/>
    <mergeCell ref="D15:F15"/>
    <mergeCell ref="M32:N32"/>
    <mergeCell ref="A126:B126"/>
    <mergeCell ref="A108:B108"/>
    <mergeCell ref="A125:B125"/>
    <mergeCell ref="A71:B71"/>
    <mergeCell ref="J71:K71"/>
    <mergeCell ref="D71:F71"/>
    <mergeCell ref="A70:B70"/>
    <mergeCell ref="M71:N71"/>
    <mergeCell ref="A89:B89"/>
    <mergeCell ref="J89:K89"/>
    <mergeCell ref="D89:F89"/>
    <mergeCell ref="A88:B88"/>
    <mergeCell ref="H14:I14"/>
    <mergeCell ref="J14:K14"/>
    <mergeCell ref="D14:F14"/>
    <mergeCell ref="D145:F145"/>
    <mergeCell ref="J145:K145"/>
    <mergeCell ref="J15:K15"/>
    <mergeCell ref="J126:K126"/>
    <mergeCell ref="D126:F126"/>
    <mergeCell ref="D32:F32"/>
    <mergeCell ref="D33:F33"/>
    <mergeCell ref="J108:K108"/>
    <mergeCell ref="D125:F125"/>
    <mergeCell ref="J125:K125"/>
    <mergeCell ref="D108:F108"/>
    <mergeCell ref="J70:K70"/>
    <mergeCell ref="J88:K88"/>
    <mergeCell ref="M14:N14"/>
    <mergeCell ref="M15:N15"/>
    <mergeCell ref="A51:B51"/>
    <mergeCell ref="J51:K51"/>
    <mergeCell ref="D51:F51"/>
    <mergeCell ref="M33:N33"/>
    <mergeCell ref="J50:K50"/>
    <mergeCell ref="M50:N50"/>
    <mergeCell ref="M51:N51"/>
    <mergeCell ref="A14:B14"/>
    <mergeCell ref="A32:B32"/>
    <mergeCell ref="J32:K32"/>
    <mergeCell ref="A33:B33"/>
    <mergeCell ref="A50:B50"/>
    <mergeCell ref="J33:K33"/>
    <mergeCell ref="D50:F50"/>
    <mergeCell ref="M70:N70"/>
    <mergeCell ref="D88:F88"/>
    <mergeCell ref="M88:N88"/>
    <mergeCell ref="A107:B107"/>
    <mergeCell ref="D107:F107"/>
    <mergeCell ref="D70:F70"/>
    <mergeCell ref="A157:B157"/>
    <mergeCell ref="D157:F157"/>
    <mergeCell ref="A158:B158"/>
    <mergeCell ref="D158:F158"/>
    <mergeCell ref="M89:N89"/>
    <mergeCell ref="M107:N107"/>
    <mergeCell ref="M108:N108"/>
    <mergeCell ref="A146:B146"/>
    <mergeCell ref="D146:F146"/>
    <mergeCell ref="A145:B145"/>
    <mergeCell ref="J107:K107"/>
    <mergeCell ref="M125:N125"/>
    <mergeCell ref="M126:N126"/>
    <mergeCell ref="M145:N145"/>
    <mergeCell ref="J146:K146"/>
    <mergeCell ref="M146:N146"/>
  </mergeCells>
  <phoneticPr fontId="8" type="noConversion"/>
  <pageMargins left="0" right="0" top="0.75" bottom="1" header="0.5" footer="0.5"/>
  <pageSetup scale="44" fitToHeight="0" orientation="landscape" r:id="rId1"/>
  <headerFooter alignWithMargins="0">
    <oddFooter>&amp;R&amp;A Page &amp;P of &amp;N</oddFooter>
  </headerFooter>
  <rowBreaks count="5" manualBreakCount="5">
    <brk id="69" max="16383" man="1"/>
    <brk id="144" max="16383" man="1"/>
    <brk id="207" max="16383" man="1"/>
    <brk id="279" max="16383" man="1"/>
    <brk id="334"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6" tint="0.39997558519241921"/>
    <pageSetUpPr fitToPage="1"/>
  </sheetPr>
  <dimension ref="A1:H119"/>
  <sheetViews>
    <sheetView zoomScaleNormal="100" workbookViewId="0"/>
  </sheetViews>
  <sheetFormatPr defaultColWidth="9.1796875" defaultRowHeight="12.5"/>
  <cols>
    <col min="1" max="1" width="52.1796875" style="20" customWidth="1"/>
    <col min="2" max="2" width="12.81640625" style="20" customWidth="1"/>
    <col min="3" max="3" width="13" style="20" customWidth="1"/>
    <col min="4" max="4" width="12" style="20" customWidth="1"/>
    <col min="5" max="5" width="14.54296875" style="20" customWidth="1"/>
    <col min="6" max="6" width="12" style="20" customWidth="1"/>
    <col min="7" max="7" width="11.54296875" style="20" customWidth="1"/>
    <col min="8" max="8" width="23.81640625" style="20" customWidth="1"/>
    <col min="9" max="16384" width="9.1796875" style="20"/>
  </cols>
  <sheetData>
    <row r="1" spans="1:8" ht="15.5">
      <c r="A1" s="103" t="s">
        <v>2593</v>
      </c>
    </row>
    <row r="2" spans="1:8">
      <c r="A2" s="20" t="s">
        <v>2659</v>
      </c>
    </row>
    <row r="3" spans="1:8">
      <c r="A3" s="20" t="s">
        <v>2490</v>
      </c>
    </row>
    <row r="5" spans="1:8">
      <c r="A5" s="20" t="s">
        <v>2588</v>
      </c>
    </row>
    <row r="6" spans="1:8">
      <c r="A6" s="655" t="s">
        <v>4001</v>
      </c>
    </row>
    <row r="7" spans="1:8">
      <c r="A7" s="20" t="s">
        <v>2674</v>
      </c>
    </row>
    <row r="8" spans="1:8">
      <c r="A8" s="655" t="s">
        <v>3976</v>
      </c>
    </row>
    <row r="10" spans="1:8">
      <c r="A10" s="20" t="s">
        <v>3013</v>
      </c>
    </row>
    <row r="11" spans="1:8">
      <c r="A11" s="20" t="s">
        <v>2673</v>
      </c>
    </row>
    <row r="12" spans="1:8" ht="13">
      <c r="G12" s="126"/>
    </row>
    <row r="13" spans="1:8" ht="13">
      <c r="A13" s="39" t="s">
        <v>2245</v>
      </c>
      <c r="G13" s="126"/>
    </row>
    <row r="14" spans="1:8" ht="39.75" customHeight="1">
      <c r="A14" s="139" t="s">
        <v>2246</v>
      </c>
      <c r="B14" s="161" t="s">
        <v>2502</v>
      </c>
      <c r="C14" s="161" t="s">
        <v>2504</v>
      </c>
      <c r="D14" s="161" t="s">
        <v>2503</v>
      </c>
      <c r="E14" s="161" t="s">
        <v>2505</v>
      </c>
      <c r="F14" s="161" t="s">
        <v>2480</v>
      </c>
      <c r="G14" s="749" t="s">
        <v>2510</v>
      </c>
      <c r="H14" s="174" t="s">
        <v>2507</v>
      </c>
    </row>
    <row r="15" spans="1:8" ht="13">
      <c r="A15" s="139" t="s">
        <v>2247</v>
      </c>
      <c r="B15" s="140"/>
      <c r="C15" s="140"/>
      <c r="D15" s="175"/>
      <c r="E15" s="175"/>
      <c r="F15" s="548"/>
      <c r="G15" s="175"/>
      <c r="H15" s="175"/>
    </row>
    <row r="16" spans="1:8">
      <c r="A16" s="141" t="s">
        <v>2482</v>
      </c>
      <c r="B16" s="175">
        <f t="array" ref="B16">SUM(VLOOKUP(GIS!A72,GIS!A69:M87,{4},FALSE)+VLOOKUP(GIS!A122,GIS!A119:M137,{4},FALSE)+VLOOKUP(GIS!A147,GIS!A144:M162,{4},FALSE)+VLOOKUP(GIS!A172,GIS!A169:M187,{4},FALSE)+VLOOKUP(GIS!A197,GIS!A194:M213,{4},FALSE)+VLOOKUP(GIS!A83,GIS!A69:M87,{4},FALSE)+VLOOKUP(GIS!A133,GIS!A119:M137,{4},FALSE)+VLOOKUP(GIS!A158,GIS!A144:M162,{4},FALSE)+VLOOKUP(GIS!A183,GIS!A169:M187,{4},FALSE)+VLOOKUP(GIS!A208,GIS!A194:M213,{4},FALSE))</f>
        <v>0</v>
      </c>
      <c r="C16" s="175">
        <f t="array" ref="C16">SUM(VLOOKUP(GIS!A222,GIS!A219:M238,{4},FALSE)+VLOOKUP(GIS!A248,GIS!A245:M264,{4},FALSE)+VLOOKUP(GIS!A274,GIS!A271:M289,{4},FALSE)+VLOOKUP(GIS!A233,GIS!A219:M238,{4},FALSE)+VLOOKUP(GIS!A259,GIS!A245:M264,{4},FALSE)+VLOOKUP(GIS!A285,GIS!A271:M289,{4},FALSE))</f>
        <v>0</v>
      </c>
      <c r="D16" s="175">
        <f t="array" ref="D16">SUM(VLOOKUP(GIS!A72,GIS!A69:M87,{5},FALSE)+VLOOKUP(GIS!A122,GIS!A119:M138,{5},FALSE)+VLOOKUP(GIS!A147,GIS!A144:M163,{5},FALSE)+VLOOKUP(GIS!A172,GIS!A169:N188,{5},FALSE)+VLOOKUP(GIS!A197,GIS!A194:M213,{5},FALSE)+VLOOKUP(GIS!A83,GIS!A69:M87,{5},FALSE)+VLOOKUP(GIS!A133,GIS!A119:M138,{5},FALSE)+VLOOKUP(GIS!A158,GIS!A144:M163,{5},FALSE)+VLOOKUP(GIS!A183,GIS!A169:M188,{5},FALSE)+VLOOKUP(GIS!A208,GIS!A194:M213,{5},FALSE))</f>
        <v>0</v>
      </c>
      <c r="E16" s="175">
        <f t="array" ref="E16">SUM(VLOOKUP(GIS!A97,GIS!A94:M112, {2,4,6,8,10,12}, FALSE)+VLOOKUP(GIS!A108,GIS!A94:M112, {2,4,6,8,10,12}, FALSE))</f>
        <v>4117.1469683095993</v>
      </c>
      <c r="F16" s="548"/>
      <c r="G16" s="175"/>
      <c r="H16" s="175">
        <f>B16+C16+D16-E16</f>
        <v>-4117.1469683095993</v>
      </c>
    </row>
    <row r="17" spans="1:8">
      <c r="A17" s="141" t="s">
        <v>374</v>
      </c>
      <c r="B17" s="175">
        <f t="array" ref="B17">SUM(VLOOKUP(GIS!A81,GIS!A69:M87,{4},FALSE)+VLOOKUP(GIS!A131,GIS!A119:M137,{4},FALSE)+VLOOKUP(GIS!A156,GIS!A144:M162,{4},FALSE)+VLOOKUP(GIS!A181,GIS!A169:M187,{4},FALSE)+VLOOKUP(GIS!A206,GIS!A194:M212,{4},FALSE))</f>
        <v>0</v>
      </c>
      <c r="C17" s="175">
        <f t="array" ref="C17">SUM(VLOOKUP(GIS!A231,GIS!A219:M237,{4},FALSE)+VLOOKUP(GIS!A257,GIS!A245:M263,{4},FALSE)+VLOOKUP(GIS!A283,GIS!A271:M289,{4},FALSE))</f>
        <v>0</v>
      </c>
      <c r="D17" s="175">
        <f t="array" ref="D17">SUM(VLOOKUP(GIS!A81,GIS!A69:M87,{5},FALSE)+VLOOKUP(GIS!A131,GIS!A119:M137,{5},FALSE)+VLOOKUP(GIS!A156,GIS!A144:M162,{5},FALSE)+VLOOKUP(GIS!A181,GIS!A169:N187,{5},FALSE)+VLOOKUP(GIS!A206,GIS!A194:M212,{5},FALSE))</f>
        <v>0</v>
      </c>
      <c r="E17" s="175">
        <f t="array" ref="E17">SUM(VLOOKUP(GIS!A106,GIS!A94:M112, {2,4,6,8,10,12}, FALSE))</f>
        <v>3619.3479364680629</v>
      </c>
      <c r="F17" s="548"/>
      <c r="G17" s="175"/>
      <c r="H17" s="175">
        <f>B17+C17+D17-E17</f>
        <v>-3619.3479364680629</v>
      </c>
    </row>
    <row r="18" spans="1:8">
      <c r="A18" s="141" t="s">
        <v>2477</v>
      </c>
      <c r="B18" s="175">
        <f t="array" ref="B18">SUM(VLOOKUP(GIS!A80,GIS!A69:M87,{4},FALSE)+VLOOKUP(GIS!A130,GIS!A119:M137,{4},FALSE)+VLOOKUP(GIS!A155,GIS!A144:M162,{4},FALSE)+VLOOKUP(GIS!A180,GIS!A169:M187,{4},FALSE)+VLOOKUP(GIS!A205,GIS!A194:M212,{4},FALSE)+VLOOKUP(GIS!A85,GIS!A69:M87,{4},FALSE)+VLOOKUP(GIS!A135,GIS!A119:M137,{4},FALSE)+VLOOKUP(GIS!A160,GIS!A144:M162,{4},FALSE)+VLOOKUP(GIS!A185,GIS!A169:M187,{4},FALSE)+VLOOKUP(GIS!A210,GIS!A194:M212,{4},FALSE))*F18</f>
        <v>75251.689914095725</v>
      </c>
      <c r="C18" s="175">
        <f t="array" ref="C18">SUM(VLOOKUP(GIS!A230,GIS!A219:M237,{4},FALSE)+VLOOKUP(GIS!A256,GIS!A245:M263,{4},FALSE)+VLOOKUP(GIS!A282,GIS!A271:M289,{4},FALSE)+VLOOKUP(GIS!A235,GIS!A219:M237,{4},FALSE)+VLOOKUP(GIS!A261,GIS!A245:M263,{4},FALSE)+VLOOKUP(GIS!A287,GIS!A271:M289,{4},FALSE))*F18</f>
        <v>0</v>
      </c>
      <c r="D18" s="175">
        <f t="array" ref="D18">SUM(VLOOKUP(GIS!A80,GIS!A71:M87,{5},FALSE)+VLOOKUP(GIS!A130,GIS!A119:M137,{5},FALSE)+VLOOKUP(GIS!A155,GIS!A144:M162,{5},FALSE)+VLOOKUP(GIS!A180,GIS!A169:N187,{5},FALSE)+VLOOKUP(GIS!A205,GIS!A194:M212,{5},FALSE)+VLOOKUP(GIS!A85,GIS!A69:M87,{5},FALSE)+VLOOKUP(GIS!A135,GIS!A119:M137,{5},FALSE)+VLOOKUP(GIS!A160,GIS!A144:M162,{5},FALSE)+VLOOKUP(GIS!A185,GIS!A169:M187,{5},FALSE)+VLOOKUP(GIS!A210,GIS!A194:M212,{5},FALSE))*F18</f>
        <v>0</v>
      </c>
      <c r="E18" s="175">
        <f t="array" ref="E18">SUM(VLOOKUP(GIS!A105,GIS!A94:M112, {2,4,6,8,10,12}, FALSE)+VLOOKUP(GIS!A110,GIS!A94:M112, {2,4,6,8,10,12},FALSE))*F18</f>
        <v>714097.28800433013</v>
      </c>
      <c r="F18" s="118">
        <f>MSNprcnt</f>
        <v>0.55000304119098931</v>
      </c>
      <c r="G18" s="175"/>
      <c r="H18" s="175">
        <f>B18+C18+D18-E18</f>
        <v>-638845.59809023445</v>
      </c>
    </row>
    <row r="19" spans="1:8" ht="13">
      <c r="A19" s="139" t="s">
        <v>2248</v>
      </c>
      <c r="B19" s="175"/>
      <c r="C19" s="175"/>
      <c r="D19" s="175"/>
      <c r="E19" s="175"/>
      <c r="F19" s="548"/>
      <c r="G19" s="175"/>
      <c r="H19" s="175"/>
    </row>
    <row r="20" spans="1:8">
      <c r="A20" s="141" t="s">
        <v>382</v>
      </c>
      <c r="B20" s="175">
        <f t="array" ref="B20">SUM(VLOOKUP(GIS!A79,GIS!A69:M87,{4},FALSE)+VLOOKUP(GIS!A129,GIS!A119:M137,{4},FALSE)+VLOOKUP(GIS!A154,GIS!A144:M162,{4},FALSE)+VLOOKUP(GIS!A179,GIS!A169:M187,{4},FALSE)+VLOOKUP(GIS!A204,GIS!A194:M212,{4},FALSE))</f>
        <v>1134018.9787703976</v>
      </c>
      <c r="C20" s="175">
        <f t="array" ref="C20">SUM(VLOOKUP(GIS!A229,GIS!A219:M237,{4},FALSE)+VLOOKUP(GIS!A255,GIS!A245:M263,{4},FALSE)+VLOOKUP(GIS!A281,GIS!A271:M289,{4},FALSE))</f>
        <v>1398273.5317786052</v>
      </c>
      <c r="D20" s="175">
        <f t="array" ref="D20">SUM(VLOOKUP(GIS!A79,GIS!A69:M87,{4,5},FALSE)+VLOOKUP(GIS!A129,GIS!A119:M137,{4,5},FALSE)+VLOOKUP(GIS!A154,GIS!A144:M162,{4,5},FALSE)+VLOOKUP(GIS!A179,GIS!A169:M187,{4,5},FALSE)+VLOOKUP(GIS!A204,GIS!A194:M212,{4,5},FALSE))</f>
        <v>1190073.4783081647</v>
      </c>
      <c r="E20" s="175">
        <f t="array" ref="E20">SUM(VLOOKUP(GIS!A104,GIS!A94:M112, {2,4,6,8,10,12}, FALSE))</f>
        <v>655663.88707368833</v>
      </c>
      <c r="F20" s="548"/>
      <c r="G20" s="175"/>
      <c r="H20" s="175">
        <f>B20+C20+D20-E20</f>
        <v>3066702.1017834796</v>
      </c>
    </row>
    <row r="21" spans="1:8">
      <c r="A21" s="141" t="s">
        <v>2478</v>
      </c>
      <c r="B21" s="175">
        <f t="array" ref="B21">SUM(VLOOKUP(GIS!A80,GIS!A69:M87,{4},FALSE)+VLOOKUP(GIS!A130,GIS!A119:M138,{4},FALSE)+VLOOKUP(GIS!A155,GIS!A144:M163,{4},FALSE)+VLOOKUP(GIS!A180,GIS!A169:M188,{4},FALSE)+VLOOKUP(GIS!A205,GIS!A194:M212,{4},FALSE)+VLOOKUP(GIS!A85,GIS!A69:M87,{4},FALSE)+VLOOKUP(GIS!A135,GIS!A119:M138,{4},FALSE)+VLOOKUP(GIS!A160,GIS!A144:M163,{4},FALSE)+VLOOKUP(GIS!A185,GIS!A169:M188,{4},FALSE)+VLOOKUP(GIS!A210,GIS!A194:M212,{4},FALSE))*F21</f>
        <v>61568.807934687022</v>
      </c>
      <c r="C21" s="175">
        <f t="array" ref="C21">SUM(VLOOKUP(GIS!A230,GIS!A219:M237,{4},FALSE)+VLOOKUP(GIS!A256,GIS!A245:M263,{4},FALSE)+VLOOKUP(GIS!A282,GIS!A271:M289,{4},FALSE)+VLOOKUP(GIS!A235,GIS!A219:M237,{4},FALSE)+VLOOKUP(GIS!A261,GIS!A245:M263,{4},FALSE)+VLOOKUP(GIS!A287,GIS!A271:M289,{4},FALSE))*F21</f>
        <v>0</v>
      </c>
      <c r="D21" s="175">
        <f t="array" ref="D21">SUM(VLOOKUP(GIS!A80,GIS!A69:M87,{5},FALSE)+VLOOKUP(GIS!A130,GIS!A119:M137,{5},FALSE)+VLOOKUP(GIS!A155,GIS!A144:M162,{5},FALSE)+VLOOKUP(GIS!A180,GIS!A169:M187,{5},FALSE)+VLOOKUP(GIS!A205,GIS!A194:M212,{5},FALSE)+VLOOKUP(GIS!A85,GIS!A69:M87,{5},FALSE)+VLOOKUP(GIS!A135,GIS!A119:M137,{5},FALSE)+VLOOKUP(GIS!A160,GIS!A144:M162,{5},FALSE)+VLOOKUP(GIS!A185,GIS!A169:M187,{5},FALSE)+VLOOKUP(GIS!A210,GIS!A194:M212,{5},FALSE))*F21</f>
        <v>0</v>
      </c>
      <c r="E21" s="175">
        <f t="array" ref="E21">SUM(VLOOKUP(GIS!A105,GIS!A94:M112, {2,4,6,8,10,12}, FALSE)+VLOOKUP(GIS!A110,GIS!A94:M112, {2,4,6,8,10,12},FALSE))*F21</f>
        <v>584254.23830361047</v>
      </c>
      <c r="F21" s="118">
        <f>MSBprcnt</f>
        <v>0.44999695880901064</v>
      </c>
      <c r="G21" s="175"/>
      <c r="H21" s="175">
        <f>B21+C21+D21-E21</f>
        <v>-522685.43036892347</v>
      </c>
    </row>
    <row r="22" spans="1:8">
      <c r="A22" s="141" t="s">
        <v>2479</v>
      </c>
      <c r="B22" s="175">
        <f t="array" ref="B22">SUM(VLOOKUP(GIS!A70,GIS!A69:M87,{4},FALSE)+VLOOKUP(GIS!A120,GIS!A119:M137,{4},FALSE)+VLOOKUP(GIS!A145,GIS!A144:M162,{4},FALSE)+VLOOKUP(GIS!A170,GIS!A169:M187,{4},FALSE)+VLOOKUP(GIS!A195,GIS!A194:M212,{4},FALSE)+VLOOKUP(GIS!A87,GIS!A69:M87,{4},FALSE)+VLOOKUP(GIS!A137,GIS!A119:M137,{4},FALSE)+VLOOKUP(GIS!A162,GIS!A144:M162,{4},FALSE)+VLOOKUP(GIS!A187,GIS!A169:M187,{4},FALSE)+VLOOKUP(GIS!A212,GIS!A194:M212,{4},FALSE))</f>
        <v>0</v>
      </c>
      <c r="C22" s="175">
        <f t="array" ref="C22">SUM(VLOOKUP(GIS!A220,GIS!A219:M237,{4},FALSE)+VLOOKUP(GIS!A246,GIS!A245:M263,{4},FALSE)+VLOOKUP(GIS!A272,GIS!A271:M289,{4},FALSE)+VLOOKUP(GIS!A237,GIS!A219:M237,{4},FALSE)+VLOOKUP(GIS!A263,GIS!A245:M263,{4},FALSE)+VLOOKUP(GIS!A289,GIS!A271:M289,{4},FALSE))</f>
        <v>0</v>
      </c>
      <c r="D22" s="175">
        <f t="array" ref="D22">SUM(VLOOKUP(GIS!A70,GIS!A69:M87,{5},FALSE)+VLOOKUP(GIS!A120,GIS!A119:M137,{5},FALSE)+VLOOKUP(GIS!A145,GIS!A144:M162,{5},FALSE)+VLOOKUP(GIS!A170,GIS!A169:M187,{5},FALSE)+VLOOKUP(GIS!A195,GIS!A194:M212,{5},FALSE)+VLOOKUP(GIS!A87,GIS!A69:M87,{5},FALSE)+VLOOKUP(GIS!A137,GIS!A119:M137,{5},FALSE)+VLOOKUP(GIS!A162,GIS!A144:M162,{5},FALSE)+VLOOKUP(GIS!A187,GIS!A169:M187,{5},FALSE)+VLOOKUP(GIS!A212,GIS!A194:M212,{5},FALSE))</f>
        <v>0</v>
      </c>
      <c r="E22" s="175">
        <f t="array" ref="E22">SUM(VLOOKUP(GIS!A95,GIS!A94:M112, {2,4,6,8,10,12}, FALSE)+VLOOKUP(GIS!A112,GIS!A94:M112, {2,4,6,8,10,12},FALSE))</f>
        <v>902097.56593265058</v>
      </c>
      <c r="F22" s="548"/>
      <c r="G22" s="175"/>
      <c r="H22" s="175">
        <f>B22+C22+D22-E22</f>
        <v>-902097.56593265058</v>
      </c>
    </row>
    <row r="23" spans="1:8">
      <c r="A23" s="141" t="s">
        <v>2239</v>
      </c>
      <c r="B23" s="175">
        <f t="array" ref="B23">SUM(VLOOKUP(GIS!A69,GIS!A69:M87,{4},FALSE)+VLOOKUP(GIS!A119,GIS!A119:M137,{4},FALSE)+VLOOKUP(GIS!A144,GIS!A144:M162,{4},FALSE)+VLOOKUP(GIS!A169,GIS!A169:M187,{4},FALSE)+VLOOKUP(GIS!A194,GIS!A194:M212,{4},FALSE)+VLOOKUP(GIS!A73,GIS!A69:M87,{4},FALSE)+VLOOKUP(GIS!A123,GIS!A119:M137,{4},FALSE)+VLOOKUP(GIS!A148,GIS!A144:M162,{4},FALSE)+VLOOKUP(GIS!A173,GIS!A169:M187,{4},FALSE)+VLOOKUP(GIS!A198,GIS!A194:M212,{4},FALSE))</f>
        <v>142410.4535245868</v>
      </c>
      <c r="C23" s="175">
        <f t="array" ref="C23">SUM(VLOOKUP(GIS!A219,GIS!A219:M237,{4},FALSE)+VLOOKUP(GIS!A245,GIS!A245:M263,{4},FALSE)+VLOOKUP(GIS!A271,GIS!A271:M289,{4},FALSE)+VLOOKUP(GIS!A223,GIS!A219:M237,{4},FALSE)+VLOOKUP(GIS!A249,GIS!A245:M263,{4},FALSE)+VLOOKUP(GIS!A275,GIS!A271:M289,{4},FALSE))</f>
        <v>0</v>
      </c>
      <c r="D23" s="175">
        <f t="array" ref="D23">SUM(VLOOKUP(GIS!A69,GIS!A69:M87,{5},FALSE)+VLOOKUP(GIS!A119,GIS!A119:M137,{5},FALSE)+VLOOKUP(GIS!A144,GIS!A144:M162,{5},FALSE)+VLOOKUP(GIS!A169,GIS!A169:M187,{5},FALSE)+VLOOKUP(GIS!A194,GIS!A194:M212,{5},FALSE)+VLOOKUP(GIS!A73,GIS!A69:M87,{5},FALSE)+VLOOKUP(GIS!A123,GIS!A119:M137,{5},FALSE)+VLOOKUP(GIS!A148,GIS!A144:M162,{5},FALSE)+VLOOKUP(GIS!A173,GIS!A169:M187,{5},FALSE)+VLOOKUP(GIS!A198,GIS!A194:M212,{5},FALSE))</f>
        <v>52379.309923155386</v>
      </c>
      <c r="E23" s="175">
        <f t="array" ref="E23">SUM(VLOOKUP(GIS!A94,GIS!A94:M112, {2,4,6,8,10,12}, FALSE)+VLOOKUP(GIS!A98,GIS!A94:M112, {2,4,6,8,10,12}, FALSE))</f>
        <v>0</v>
      </c>
      <c r="F23" s="548"/>
      <c r="G23" s="175"/>
      <c r="H23" s="175">
        <f>B23+C23+D23-E23</f>
        <v>194789.76344774218</v>
      </c>
    </row>
    <row r="24" spans="1:8">
      <c r="A24" s="138"/>
    </row>
    <row r="25" spans="1:8" ht="13">
      <c r="A25" s="39" t="s">
        <v>2249</v>
      </c>
    </row>
    <row r="26" spans="1:8" ht="38">
      <c r="A26" s="139" t="s">
        <v>2246</v>
      </c>
      <c r="B26" s="161" t="s">
        <v>2502</v>
      </c>
      <c r="C26" s="161" t="s">
        <v>2504</v>
      </c>
      <c r="D26" s="161" t="s">
        <v>2503</v>
      </c>
      <c r="E26" s="161" t="s">
        <v>2505</v>
      </c>
      <c r="F26" s="161" t="s">
        <v>2480</v>
      </c>
      <c r="G26" s="161" t="s">
        <v>2510</v>
      </c>
      <c r="H26" s="174" t="s">
        <v>2507</v>
      </c>
    </row>
    <row r="27" spans="1:8" ht="13">
      <c r="A27" s="39" t="s">
        <v>2247</v>
      </c>
      <c r="H27" s="508"/>
    </row>
    <row r="28" spans="1:8">
      <c r="A28" s="141" t="s">
        <v>2482</v>
      </c>
      <c r="B28" s="175">
        <f t="array" ref="B28">SUM(VLOOKUP(GIS!A97,GIS!A94:M112,{2},FALSE)+VLOOKUP(GIS!A122,GIS!A119:M137,{2},FALSE)+VLOOKUP(GIS!A147,GIS!A144:M162,{2},FALSE)+VLOOKUP(GIS!A172,GIS!A169:M187,{2},FALSE)+VLOOKUP(GIS!A197,GIS!A194:M212,{2},FALSE)+VLOOKUP(GIS!A108,GIS!A94:M112,{2},FALSE)+VLOOKUP(GIS!A133,GIS!A119:M137,{2},FALSE)+VLOOKUP(GIS!A158,GIS!A144:M162,{2},FALSE)+VLOOKUP(GIS!A183,GIS!A169:M187,{2},FALSE)+VLOOKUP(GIS!A208,GIS!A194:M212,{2},FALSE))</f>
        <v>0</v>
      </c>
      <c r="C28" s="175">
        <f t="array" ref="C28">SUM(VLOOKUP(GIS!A222,GIS!A219:M237,{2},FALSE)+VLOOKUP(GIS!A248,GIS!A245:M263,{2},FALSE)+VLOOKUP(GIS!A274,GIS!A271:M289,{2},FALSE)+VLOOKUP(GIS!A233,GIS!A219:M237,{2},FALSE)+VLOOKUP(GIS!A259,GIS!A245:M263,{2},FALSE)+VLOOKUP(GIS!A285,GIS!A271:M289,{2},FALSE))</f>
        <v>0</v>
      </c>
      <c r="D28" s="175">
        <f t="array" ref="D28">SUM(VLOOKUP(GIS!A97,GIS!A94:M112,{3},FALSE)+VLOOKUP(GIS!A122,GIS!A119:M137,{3},FALSE)+VLOOKUP(GIS!A147,GIS!A144:M162,{3},FALSE)+VLOOKUP(GIS!A172,GIS!A169:N187,{3},FALSE)+VLOOKUP(GIS!A197,GIS!A194:M212,{3},FALSE)+VLOOKUP(GIS!A108,GIS!A94:M112,{3},FALSE)+VLOOKUP(GIS!A133,GIS!A119:M137,{3},FALSE)+VLOOKUP(GIS!A158,GIS!A144:M162,{3},FALSE)+VLOOKUP(GIS!A183,GIS!A169:M187,{3},FALSE)+VLOOKUP(GIS!A208,GIS!A194:M212,{3},FALSE))</f>
        <v>0</v>
      </c>
      <c r="E28" s="175">
        <f t="array" ref="E28">SUM(VLOOKUP(GIS!A72,GIS!A69:M87, {2,4,6,8,10,12}, FALSE)+VLOOKUP(GIS!A83,GIS!A69:M87, {2,4,6,8,10,12}, FALSE))</f>
        <v>0</v>
      </c>
      <c r="F28" s="548"/>
      <c r="G28" s="175"/>
      <c r="H28" s="175">
        <f>B28+C28+D28-E28</f>
        <v>0</v>
      </c>
    </row>
    <row r="29" spans="1:8">
      <c r="A29" s="141" t="s">
        <v>374</v>
      </c>
      <c r="B29" s="175">
        <f t="array" ref="B29">SUM(VLOOKUP(GIS!A106,GIS!A94:M112,{2},FALSE)+VLOOKUP(GIS!A131,GIS!A119:M137,{2},FALSE)+VLOOKUP(GIS!A156,GIS!A144:M162,{2},FALSE)+VLOOKUP(GIS!A181,GIS!A169:M187,{2},FALSE)+VLOOKUP(GIS!A206,GIS!A194:M212,{2},FALSE))</f>
        <v>0</v>
      </c>
      <c r="C29" s="175">
        <f t="array" ref="C29">SUM(VLOOKUP(GIS!A231,GIS!A219:M237,{2},FALSE)+VLOOKUP(GIS!A257,GIS!A245:M263,{2},FALSE)+VLOOKUP(GIS!A283,GIS!A271:M289,{2},FALSE))</f>
        <v>0</v>
      </c>
      <c r="D29" s="175">
        <f t="array" ref="D29">SUM(VLOOKUP(GIS!A106,GIS!A94:M112,{3},FALSE)+VLOOKUP(GIS!A131,GIS!A119:M137,{3},FALSE)+VLOOKUP(GIS!A156,GIS!A144:M162,{3},FALSE)+VLOOKUP(GIS!A181,GIS!A169:N187,{3},FALSE)+VLOOKUP(GIS!A206,GIS!A194:M212,{3},FALSE))</f>
        <v>0</v>
      </c>
      <c r="E29" s="175">
        <f t="array" ref="E29">SUM(VLOOKUP(GIS!A81,GIS!A69:M87, {2,4,6,8,10,12}, FALSE))</f>
        <v>0</v>
      </c>
      <c r="G29" s="175"/>
      <c r="H29" s="175">
        <f>B29+C29+D29-E29</f>
        <v>0</v>
      </c>
    </row>
    <row r="30" spans="1:8">
      <c r="A30" s="141" t="s">
        <v>2477</v>
      </c>
      <c r="B30" s="175">
        <f t="array" ref="B30">SUM(VLOOKUP(GIS!A105,GIS!A105:M112,{2},FALSE)+VLOOKUP(GIS!A130,GIS!A119:M137,{2},FALSE)+VLOOKUP(GIS!A155,GIS!A144:M162,{2},FALSE)+VLOOKUP(GIS!A180,GIS!A169:M187,{2},FALSE)+VLOOKUP(GIS!A205,GIS!A194:M212,{2},FALSE)+VLOOKUP(GIS!A110,GIS!A94:M112,{2},FALSE)+VLOOKUP(GIS!A135,GIS!A119:M137,{2},FALSE)+VLOOKUP(GIS!A160,GIS!A144:M162,{2},FALSE)+VLOOKUP(GIS!A185,GIS!A169:M187,{2},FALSE)+VLOOKUP(GIS!A210,GIS!A194:M212,{2},FALSE))*F30</f>
        <v>0</v>
      </c>
      <c r="C30" s="175">
        <f t="array" ref="C30">SUM(VLOOKUP(GIS!A230,GIS!A219:M237,{2},FALSE)+VLOOKUP(GIS!A256,GIS!A245:M263,{2},FALSE)+VLOOKUP(GIS!A282,GIS!A271:M289,{2},FALSE)+VLOOKUP(GIS!A235,GIS!A219:M237,{2},FALSE)+VLOOKUP(GIS!A261,GIS!A245:M263,{2},FALSE)+VLOOKUP(GIS!A287,GIS!A271:M289,{2},FALSE))*F30</f>
        <v>0</v>
      </c>
      <c r="D30" s="175">
        <f t="array" ref="D30">SUM(VLOOKUP(GIS!A105,GIS!A94:M112,{3},FALSE)+VLOOKUP(GIS!A130,GIS!A119:M137,{3},FALSE)+VLOOKUP(GIS!A155,GIS!A144:M162,{3},FALSE)+VLOOKUP(GIS!A180,GIS!A169:N187,{3},FALSE)+VLOOKUP(GIS!A205,GIS!A194:M212,{3},FALSE)+VLOOKUP(GIS!A110,GIS!A94:M112,{3},FALSE)+VLOOKUP(GIS!A135,GIS!A119:M137,{3},FALSE)+VLOOKUP(GIS!A160,GIS!A144:M162,{3},FALSE)+VLOOKUP(GIS!A185,GIS!A169:M187,{3},FALSE)+VLOOKUP(GIS!A210,GIS!A194:M212,{3},FALSE))*F30</f>
        <v>0</v>
      </c>
      <c r="E30" s="175">
        <f t="array" ref="E30">SUM(VLOOKUP(GIS!A80,GIS!A69:M87, {2,4,6,8,10,12}, FALSE)+VLOOKUP(GIS!A85,GIS!A69:M87, {2,4,6,8,10,12}, FALSE))*F30</f>
        <v>10.3901704125633</v>
      </c>
      <c r="F30" s="118">
        <f>'EIA Form 923'!E2699</f>
        <v>0.55000226133503061</v>
      </c>
      <c r="G30" s="175"/>
      <c r="H30" s="175">
        <f>B30+C30+D30-E30</f>
        <v>-10.3901704125633</v>
      </c>
    </row>
    <row r="31" spans="1:8" ht="13">
      <c r="A31" s="139" t="s">
        <v>2248</v>
      </c>
      <c r="B31" s="175"/>
      <c r="C31" s="175"/>
      <c r="D31" s="175"/>
      <c r="E31" s="175"/>
      <c r="F31" s="118"/>
      <c r="G31" s="175"/>
      <c r="H31" s="175"/>
    </row>
    <row r="32" spans="1:8">
      <c r="A32" s="141" t="s">
        <v>382</v>
      </c>
      <c r="B32" s="175">
        <f t="array" ref="B32">SUM(VLOOKUP(GIS!A104,GIS!A94:M112,{2},FALSE)+VLOOKUP(GIS!A129,GIS!A119:M138,{2},FALSE)+VLOOKUP(GIS!A154,GIS!A144:M163,{2},FALSE)+VLOOKUP(GIS!A179,GIS!A169:M188,{2},FALSE)+VLOOKUP(GIS!A204,GIS!A194:M212,{2},FALSE))</f>
        <v>1285514.9151738186</v>
      </c>
      <c r="C32" s="175">
        <f t="array" ref="C32">SUM(VLOOKUP(GIS!A229,GIS!A219:M237,{2},FALSE)+VLOOKUP(GIS!A255,GIS!A245:M263,{2},FALSE)+VLOOKUP(GIS!A281,GIS!A271:M289,{2},FALSE))</f>
        <v>4609980.9126775805</v>
      </c>
      <c r="D32" s="175">
        <f t="array" ref="D32">SUM(VLOOKUP(GIS!A104,GIS!A94:M112,{3},FALSE)+VLOOKUP(GIS!A129,GIS!A119:M137,{3},FALSE)+VLOOKUP(GIS!A154,GIS!A144:M162,{3},FALSE)+VLOOKUP(GIS!A179,GIS!A169:N187,{3},FALSE)+VLOOKUP(GIS!A204,GIS!A194:M212,{3},FALSE))</f>
        <v>958133.10806965106</v>
      </c>
      <c r="E32" s="175">
        <f t="array" ref="E32">SUM(VLOOKUP(GIS!A79,GIS!A69:M87, {2,4,6,8,10,12}, FALSE))</f>
        <v>0</v>
      </c>
      <c r="F32" s="118"/>
      <c r="G32" s="175"/>
      <c r="H32" s="175">
        <f>B32+C32+D32-E32</f>
        <v>6853628.9359210497</v>
      </c>
    </row>
    <row r="33" spans="1:8">
      <c r="A33" s="141" t="s">
        <v>2478</v>
      </c>
      <c r="B33" s="175">
        <f t="array" ref="B33">SUM(VLOOKUP(GIS!A105,GIS!A94:M112,{2},FALSE)+VLOOKUP(GIS!A130,GIS!A119:M137,{2},FALSE)+VLOOKUP(GIS!A155,GIS!A144:M162,{2},FALSE)+VLOOKUP(GIS!A180,GIS!A169:M187,{2},FALSE)+VLOOKUP(GIS!A205,GIS!A194:M212,{2},FALSE)+VLOOKUP(GIS!A110,GIS!A94:M112,{2},FALSE)+VLOOKUP(GIS!A135,GIS!A119:M137,{2},FALSE)+VLOOKUP(GIS!A160,GIS!A144:M162,{2},FALSE)+VLOOKUP(GIS!A185,GIS!A169:M187,{2},FALSE)+VLOOKUP(GIS!A210,GIS!A194:M212,{2},FALSE))*F33</f>
        <v>0</v>
      </c>
      <c r="C33" s="175">
        <f t="array" ref="C33">SUM(VLOOKUP(GIS!A230,GIS!A219:M237,{2},FALSE)+VLOOKUP(GIS!A256,GIS!A245:M263,{2},FALSE)+VLOOKUP(GIS!A282,GIS!A271:M289,{2},FALSE)+VLOOKUP(GIS!A235,GIS!A219:M237,{2},FALSE)+VLOOKUP(GIS!A261,GIS!A245:M263,{2},FALSE)+VLOOKUP(GIS!A287,GIS!A271:M289,{2},FALSE))*F33</f>
        <v>0</v>
      </c>
      <c r="D33" s="175">
        <f t="array" ref="D33">SUM(VLOOKUP(GIS!A105,GIS!A94:M112,{3},FALSE)+VLOOKUP(GIS!A130,GIS!A119:M137,{3},FALSE)+VLOOKUP(GIS!A155,GIS!A144:M162,{3},FALSE)+VLOOKUP(GIS!A180,GIS!A169:N187,{3},FALSE)+VLOOKUP(GIS!A205,GIS!A194:M212,{3},FALSE)+VLOOKUP(GIS!A110,GIS!A94:M112,{3},FALSE)+VLOOKUP(GIS!A135,GIS!A119:M137,{3},FALSE)+VLOOKUP(GIS!A160,GIS!A144:M162,{3},FALSE)+VLOOKUP(GIS!A185,GIS!A169:M187,{3},FALSE)+VLOOKUP(GIS!A210,GIS!A194:M212,{3},FALSE))*F33</f>
        <v>0</v>
      </c>
      <c r="E33" s="175">
        <f t="array" ref="E33">SUM(VLOOKUP(GIS!A80,GIS!A69:M87,{2,4,6,8,10,12},FALSE)+VLOOKUP(GIS!A85,GIS!A69:M87,{2,4,6,8,10,12},FALSE))*F33</f>
        <v>8.5009708480981523</v>
      </c>
      <c r="F33" s="118">
        <f>'EIA Form 923'!E2700</f>
        <v>0.44999773866496934</v>
      </c>
      <c r="G33" s="175"/>
      <c r="H33" s="175">
        <f>B33+C33+D33-E33</f>
        <v>-8.5009708480981523</v>
      </c>
    </row>
    <row r="34" spans="1:8">
      <c r="A34" s="141" t="s">
        <v>2479</v>
      </c>
      <c r="B34" s="175">
        <f t="array" ref="B34">SUM(VLOOKUP(GIS!A95,GIS!A94:M112,{2},FALSE)+VLOOKUP(GIS!A120,GIS!A119:M137,{2},FALSE)+VLOOKUP(GIS!A145,GIS!A144:M162,{2},FALSE)+VLOOKUP(GIS!A170,GIS!A169:M187,{2},FALSE)+VLOOKUP(GIS!A195,GIS!A194:M212,{2},FALSE)+VLOOKUP(GIS!A112,GIS!A94:M112,{2},FALSE)+VLOOKUP(GIS!A137,GIS!A119:M137,{2},FALSE)+VLOOKUP(GIS!A162,GIS!A144:M162,{2},FALSE)+VLOOKUP(GIS!A187,GIS!A169:M187,{2},FALSE)+VLOOKUP(GIS!A212,GIS!A194:M212,{2},FALSE))</f>
        <v>15892877.597267086</v>
      </c>
      <c r="C34" s="175">
        <f t="array" ref="C34">SUM(VLOOKUP(GIS!A220,GIS!A219:M237,{2},FALSE)+VLOOKUP(GIS!A246,GIS!A245:M263,{2},FALSE)+VLOOKUP(GIS!A272,GIS!A271:M289,{2},FALSE)+VLOOKUP(GIS!A237,GIS!A219:M237,{2},FALSE)+VLOOKUP(GIS!A263,GIS!A245:M263,{2},FALSE)+VLOOKUP(GIS!A287,GIS!A271:M289,{2},FALSE))</f>
        <v>1792882.5381423361</v>
      </c>
      <c r="D34" s="175">
        <f t="array" ref="D34">SUM(VLOOKUP(GIS!A95,GIS!A94:M112,{3},FALSE)+VLOOKUP(GIS!A120,GIS!A119:M137,{3},FALSE)+VLOOKUP(GIS!A145,GIS!A144:M162,{3},FALSE)+VLOOKUP(GIS!A170,GIS!A169:N187,{3},FALSE)+VLOOKUP(GIS!A195,GIS!A194:M212,{3},FALSE)+VLOOKUP(GIS!A112,GIS!A94:M112,{3},FALSE)+VLOOKUP(GIS!A137,GIS!A119:M137,{3},FALSE)+VLOOKUP(GIS!A162,GIS!A144:M162,{3},FALSE)+VLOOKUP(GIS!A187,GIS!A169:M187,{3},FALSE)+VLOOKUP(GIS!A212,GIS!A194:M212,{3},FALSE))</f>
        <v>97538.755151144913</v>
      </c>
      <c r="E34" s="175">
        <f t="array" ref="E34">SUM(VLOOKUP(GIS!A70,GIS!A69:M87, {2,4,6,8,10,12}, FALSE)+VLOOKUP(GIS!A87,GIS!A69:M87, {2,4,6,8,10,12},FALSE))</f>
        <v>123237.01436448448</v>
      </c>
      <c r="G34" s="175"/>
      <c r="H34" s="175">
        <f>B34+C34+D34-E34</f>
        <v>17660061.876196083</v>
      </c>
    </row>
    <row r="35" spans="1:8">
      <c r="A35" s="141" t="s">
        <v>2239</v>
      </c>
      <c r="B35" s="175">
        <f t="array" ref="B35">SUM(VLOOKUP(GIS!A94,GIS!A94:M112,{2},FALSE)+VLOOKUP(GIS!A119,GIS!A119:M137,{2},FALSE)+VLOOKUP(GIS!A144,GIS!A144:M162,{2},FALSE)+VLOOKUP(GIS!A169,GIS!A169:M187,{2},FALSE)+VLOOKUP(GIS!A194,GIS!A194:M212,{2},FALSE)+VLOOKUP(GIS!A98,GIS!A94:M112,{2},FALSE)+VLOOKUP(GIS!A123,GIS!A119:M137,{2},FALSE)+VLOOKUP(GIS!A148,GIS!A144:M162,{2},FALSE)+VLOOKUP(GIS!A173,GIS!A169:M187,{2},FALSE)+VLOOKUP(GIS!A198,GIS!A194:M212,{2},FALSE))</f>
        <v>0</v>
      </c>
      <c r="C35" s="175">
        <f t="array" ref="C35">SUM(VLOOKUP(GIS!A219,GIS!A219:M237,{2},FALSE)+VLOOKUP(GIS!A245,GIS!A245:M263,{2},FALSE)+VLOOKUP(GIS!A271,GIS!A271:M289,{2},FALSE)+VLOOKUP(GIS!A223,GIS!A219:M237,{2},FALSE)+VLOOKUP(GIS!A249,GIS!A245:M263,{2},FALSE)+VLOOKUP(GIS!A275,GIS!A271:M289,{2},FALSE))</f>
        <v>20142.146753476656</v>
      </c>
      <c r="D35" s="175">
        <f t="array" ref="D35">SUM(VLOOKUP(GIS!A94,GIS!A94:M112,{3},FALSE)+VLOOKUP(GIS!A119,GIS!A119:M137,{3},FALSE)+VLOOKUP(GIS!A144,GIS!A144:M162,{3},FALSE)+VLOOKUP(GIS!A169,GIS!A169:N187,{3},FALSE)+VLOOKUP(GIS!A194,GIS!A194:M212,{3},FALSE)+VLOOKUP(GIS!A98,GIS!A94:M112,{3},FALSE)+VLOOKUP(GIS!A123,GIS!A119:M137,{3},FALSE)+VLOOKUP(GIS!A148,GIS!A144:M162,{3},FALSE)+VLOOKUP(GIS!A173,GIS!A169:M187,{3},FALSE)+VLOOKUP(GIS!A198,GIS!A194:M212,{3},FALSE))</f>
        <v>33651.090841305057</v>
      </c>
      <c r="E35" s="175">
        <f t="array" ref="E35">SUM(VLOOKUP(GIS!A69,GIS!A69:M87, {2,4,6,8,10,12}, FALSE)+VLOOKUP(GIS!A73,GIS!A69:M87, {2,4,6,8,10,12}, FALSE))</f>
        <v>0</v>
      </c>
      <c r="G35" s="175"/>
      <c r="H35" s="175">
        <f>B35+C35+D35-E35</f>
        <v>53793.237594781713</v>
      </c>
    </row>
    <row r="36" spans="1:8">
      <c r="A36" s="138"/>
    </row>
    <row r="37" spans="1:8" ht="13">
      <c r="A37" s="39" t="s">
        <v>2250</v>
      </c>
    </row>
    <row r="38" spans="1:8" ht="38">
      <c r="A38" s="139" t="s">
        <v>2246</v>
      </c>
      <c r="B38" s="161" t="s">
        <v>2502</v>
      </c>
      <c r="C38" s="161" t="s">
        <v>2504</v>
      </c>
      <c r="D38" s="161" t="s">
        <v>2503</v>
      </c>
      <c r="E38" s="161" t="s">
        <v>2505</v>
      </c>
      <c r="F38" s="161" t="s">
        <v>2480</v>
      </c>
      <c r="G38" s="161" t="s">
        <v>2510</v>
      </c>
      <c r="H38" s="161" t="s">
        <v>2507</v>
      </c>
    </row>
    <row r="39" spans="1:8" ht="13">
      <c r="A39" s="39" t="s">
        <v>2247</v>
      </c>
      <c r="H39" s="508"/>
    </row>
    <row r="40" spans="1:8">
      <c r="A40" s="141" t="s">
        <v>2482</v>
      </c>
      <c r="B40" s="175">
        <f t="array" ref="B40">SUM(VLOOKUP(GIS!A72,GIS!$A$69:$M$87,{6},FALSE)+VLOOKUP(GIS!A97,GIS!$A$94:$M$112,{6},FALSE)+VLOOKUP(GIS!A147,GIS!$A$144:$M$162,{6},FALSE)+VLOOKUP(GIS!A172,GIS!$A$169:$M$187,{6},FALSE)+VLOOKUP(GIS!A197,GIS!$A$194:$M$212,{6},FALSE)+VLOOKUP(GIS!A83,GIS!$A$69:$M$87,{6},FALSE)+VLOOKUP(GIS!A108,GIS!$A$94:$M$112,{6},FALSE)+VLOOKUP(GIS!A158,GIS!$A$144:$M$162,{6},FALSE)+VLOOKUP(GIS!A183,GIS!$A$169:$M$187,{6},FALSE)+VLOOKUP(GIS!A208,GIS!$A$194:$M$212,{6},FALSE))</f>
        <v>0</v>
      </c>
      <c r="C40" s="175">
        <f t="array" ref="C40">SUM(VLOOKUP(GIS!A222,GIS!$A$219:$M$237,{6},FALSE)+VLOOKUP(GIS!A248,GIS!$A$245:$M$263,{6},FALSE)+VLOOKUP(GIS!A274,GIS!$A$271:$M$289,{6},FALSE)+VLOOKUP(GIS!A233,GIS!$A$219:$M$237,{6},FALSE)+VLOOKUP(GIS!A259,GIS!$A$245:$M$263,{6},FALSE)+VLOOKUP(GIS!A285,GIS!$A$271:$M$289,{6},FALSE))</f>
        <v>0</v>
      </c>
      <c r="D40" s="175">
        <f t="array" ref="D40">SUM(VLOOKUP(GIS!A72,GIS!$A$69:$M$87,{7},FALSE)+VLOOKUP(GIS!A97,GIS!$A$94:$M$112,{7},FALSE)+VLOOKUP(GIS!A147,GIS!$A$144:$M$162,{7},FALSE)+VLOOKUP(GIS!A172,GIS!$A$169:$M$187,{7},FALSE)+VLOOKUP(GIS!A197,GIS!$A$194:$M$212,{7},FALSE)+VLOOKUP(GIS!A83,GIS!$A$69:$M$87,{7},FALSE)+VLOOKUP(GIS!A108,GIS!$A$94:$M$112,{7},FALSE)+VLOOKUP(GIS!A158,GIS!$A$144:$M$162,{7},FALSE)+VLOOKUP(GIS!A183,GIS!$A$169:$M$187,{7},FALSE)+VLOOKUP(GIS!A208,GIS!$A$194:$M$212,{7},FALSE))</f>
        <v>0</v>
      </c>
      <c r="E40" s="175">
        <f t="array" ref="E40">SUM(VLOOKUP(GIS!A122,GIS!$A$119:$M$137, {2,4,6,8,10,12}, FALSE)+VLOOKUP(GIS!A133,GIS!$A$119:$M$137, {2,4,6,8,10,12}, FALSE))</f>
        <v>0</v>
      </c>
      <c r="F40" s="548"/>
      <c r="G40" s="175"/>
      <c r="H40" s="175">
        <f>B40+C40+D40-E40</f>
        <v>0</v>
      </c>
    </row>
    <row r="41" spans="1:8">
      <c r="A41" s="141" t="s">
        <v>374</v>
      </c>
      <c r="B41" s="175">
        <f t="array" ref="B41">SUM(VLOOKUP(GIS!A81,GIS!$A$69:$M$87,{6},FALSE)+VLOOKUP(GIS!A106,GIS!$A$94:$M$112,{6},FALSE)+VLOOKUP(GIS!A156,GIS!$A$144:$M$162,{6},FALSE)+VLOOKUP(GIS!A181,GIS!$A$169:$M$187,{6},FALSE)+VLOOKUP(GIS!A195,GIS!$A$194:$M$212,{6},FALSE))</f>
        <v>0</v>
      </c>
      <c r="C41" s="175">
        <f t="array" ref="C41">SUM(VLOOKUP(GIS!A231,GIS!$A$219:$M$237,{6},FALSE)+VLOOKUP(GIS!A257,GIS!$A$245:$M$263,{6},FALSE)+VLOOKUP(GIS!A283,GIS!$A$271:$M$289,{6},FALSE))</f>
        <v>0</v>
      </c>
      <c r="D41" s="175">
        <f t="array" ref="D41">SUM(VLOOKUP(GIS!A81,GIS!$A$69:$M$87,{7},FALSE)+VLOOKUP(GIS!A106,GIS!$A$94:$M$112,{7},FALSE)+VLOOKUP(GIS!A156,GIS!$A$144:$M$162,{7},FALSE)+VLOOKUP(GIS!A181,GIS!$A$169:$M$187,{7},FALSE)+VLOOKUP(GIS!A206,GIS!$A$194:$M$212,{7},FALSE))</f>
        <v>0</v>
      </c>
      <c r="E41" s="175">
        <f t="array" ref="E41">SUM(VLOOKUP(GIS!A131,GIS!$A$119:$M$137, {2,4,6,8,10,12}, FALSE))</f>
        <v>0</v>
      </c>
      <c r="G41" s="175"/>
      <c r="H41" s="175">
        <f>B41+C41+D41-E41</f>
        <v>0</v>
      </c>
    </row>
    <row r="42" spans="1:8">
      <c r="A42" s="141" t="s">
        <v>2477</v>
      </c>
      <c r="B42" s="175">
        <f t="array" ref="B42">SUM(VLOOKUP(GIS!A80,GIS!$A$69:$M$87,{6},FALSE)+VLOOKUP(GIS!A106,GIS!$A$94:$M$112,{6},FALSE)+VLOOKUP(GIS!A156,GIS!$A$144:$M$162,{6},FALSE)+VLOOKUP(GIS!A181,GIS!$A$169:$M$187,{6},FALSE)+VLOOKUP(GIS!A205,GIS!$A$194:$M$212,{6},FALSE)+VLOOKUP(GIS!A85,GIS!$A$69:$M$87,{6},FALSE)+VLOOKUP(GIS!A110,GIS!$A$94:$M$112,{6},FALSE)+VLOOKUP(GIS!A160,GIS!$A$144:$M$162,{6},FALSE)+VLOOKUP(GIS!A185,GIS!$A$169:$M$187,{6},FALSE)+VLOOKUP(GIS!A210,GIS!$A$194:$M$212,{6},FALSE))*F42</f>
        <v>1635255.0044790062</v>
      </c>
      <c r="C42" s="175">
        <f t="array" ref="C42">SUM(VLOOKUP(GIS!A230,GIS!$A$219:$M$237,{6},FALSE)+VLOOKUP(GIS!A256,GIS!$A$245:$M$263,{6},FALSE)+VLOOKUP(GIS!A282,GIS!$A$271:$M$289,{6},FALSE)+VLOOKUP(GIS!A235,GIS!$A$219:$M$237,{6},FALSE)+VLOOKUP(GIS!A261,GIS!$A$245:$M$263,{6},FALSE)+VLOOKUP(GIS!A287,GIS!$A$271:$M$289,{6},FALSE))*F42</f>
        <v>0</v>
      </c>
      <c r="D42" s="175">
        <f t="array" ref="D42">SUM(VLOOKUP(GIS!A80,GIS!$A$69:$M$87,{7},FALSE)+VLOOKUP(GIS!A105,GIS!$A$94:$M$112,{7},FALSE)+VLOOKUP(GIS!A155,GIS!$A$144:$M$162,{7},FALSE)+VLOOKUP(GIS!A180,GIS!$A$169:$M$187,{7},FALSE)+VLOOKUP(GIS!A205,GIS!$A$194:$M$212,{7},FALSE)+VLOOKUP(GIS!A85,GIS!$A$69:$M$87,{7},FALSE)+VLOOKUP(GIS!A110,GIS!$A$94:$M$112,{7},FALSE)+VLOOKUP(GIS!A160,GIS!$A$144:$M$162,{7},FALSE)+VLOOKUP(GIS!A185,GIS!$A$169:$M$187,{7},FALSE)+VLOOKUP(GIS!A210,GIS!$A$194:$M$212,{7},FALSE))*F42</f>
        <v>0</v>
      </c>
      <c r="E42" s="175">
        <f t="array" ref="E42">SUM(VLOOKUP(GIS!A130,GIS!$A$119:$M$137, {2,4,6,8,10,12}, FALSE)+VLOOKUP(GIS!A135,GIS!$A$119:$M$137, {2,4,6,8,10,12}, FALSE))*F42</f>
        <v>75251.689914095725</v>
      </c>
      <c r="F42" s="118">
        <f>'EIA Form 923'!E$2674</f>
        <v>0.55000304119098931</v>
      </c>
      <c r="G42" s="175"/>
      <c r="H42" s="175">
        <f t="shared" ref="H42:H47" si="0">B42+C42+D42-E42</f>
        <v>1560003.3145649105</v>
      </c>
    </row>
    <row r="43" spans="1:8" ht="13">
      <c r="A43" s="139" t="s">
        <v>2248</v>
      </c>
      <c r="B43" s="175"/>
      <c r="C43" s="175"/>
      <c r="D43" s="175"/>
      <c r="E43" s="175"/>
      <c r="F43" s="118"/>
      <c r="G43" s="175"/>
      <c r="H43" s="175"/>
    </row>
    <row r="44" spans="1:8">
      <c r="A44" s="141" t="s">
        <v>382</v>
      </c>
      <c r="B44" s="175">
        <f t="array" ref="B44">SUM(VLOOKUP(GIS!A79,GIS!$A$69:$M$87,{6},FALSE)+VLOOKUP(GIS!A104,GIS!$A$94:$M$112,{6},FALSE)+VLOOKUP(GIS!A154,GIS!$A$144:$M$162,{6},FALSE)+VLOOKUP(GIS!A179,GIS!$A$169:$M$187,{6},FALSE)+VLOOKUP(GIS!A204,GIS!$A$194:$M$212,{6},FALSE))</f>
        <v>0</v>
      </c>
      <c r="C44" s="175">
        <f t="array" ref="C44">SUM(VLOOKUP(GIS!A229,GIS!$A$219:$M$237,{6},FALSE)+VLOOKUP(GIS!A255,GIS!$A$245:$M$263,{6},FALSE)+VLOOKUP(GIS!A281,GIS!$A$271:$M$289,{6},FALSE))</f>
        <v>0</v>
      </c>
      <c r="D44" s="175">
        <f t="array" ref="D44">SUM(VLOOKUP(GIS!A79,GIS!$A$69:$M$87,{7},FALSE)+VLOOKUP(GIS!A104,GIS!$A$94:$M$112,{7},FALSE)+VLOOKUP(GIS!A154,GIS!$A$144:$M$162,{7},FALSE)+VLOOKUP(GIS!A179,GIS!$A$169:$M$187,{7},FALSE)+VLOOKUP(GIS!A204,GIS!$A$194:$M$212,{7},FALSE))</f>
        <v>84374.711613444539</v>
      </c>
      <c r="E44" s="175">
        <f t="array" ref="E44">SUM(VLOOKUP(GIS!A129,GIS!$A$119:$M$137, {2,4,6,8,10,12}, FALSE))</f>
        <v>248322.15107445192</v>
      </c>
      <c r="F44" s="118"/>
      <c r="G44" s="175"/>
      <c r="H44" s="175">
        <f t="shared" si="0"/>
        <v>-163947.43946100737</v>
      </c>
    </row>
    <row r="45" spans="1:8">
      <c r="A45" s="141" t="s">
        <v>2478</v>
      </c>
      <c r="B45" s="175">
        <f t="array" ref="B45">SUM(VLOOKUP(GIS!A80,GIS!$A$69:$M$87,{6},FALSE)+VLOOKUP(GIS!A105,GIS!$A$94:$M$112,{6},FALSE)+VLOOKUP(GIS!A155,GIS!$A$144:$M$162,{6},FALSE)+VLOOKUP(GIS!A180,GIS!$A$169:$M$187,{6},FALSE)+VLOOKUP(GIS!A205,GIS!$A$194:$M$212,{6},FALSE)+VLOOKUP(GIS!A85,GIS!$A$69:$M$87,{6},FALSE)+VLOOKUP(GIS!A110,GIS!$A$94:$M$112,{6},FALSE)+VLOOKUP(GIS!A160,GIS!$A$144:$M$162,{6},FALSE)+VLOOKUP(GIS!A185,GIS!$A$169:$M$187,{6},FALSE)+VLOOKUP(GIS!A210,GIS!$A$194:$M$212,{6},FALSE))*F45</f>
        <v>1337919.4727711326</v>
      </c>
      <c r="C45" s="175">
        <f t="array" ref="C45">SUM(VLOOKUP(GIS!A230,GIS!$A$219:$M$237,{6},FALSE)+VLOOKUP(GIS!A256,GIS!$A$245:$M$263,{6},FALSE)+VLOOKUP(GIS!A282,GIS!$A$271:$M$289,{6},FALSE)+VLOOKUP(GIS!A235,GIS!$A$219:$M$237,{6},FALSE)+VLOOKUP(GIS!A261,GIS!$A$245:$M$263,{6},FALSE)+VLOOKUP(GIS!A287,GIS!$A$271:$M$289,{6},FALSE))*F45</f>
        <v>0</v>
      </c>
      <c r="D45" s="175">
        <f t="array" ref="D45">SUM(VLOOKUP(GIS!A80,GIS!$A$69:$M$87,{7},FALSE)+VLOOKUP(GIS!A105,GIS!$A$94:$M$112,{7},FALSE)+VLOOKUP(GIS!A155,GIS!$A$144:$M$162,{7},FALSE)+VLOOKUP(GIS!A180,GIS!$A$169:$M$187,{7},FALSE)+VLOOKUP(GIS!A205,GIS!$A$194:$M$212,{7},FALSE)+VLOOKUP(GIS!A85,GIS!$A$69:$M$87,{7},FALSE)+VLOOKUP(GIS!A110,GIS!$A$94:$M$112,{7},FALSE)+VLOOKUP(GIS!A160,GIS!$A$144:$M$162,{7},FALSE)+VLOOKUP(GIS!A185,GIS!$A$169:$M$187,{7},FALSE)+VLOOKUP(GIS!A210,GIS!$A$194:$M$212,{7},FALSE))*F45</f>
        <v>0</v>
      </c>
      <c r="E45" s="175">
        <f t="array" ref="E45">SUM(VLOOKUP(GIS!A130,GIS!$A$119:$M$137, {2,4,6,8,10,12}, FALSE)+VLOOKUP(GIS!A135,GIS!$A$119:$M$137, {2,4,6,8,10,12}, FALSE))*F45</f>
        <v>61568.807934687029</v>
      </c>
      <c r="F45" s="118">
        <f>1-F42</f>
        <v>0.44999695880901069</v>
      </c>
      <c r="G45" s="175"/>
      <c r="H45" s="175">
        <f t="shared" si="0"/>
        <v>1276350.6648364456</v>
      </c>
    </row>
    <row r="46" spans="1:8">
      <c r="A46" s="141" t="s">
        <v>2479</v>
      </c>
      <c r="B46" s="175">
        <f t="array" ref="B46">SUM(VLOOKUP(GIS!A70,GIS!$A$69:$M$87,{6},FALSE)+VLOOKUP(GIS!A95,GIS!$A$94:$M$112,{6},FALSE)+VLOOKUP(GIS!A145,GIS!$A$144:$M$162,{6},FALSE)+VLOOKUP(GIS!A170,GIS!$A$169:$M$187,{6},FALSE)+VLOOKUP(GIS!A195,GIS!$A$194:$M$212,{6},FALSE)+VLOOKUP(GIS!A87,GIS!$A$69:$M$87,{6},FALSE)+VLOOKUP(GIS!A112,GIS!$A$94:$M$112,{6},FALSE)+VLOOKUP(GIS!A162,GIS!$A$144:$M$162,{6},FALSE)+VLOOKUP(GIS!A187,GIS!$A$169:$M$187,{6},FALSE)+VLOOKUP(GIS!A212,GIS!$A$194:$M$212,{6},FALSE))</f>
        <v>137417.49426796046</v>
      </c>
      <c r="C46" s="175">
        <f t="array" ref="C46">SUM(VLOOKUP(GIS!A220,GIS!$A$219:$M$237,{6},FALSE)+VLOOKUP(GIS!A246,GIS!$A$245:$M$263,{6},FALSE)+VLOOKUP(GIS!A272,GIS!$A$271:$M$289,{6},FALSE)+VLOOKUP(GIS!A237,GIS!$A$219:$M$237,{6},FALSE)+VLOOKUP(GIS!A263,GIS!$A$245:$M$263,{6},FALSE)+VLOOKUP(GIS!A289,GIS!$A$271:$M$289,{6},FALSE))</f>
        <v>0</v>
      </c>
      <c r="D46" s="175">
        <f t="array" ref="D46">SUM(VLOOKUP(GIS!A70,GIS!$A$69:$M$87,{7},FALSE)+VLOOKUP(GIS!A95,GIS!$A$94:$M$112,{7},FALSE)+VLOOKUP(GIS!A145,GIS!$A$144:$M$162,{7},FALSE)+VLOOKUP(GIS!A170,GIS!$A$169:$M$187,{7},FALSE)+VLOOKUP(GIS!A195,GIS!$A$194:$M$212,{7},FALSE)+VLOOKUP(GIS!A87,GIS!$A$69:$M$87,{7},FALSE)+VLOOKUP(GIS!A112,GIS!$A$94:$M$112,{7},FALSE)+VLOOKUP(GIS!A162,GIS!$A$144:$M$162,{7},FALSE)+VLOOKUP(GIS!A187,GIS!$A$169:$M$187,{7},FALSE)+VLOOKUP(GIS!A212,GIS!$A$194:$M$212,{7},FALSE))</f>
        <v>0</v>
      </c>
      <c r="E46" s="175">
        <f t="array" ref="E46">SUM(VLOOKUP(GIS!A120,GIS!$A$119:$M$137, {2,4,6,8,10,12}, FALSE)+VLOOKUP(GIS!A137,GIS!$A$119:$M$137, {2,4,6,8,10,12}, FALSE))</f>
        <v>8253416.5809217989</v>
      </c>
      <c r="G46" s="175"/>
      <c r="H46" s="175">
        <f t="shared" si="0"/>
        <v>-8115999.0866538389</v>
      </c>
    </row>
    <row r="47" spans="1:8">
      <c r="A47" s="141" t="s">
        <v>2239</v>
      </c>
      <c r="B47" s="175">
        <f t="array" ref="B47">SUM(VLOOKUP(GIS!A69,GIS!$A$69:$M$87,{6},FALSE)+VLOOKUP(GIS!A94,GIS!$A$94:$M$112,{6},FALSE)+VLOOKUP(GIS!A144,GIS!$A$144:$M$162,{6},FALSE)+VLOOKUP(GIS!A169,GIS!$A$169:$M$187,{6},FALSE)+VLOOKUP(GIS!A194,GIS!$A$194:$M$212,{6},FALSE)+VLOOKUP(GIS!A73,GIS!$A$69:$M$87,{6},FALSE)+VLOOKUP(GIS!A98,GIS!$A$94:$M$112,{6},FALSE)+VLOOKUP(GIS!A148,GIS!$A$144:$M$162,{6},FALSE)+VLOOKUP(GIS!A173,GIS!$A$169:$M$187,{6},FALSE)+VLOOKUP(GIS!A195,GIS!$A$194:$M$212,{6},FALSE))</f>
        <v>0</v>
      </c>
      <c r="C47" s="175">
        <f t="array" ref="C47">SUM(VLOOKUP(GIS!A219,GIS!$A$219:$M$237,{6},FALSE)+VLOOKUP(GIS!A245,GIS!$A$245:$M$263,{6},FALSE)+VLOOKUP(GIS!A271,GIS!$A$271:$M$289,{6},FALSE)+VLOOKUP(GIS!A223,GIS!$A$219:$M$237,{6},FALSE)+VLOOKUP(GIS!A249,GIS!$A$245:$M$263,{6},FALSE)+VLOOKUP(GIS!A275,GIS!$A$271:$M$289,{6},FALSE))</f>
        <v>0</v>
      </c>
      <c r="D47" s="175">
        <f t="array" ref="D47">SUM(VLOOKUP(GIS!A69,GIS!$A$69:$M$87,{7},FALSE)+VLOOKUP(GIS!A94,GIS!$A$94:$M$112,{7},FALSE)+VLOOKUP(GIS!A144,GIS!$A$144:$M$162,{7},FALSE)+VLOOKUP(GIS!A169,GIS!$A$169:$M$187,{7},FALSE)+VLOOKUP(GIS!A194,GIS!$A$194:$M$212,{7},FALSE)+VLOOKUP(GIS!A73,GIS!$A$69:$M$87,{7},FALSE)+VLOOKUP(GIS!A98,GIS!$A$94:$M$112,{7},FALSE)+VLOOKUP(GIS!A148,GIS!$A$144:$M$162,{7},FALSE)+VLOOKUP(GIS!A173,GIS!$A$169:$M$187,{7},FALSE)+VLOOKUP(GIS!A198,GIS!$A$194:$M$212,{7},FALSE))</f>
        <v>0</v>
      </c>
      <c r="E47" s="175">
        <f t="array" ref="E47">SUM(VLOOKUP(GIS!A119,GIS!$A$119:$M$137, {2,4,6,8,10,12}, FALSE)+VLOOKUP(GIS!A123,GIS!$A$119:$M$137, {2,4,6,8,10,12}, FALSE))</f>
        <v>142389.55871499892</v>
      </c>
      <c r="G47" s="175"/>
      <c r="H47" s="175">
        <f t="shared" si="0"/>
        <v>-142389.55871499892</v>
      </c>
    </row>
    <row r="48" spans="1:8">
      <c r="A48" s="138"/>
    </row>
    <row r="49" spans="1:8" ht="13">
      <c r="A49" s="39" t="s">
        <v>2251</v>
      </c>
    </row>
    <row r="50" spans="1:8" ht="39">
      <c r="A50" s="139" t="s">
        <v>2246</v>
      </c>
      <c r="B50" s="161" t="s">
        <v>2502</v>
      </c>
      <c r="C50" s="161" t="s">
        <v>2504</v>
      </c>
      <c r="D50" s="161" t="s">
        <v>2503</v>
      </c>
      <c r="E50" s="161" t="s">
        <v>2505</v>
      </c>
      <c r="F50" s="161" t="s">
        <v>2480</v>
      </c>
      <c r="G50" s="161" t="s">
        <v>2510</v>
      </c>
      <c r="H50" s="161" t="s">
        <v>2507</v>
      </c>
    </row>
    <row r="51" spans="1:8" ht="13">
      <c r="A51" s="39" t="s">
        <v>2247</v>
      </c>
      <c r="H51" s="175"/>
    </row>
    <row r="52" spans="1:8">
      <c r="A52" s="141" t="s">
        <v>2482</v>
      </c>
      <c r="B52" s="175">
        <f t="array" ref="B52">SUM(VLOOKUP(GIS!A72,GIS!$A$69:$M$87,{8},FALSE)+VLOOKUP(GIS!A97,GIS!$A$94:$M$112,{8},FALSE)+VLOOKUP(GIS!A122,GIS!$A$119:$M$137,{8},FALSE)+VLOOKUP(GIS!A172,GIS!$A$169:$M$187,{8},FALSE)+VLOOKUP(GIS!A197,GIS!$A$194:$M$212,{8},FALSE)+VLOOKUP(GIS!A83,GIS!$A$69:$M$87,{8},FALSE)+VLOOKUP(GIS!A108,GIS!$A$94:$M$112,{8},FALSE)+VLOOKUP(GIS!A133,GIS!$A$119:$M$137,{8},FALSE)+VLOOKUP(GIS!A183,GIS!$A$169:$M$187,{8},FALSE)+VLOOKUP(GIS!A208,GIS!$A$194:$M$212,{8},FALSE))</f>
        <v>4117.1469683095993</v>
      </c>
      <c r="C52" s="175">
        <f t="array" ref="C52">SUM(VLOOKUP(GIS!A222,GIS!$A$219:$M$237,{8},FALSE)+VLOOKUP(GIS!A248,GIS!$A$245:$M$263,{8},FALSE)+VLOOKUP(GIS!A274,GIS!$A$271:$M$289,{8},FALSE)+VLOOKUP(GIS!A233,GIS!$A$219:$M$237,{8},FALSE)+VLOOKUP(GIS!A259,GIS!$A$245:$M$263,{8},FALSE)+VLOOKUP(GIS!A285,GIS!$A$271:$M$289,{8},FALSE))</f>
        <v>0</v>
      </c>
      <c r="D52" s="175">
        <f t="array" ref="D52">SUM(VLOOKUP(GIS!A72,GIS!$A$69:$M$87,{9},FALSE)+VLOOKUP(GIS!A97,GIS!$A$94:$M$112,{9},FALSE)+VLOOKUP(GIS!A122,GIS!$A$119:$M$137,{9},FALSE)+VLOOKUP(GIS!A172,GIS!$A$169:$M$187,{9},FALSE)+VLOOKUP(GIS!A197,GIS!$A$194:$M$212,{9},FALSE)+VLOOKUP(GIS!A83,GIS!$A$69:$M$87,{9},FALSE)+VLOOKUP(GIS!A108,GIS!$A$94:$M$112,{9},FALSE)+VLOOKUP(GIS!A133,GIS!$A$119:$M$137,{9},FALSE)+VLOOKUP(GIS!A183,GIS!$A$169:$M$187,{9},FALSE)+VLOOKUP(GIS!A208,GIS!$A$194:$M$212,{9},FALSE))</f>
        <v>0</v>
      </c>
      <c r="E52" s="175">
        <f t="array" ref="E52">SUM(VLOOKUP(GIS!A147,GIS!$A$144:$M$162, {2,4,6,8,10,12}, FALSE)+VLOOKUP(GIS!A158,GIS!$A$144:$M$162, {2,4,6,8,10,12}, FALSE))</f>
        <v>0</v>
      </c>
      <c r="F52" s="548"/>
      <c r="G52" s="175"/>
      <c r="H52" s="175">
        <f>B52+C52+D52-E52</f>
        <v>4117.1469683095993</v>
      </c>
    </row>
    <row r="53" spans="1:8">
      <c r="A53" s="141" t="s">
        <v>374</v>
      </c>
      <c r="B53" s="175">
        <f t="array" ref="B53">SUM(VLOOKUP(GIS!A81,GIS!$A$69:$M$87,{8},FALSE)+VLOOKUP(GIS!A106,GIS!$A$94:$M$112,{8},FALSE)+VLOOKUP(GIS!A131,GIS!$A$119:$M$137,{8},FALSE)+VLOOKUP(GIS!A181,GIS!$A$169:$M$187,{8},FALSE)+VLOOKUP(GIS!A206,GIS!$A$194:$M$212,{8},FALSE))</f>
        <v>3619.3479364680629</v>
      </c>
      <c r="C53" s="175">
        <f t="array" ref="C53">SUM(VLOOKUP(GIS!A231,GIS!$A$219:$M$237,{8},FALSE)+VLOOKUP(GIS!A257,GIS!$A$245:$M$263,{8},FALSE)+VLOOKUP(GIS!A283,GIS!$A$271:$M$289,{8},FALSE))</f>
        <v>0</v>
      </c>
      <c r="D53" s="175">
        <f t="array" ref="D53">SUM(VLOOKUP(GIS!A81,GIS!$A$69:$M$87,{9},FALSE)+VLOOKUP(GIS!A106,GIS!$A$94:$M$112,{9},FALSE)+VLOOKUP(GIS!A131,GIS!$A$119:$M$137,{9},FALSE)+VLOOKUP(GIS!A181,GIS!$A$169:$M$187,{9},FALSE)+VLOOKUP(GIS!A206,GIS!$A$194:$M$212,{9},FALSE))</f>
        <v>0</v>
      </c>
      <c r="E53" s="175">
        <f t="array" ref="E53">SUM(VLOOKUP(GIS!A156,GIS!$A$144:$M$162, {2,4,6,8,10,12}, FALSE))</f>
        <v>0</v>
      </c>
      <c r="G53" s="175"/>
      <c r="H53" s="175">
        <f t="shared" ref="H53:H59" si="1">B53+C53+D53-E53</f>
        <v>3619.3479364680629</v>
      </c>
    </row>
    <row r="54" spans="1:8">
      <c r="A54" s="141" t="s">
        <v>2477</v>
      </c>
      <c r="B54" s="175">
        <f t="array" ref="B54">SUM(VLOOKUP(GIS!A80,GIS!$A$69:$M$87,{8},FALSE)+VLOOKUP(GIS!A105,GIS!$A$94:$M$112,{8},FALSE)+VLOOKUP(GIS!A130,GIS!$A$119:$M$137,{8},FALSE)+VLOOKUP(GIS!A180,GIS!$A$169:$M$187,{8},FALSE)+VLOOKUP(GIS!A205,GIS!$A$194:$M$212,{8},FALSE)+VLOOKUP(GIS!A85,GIS!$A$69:$M$87,{8},FALSE)+VLOOKUP(GIS!A110,GIS!$A$94:$M$112,{8},FALSE)+VLOOKUP(GIS!A135,GIS!$A$119:$M$137,{8},FALSE)+VLOOKUP(GIS!A185,GIS!$A$169:$M$187,{8},FALSE)+VLOOKUP(GIS!A210,GIS!$A$194:$M$212,{8},FALSE))*F54</f>
        <v>0</v>
      </c>
      <c r="C54" s="175">
        <f t="array" ref="C54">SUM(VLOOKUP(GIS!A230,GIS!$A$219:$M$237,{8},FALSE)+VLOOKUP(GIS!A256,GIS!$A$245:$M$263,{8},FALSE)+VLOOKUP(GIS!A282,GIS!$A$271:$M$289,{8},FALSE)+VLOOKUP(GIS!A235,GIS!$A$219:$M$237,{8},FALSE)+VLOOKUP(GIS!A261,GIS!$A$245:$M$263,{8},FALSE)+VLOOKUP(GIS!A287,GIS!$A$271:$M$289,{8},FALSE))*F54</f>
        <v>0</v>
      </c>
      <c r="D54" s="175">
        <f t="array" ref="D54">SUM(VLOOKUP(GIS!A80,GIS!$A$69:$M$87,{9},FALSE)+VLOOKUP(GIS!A105,GIS!$A$94:$M$112,{9},FALSE)+VLOOKUP(GIS!A130,GIS!$A$119:$M$137,{9},FALSE)+VLOOKUP(GIS!A180,GIS!$A$169:$M$187,{9},FALSE)+VLOOKUP(GIS!A205,GIS!$A$194:$M$212,{9},FALSE)+VLOOKUP(GIS!A85,GIS!$A$69:$M$87,{9},FALSE)+VLOOKUP(GIS!A110,GIS!$A$94:$M$112,{9},FALSE)+VLOOKUP(GIS!A135,GIS!$A$119:$M$137,{9},FALSE)+VLOOKUP(GIS!A185,GIS!$A$169:$M$187,{9},FALSE)+VLOOKUP(GIS!A210,GIS!$A$194:$M$212,{9},FALSE))*F54</f>
        <v>0</v>
      </c>
      <c r="E54" s="175">
        <f t="array" ref="E54">SUM(VLOOKUP(GIS!A155,GIS!$A$144:$M$162, {2,4,6,8,10,12}, FALSE)+VLOOKUP(GIS!A160,GIS!$A$144:$M$162, {2,4,6,8,10,12}, FALSE))*F54</f>
        <v>921147.32628953108</v>
      </c>
      <c r="F54" s="118">
        <f>'EIA Form 923'!E$2674</f>
        <v>0.55000304119098931</v>
      </c>
      <c r="G54" s="175"/>
      <c r="H54" s="175">
        <f t="shared" si="1"/>
        <v>-921147.32628953108</v>
      </c>
    </row>
    <row r="55" spans="1:8" ht="13">
      <c r="A55" s="139" t="s">
        <v>2248</v>
      </c>
      <c r="B55" s="175"/>
      <c r="C55" s="175"/>
      <c r="D55" s="175"/>
      <c r="E55" s="175"/>
      <c r="F55" s="118"/>
      <c r="G55" s="175"/>
      <c r="H55" s="175"/>
    </row>
    <row r="56" spans="1:8">
      <c r="A56" s="141" t="s">
        <v>382</v>
      </c>
      <c r="B56" s="175">
        <f t="array" ref="B56">SUM(VLOOKUP(GIS!A79,GIS!$A$69:$M$87,{8},FALSE)+VLOOKUP(GIS!A104,GIS!$A$94:$M$112,{8},FALSE)+VLOOKUP(GIS!A129,GIS!$A$119:$M$137,{8},FALSE)+VLOOKUP(GIS!A179,GIS!$A$169:$M$187,{8},FALSE)+VLOOKUP(GIS!A204,GIS!$A$194:$M$212,{8},FALSE))</f>
        <v>79212.006420327758</v>
      </c>
      <c r="C56" s="175">
        <f t="array" ref="C56">SUM(VLOOKUP(GIS!A229,GIS!$A$219:$M$237,{8},FALSE)+VLOOKUP(GIS!A255,GIS!$A$245:$M$263,{8},FALSE)+VLOOKUP(GIS!A281,GIS!$A$271:$M$289,{8},FALSE))</f>
        <v>484309.57958200242</v>
      </c>
      <c r="D56" s="175">
        <f t="array" ref="D56">SUM(VLOOKUP(GIS!A79,GIS!$A$69:$M$87,{9},FALSE)+VLOOKUP(GIS!A104,GIS!$A$94:$M$112,{9},FALSE)+VLOOKUP(GIS!A129,GIS!$A$119:$M$137,{9},FALSE)+VLOOKUP(GIS!A179,GIS!$A$169:$M$187,{9},FALSE)+VLOOKUP(GIS!A204,GIS!$A$194:$M$212,{9},FALSE))</f>
        <v>0</v>
      </c>
      <c r="E56" s="175">
        <f t="array" ref="E56">SUM(VLOOKUP(GIS!A154,GIS!$A$144:$M$162, {2,4,6,8,10,12}, FALSE))</f>
        <v>841456.00355284871</v>
      </c>
      <c r="F56" s="118"/>
      <c r="G56" s="175"/>
      <c r="H56" s="175">
        <f t="shared" si="1"/>
        <v>-277934.41755051853</v>
      </c>
    </row>
    <row r="57" spans="1:8">
      <c r="A57" s="141" t="s">
        <v>2478</v>
      </c>
      <c r="B57" s="175">
        <f t="array" ref="B57">SUM(VLOOKUP(GIS!A80,GIS!$A$69:$M$87,{8},FALSE)+VLOOKUP(GIS!A105,GIS!$A$94:$M$112,{8},FALSE)+VLOOKUP(GIS!A130,GIS!$A$119:$M$137,{8},FALSE)+VLOOKUP(GIS!A180,GIS!$A$169:$M$187,{8},FALSE)+VLOOKUP(GIS!A205,GIS!$A$194:$M$212,{8},FALSE)+VLOOKUP(GIS!A85,GIS!$A$69:$M$87,{8},FALSE)+VLOOKUP(GIS!A110,GIS!$A$94:$M$112,{8},FALSE)+VLOOKUP(GIS!A135,GIS!$A$119:$M$137,{8},FALSE)+VLOOKUP(GIS!A185,GIS!$A$169:$M$187,{8},FALSE)+VLOOKUP(GIS!A210,GIS!$A$194:$M$212,{8},FALSE))*F57</f>
        <v>0</v>
      </c>
      <c r="C57" s="175">
        <f t="array" ref="C57">SUM(VLOOKUP(GIS!A230,GIS!$A$219:$M$237,{8},FALSE)+VLOOKUP(GIS!A256,GIS!$A$245:$M$263,{8},FALSE)+VLOOKUP(GIS!A282,GIS!$A$271:$M$289,{8},FALSE)+VLOOKUP(GIS!A235,GIS!$A$219:$M$237,{8},FALSE)+VLOOKUP(GIS!A261,GIS!$A$245:$M$263,{8},FALSE)+VLOOKUP(GIS!A287,GIS!$A$271:$M$289,{8},FALSE))*F57</f>
        <v>0</v>
      </c>
      <c r="D57" s="175">
        <f t="array" ref="D57">SUM(VLOOKUP(GIS!A80,GIS!$A$69:$M$87,{9},FALSE)+VLOOKUP(GIS!A105,GIS!$A$94:$M$112,{9},FALSE)+VLOOKUP(GIS!A130,GIS!$A$119:$M$137,{9},FALSE)+VLOOKUP(GIS!A180,GIS!$A$169:$M$187,{9},FALSE)+VLOOKUP(GIS!A205,GIS!$A$194:$M$212,{9},FALSE)+VLOOKUP(GIS!A85,GIS!$A$69:$M$87,{9},FALSE)+VLOOKUP(GIS!A110,GIS!$A$94:$M$112,{9},FALSE)+VLOOKUP(GIS!A135,GIS!$A$119:$M$137,{9},FALSE)+VLOOKUP(GIS!A185,GIS!$A$169:$M$187,{9},FALSE)+VLOOKUP(GIS!A210,GIS!$A$194:$M$212,{9},FALSE))*F57</f>
        <v>0</v>
      </c>
      <c r="E57" s="175">
        <f t="array" ref="E57">SUM(VLOOKUP(GIS!A155,GIS!$A$144:$M$162, {2,4,6,8,10,12}, FALSE)+VLOOKUP(GIS!A160,GIS!$A$144:$M$162, {2,4,6,8,10,12}, FALSE))*F57</f>
        <v>753656.73351140623</v>
      </c>
      <c r="F57" s="118">
        <f>1-F54</f>
        <v>0.44999695880901069</v>
      </c>
      <c r="G57" s="175"/>
      <c r="H57" s="175">
        <f t="shared" si="1"/>
        <v>-753656.73351140623</v>
      </c>
    </row>
    <row r="58" spans="1:8">
      <c r="A58" s="141" t="s">
        <v>2479</v>
      </c>
      <c r="B58" s="175">
        <f t="array" ref="B58">SUM(VLOOKUP(GIS!A70,GIS!$A$69:$M$87,{8},FALSE)+VLOOKUP(GIS!A95,GIS!$A$94:$M$112,{8},FALSE)+VLOOKUP(GIS!A120,GIS!$A$119:$M$137,{8},FALSE)+VLOOKUP(GIS!A170,GIS!$A$169:$M$187,{8},FALSE)+VLOOKUP(GIS!A195,GIS!$A$194:$M$212,{8},FALSE)+VLOOKUP(GIS!A87,GIS!$A$69:$M$87,{8},FALSE)+VLOOKUP(GIS!A112,GIS!$A$94:$M$112,{8},FALSE)+VLOOKUP(GIS!A137,GIS!$A$119:$M$137,{8},FALSE)+VLOOKUP(GIS!A187,GIS!$A$169:$M$187,{8},FALSE)+VLOOKUP(GIS!A212,GIS!$A$194:$M$212,{8},FALSE))</f>
        <v>31525.62029708382</v>
      </c>
      <c r="C58" s="175">
        <f t="array" ref="C58">SUM(VLOOKUP(GIS!A220,GIS!$A$219:$M$237,{8},FALSE)+VLOOKUP(GIS!A246,GIS!$A$245:$M$263,{8},FALSE)+VLOOKUP(GIS!A272,GIS!$A$271:$M$289,{8},FALSE)+VLOOKUP(GIS!A237,GIS!$A$219:$M$237,{8},FALSE)+VLOOKUP(GIS!A263,GIS!$A$245:$M$263,{8},FALSE)+VLOOKUP(GIS!A289,GIS!$A$271:$M$289,{8},FALSE))</f>
        <v>0</v>
      </c>
      <c r="D58" s="175">
        <f t="array" ref="D58">SUM(VLOOKUP(GIS!A70,GIS!$A$69:$M$87,{9},FALSE)+VLOOKUP(GIS!A95,GIS!$A$94:$M$112,{9},FALSE)+VLOOKUP(GIS!A120,GIS!$A$119:$M$137,{9},FALSE)+VLOOKUP(GIS!A170,GIS!$A$169:$M$187,{9},FALSE)+VLOOKUP(GIS!A195,GIS!$A$194:$M$212,{9},FALSE)+VLOOKUP(GIS!A87,GIS!$A$69:$M$87,{9},FALSE)+VLOOKUP(GIS!A112,GIS!$A$94:$M$112,{9},FALSE)+VLOOKUP(GIS!A137,GIS!$A$119:$M$137,{9},FALSE)+VLOOKUP(GIS!A187,GIS!$A$169:$M$187,{9},FALSE)+VLOOKUP(GIS!A212,GIS!$A$194:$M$212,{9},FALSE))</f>
        <v>0</v>
      </c>
      <c r="E58" s="175">
        <f t="array" ref="E58">SUM(VLOOKUP(GIS!A145,GIS!$A$144:$M$162, {2,4,6,8,10,12}, FALSE)+VLOOKUP(GIS!A162,GIS!$A$144:$M$162, {2,4,6,8,10,12}, FALSE))</f>
        <v>3064373.3461813498</v>
      </c>
      <c r="G58" s="175"/>
      <c r="H58" s="175">
        <f t="shared" si="1"/>
        <v>-3032847.7258842662</v>
      </c>
    </row>
    <row r="59" spans="1:8">
      <c r="A59" s="141" t="s">
        <v>2239</v>
      </c>
      <c r="B59" s="175">
        <f t="array" ref="B59">SUM(VLOOKUP(GIS!A69,GIS!$A$69:$M$87,{8},FALSE)+VLOOKUP(GIS!A94,GIS!$A$94:$M$112,{8},FALSE)+VLOOKUP(GIS!A119,GIS!$A$119:$M$137,{8},FALSE)+VLOOKUP(GIS!A169,GIS!$A$169:$M$187,{8},FALSE)+VLOOKUP(GIS!A194,GIS!$A$194:$M$212,{8},FALSE)+VLOOKUP(GIS!A73,GIS!$A$69:$M$87,{8},FALSE)+VLOOKUP(GIS!A98,GIS!$A$94:$M$112,{8},FALSE)+VLOOKUP(GIS!A123,GIS!$A$119:$M$137,{8},FALSE)+VLOOKUP(GIS!A173,GIS!$A$169:$M$187,{8},FALSE)+VLOOKUP(GIS!A198,GIS!$A$194:$M$212,{8},FALSE))</f>
        <v>0</v>
      </c>
      <c r="C59" s="175">
        <f t="array" ref="C59">SUM(VLOOKUP(GIS!A219,GIS!$A$219:$M$237,{8},FALSE)+VLOOKUP(GIS!A245,GIS!$A$245:$M$263,{8},FALSE)+VLOOKUP(GIS!A271,GIS!$A$271:$M$289,{8},FALSE)+VLOOKUP(GIS!A223,GIS!$A$219:$M$237,{8},FALSE)+VLOOKUP(GIS!A249,GIS!$A$245:$M$263,{8},FALSE)+VLOOKUP(GIS!A275,GIS!$A$271:$M$289,{8},FALSE))</f>
        <v>0</v>
      </c>
      <c r="D59" s="175">
        <f t="array" ref="D59">SUM(VLOOKUP(GIS!A69,GIS!$A$69:$M$87,{9},FALSE)+VLOOKUP(GIS!A94,GIS!$A$94:$M$112,{9},FALSE)+VLOOKUP(GIS!A119,GIS!$A$119:$M$137,{9},FALSE)+VLOOKUP(GIS!A169,GIS!$A$169:$M$187,{9},FALSE)+VLOOKUP(GIS!A194,GIS!$A$194:$M$212,{9},FALSE)+VLOOKUP(GIS!A73,GIS!$A$69:$M$87,{9},FALSE)+VLOOKUP(GIS!A98,GIS!$A$94:$M$112,{9},FALSE)+VLOOKUP(GIS!A123,GIS!$A$119:$M$137,{9},FALSE)+VLOOKUP(GIS!A173,GIS!$A$169:$M$187,{9},FALSE)+VLOOKUP(GIS!A198,GIS!$A$194:$M$212,{9},FALSE))</f>
        <v>42009.014676463099</v>
      </c>
      <c r="E59" s="175">
        <f t="array" ref="E59">SUM(VLOOKUP(GIS!A144,GIS!$A$144:$M$162, {2,4,6,8,10,12}, FALSE)+VLOOKUP(GIS!A148,GIS!$A$144:$M$162, {2,4,6,8,10,12}, FALSE))</f>
        <v>0</v>
      </c>
      <c r="G59" s="175"/>
      <c r="H59" s="175">
        <f t="shared" si="1"/>
        <v>42009.014676463099</v>
      </c>
    </row>
    <row r="61" spans="1:8" ht="13">
      <c r="A61" s="39" t="s">
        <v>2252</v>
      </c>
    </row>
    <row r="62" spans="1:8" ht="39">
      <c r="A62" s="139" t="s">
        <v>2246</v>
      </c>
      <c r="B62" s="161" t="s">
        <v>2502</v>
      </c>
      <c r="C62" s="161" t="s">
        <v>2504</v>
      </c>
      <c r="D62" s="161" t="s">
        <v>2503</v>
      </c>
      <c r="E62" s="161" t="s">
        <v>2505</v>
      </c>
      <c r="F62" s="161" t="s">
        <v>2480</v>
      </c>
      <c r="G62" s="161" t="s">
        <v>2510</v>
      </c>
      <c r="H62" s="161" t="s">
        <v>2507</v>
      </c>
    </row>
    <row r="63" spans="1:8" ht="13">
      <c r="A63" s="39" t="s">
        <v>2247</v>
      </c>
      <c r="H63" s="175"/>
    </row>
    <row r="64" spans="1:8">
      <c r="A64" s="141" t="s">
        <v>2482</v>
      </c>
      <c r="B64" s="175">
        <f t="array" ref="B64">SUM(VLOOKUP(GIS!A72,GIS!$A$69:$M$87,{10},FALSE)+VLOOKUP(GIS!A97,GIS!$A$94:$M$112,{10},FALSE)+VLOOKUP(GIS!A122,GIS!$A$119:$M$137,{10},FALSE)+VLOOKUP(GIS!A147,GIS!$A$144:$M$162,{10},FALSE)+VLOOKUP(GIS!A197,GIS!$A$194:$M$212,{10},FALSE)+VLOOKUP(GIS!A83,GIS!$A$69:$M$87,{10},FALSE)+VLOOKUP(GIS!A108,GIS!$A$94:$M$112,{10},FALSE)+VLOOKUP(GIS!A133,GIS!$A$119:$M$137,{10},FALSE)+VLOOKUP(GIS!A158,GIS!$A$144:$M$162,{10},FALSE)+VLOOKUP(GIS!A208,GIS!$A$194:$M$212,{10},FALSE))</f>
        <v>0</v>
      </c>
      <c r="C64" s="175">
        <f t="array" ref="C64">SUM(VLOOKUP(GIS!A222,GIS!$A$219:$M$237,{10},FALSE)+VLOOKUP(GIS!A248,GIS!$A$245:$M$263,{10},FALSE)+VLOOKUP(GIS!A274,GIS!$A$271:$M$289,{10},FALSE)+VLOOKUP(GIS!A233,GIS!$A$219:$M$237,{10},FALSE)+VLOOKUP(GIS!A259,GIS!$A$245:$M$263,{10},FALSE)+VLOOKUP(GIS!A285,GIS!$A$271:$M$289,{10},FALSE))</f>
        <v>0</v>
      </c>
      <c r="D64" s="175">
        <f t="array" ref="D64">SUM(VLOOKUP(GIS!A72,GIS!$A$69:$M$87,{11},FALSE)+VLOOKUP(GIS!A97,GIS!$A$94:$M$112,{11},FALSE)+VLOOKUP(GIS!A122,GIS!$A$119:$M$137,{11},FALSE)+VLOOKUP(GIS!A147,GIS!$A$144:$M$162,{11},FALSE)+VLOOKUP(GIS!A197,GIS!$A$194:$M$212,{11},FALSE)+VLOOKUP(GIS!A83,GIS!$A$69:$M$87,{11},FALSE)+VLOOKUP(GIS!A108,GIS!$A$94:$M$112,{11},FALSE)+VLOOKUP(GIS!A133,GIS!$A$119:$M$137,{11},FALSE)+VLOOKUP(GIS!A158,GIS!$A$144:$M$162,{11},FALSE)+VLOOKUP(GIS!A208,GIS!$A$194:$M$212,{11},FALSE))</f>
        <v>0</v>
      </c>
      <c r="E64" s="175">
        <f t="array" ref="E64">SUM(VLOOKUP(GIS!A172,GIS!$A$169:$M$187, {2,4,6,8,10,12}, FALSE)+VLOOKUP(GIS!A183,GIS!$A$169:$M$187, {2,4,6,8,10,12}, FALSE))</f>
        <v>0</v>
      </c>
      <c r="F64" s="548"/>
      <c r="G64" s="175"/>
      <c r="H64" s="175">
        <f>B64+C64+D64-E64</f>
        <v>0</v>
      </c>
    </row>
    <row r="65" spans="1:8">
      <c r="A65" s="141" t="s">
        <v>374</v>
      </c>
      <c r="B65" s="175">
        <f t="array" ref="B65">SUM(VLOOKUP(GIS!A81,GIS!$A$69:$M$87,{10},FALSE)+VLOOKUP(GIS!A106,GIS!$A$94:$M$112,{10},FALSE)+VLOOKUP(GIS!A131,GIS!$A$119:$M$137,{10},FALSE)+VLOOKUP(GIS!A156,GIS!$A$144:$M$162,{10},FALSE)+VLOOKUP(GIS!A206,GIS!$A$194:$M$212,{10},FALSE))</f>
        <v>0</v>
      </c>
      <c r="C65" s="175">
        <f t="array" ref="C65">SUM(VLOOKUP(GIS!A231,GIS!$A$219:$M$237,{10},FALSE)+VLOOKUP(GIS!A257,GIS!$A$245:$M$263,{10},FALSE)+VLOOKUP(GIS!A283,GIS!$A$271:$M$289,{10},FALSE))</f>
        <v>0</v>
      </c>
      <c r="D65" s="175">
        <f t="array" ref="D65">SUM(VLOOKUP(GIS!A81,GIS!$A$69:$M$87,{11},FALSE)+VLOOKUP(GIS!A106,GIS!$A$94:$M$112,{11},FALSE)+VLOOKUP(GIS!A131,GIS!$A$119:$M$137,{11},FALSE)+VLOOKUP(GIS!A156,GIS!$A$144:$M$162,{11},FALSE)+VLOOKUP(GIS!A206,GIS!$A$194:$M$212,{11},FALSE))</f>
        <v>0</v>
      </c>
      <c r="E65" s="175">
        <f t="array" ref="E65">SUM(VLOOKUP(GIS!A181,GIS!$A$169:$M$187, {2,4,6,8,10,12}, FALSE))</f>
        <v>0</v>
      </c>
      <c r="G65" s="175"/>
      <c r="H65" s="175">
        <f>B65+C65+D65-E65</f>
        <v>0</v>
      </c>
    </row>
    <row r="66" spans="1:8">
      <c r="A66" s="141" t="s">
        <v>2477</v>
      </c>
      <c r="B66" s="175">
        <f t="array" ref="B66">SUM(VLOOKUP(GIS!A80,GIS!$A$69:$M$87,{10},FALSE)+VLOOKUP(GIS!A105,GIS!$A$94:$M$112,{10},FALSE)+VLOOKUP(GIS!A130,GIS!$A$119:$M$137,{10},FALSE)+VLOOKUP(GIS!A155,GIS!$A$144:$M$162,{10},FALSE)+VLOOKUP(GIS!A205,GIS!$A$194:$M$212,{10},FALSE)+VLOOKUP(GIS!A85,GIS!$A$69:$M$87,{10},FALSE)+VLOOKUP(GIS!A110,GIS!$A$94:$M$112,{10},FALSE)+VLOOKUP(GIS!A135,GIS!$A$119:$M$137,{10},FALSE)+VLOOKUP(GIS!A160,GIS!$A$144:$M$162,{10},FALSE)+VLOOKUP(GIS!A210,GIS!$A$194:$M$212,{10},FALSE))*F66</f>
        <v>0</v>
      </c>
      <c r="C66" s="175">
        <f t="array" ref="C66">SUM(VLOOKUP(GIS!A230,GIS!$A$219:$M$237,{10},FALSE)+VLOOKUP(GIS!A256,GIS!$A$245:$M$263,{10},FALSE)+VLOOKUP(GIS!A288,GIS!$A$271:$M$289,{10},FALSE)+VLOOKUP(GIS!A235,GIS!$A$219:$M$237,{10},FALSE)+VLOOKUP(GIS!A261,GIS!$A$245:$M$263,{10},FALSE)+VLOOKUP(GIS!A287,GIS!$A$271:$M$289,{10},FALSE))*F66</f>
        <v>0</v>
      </c>
      <c r="D66" s="175">
        <f t="array" ref="D66">SUM(VLOOKUP(GIS!A80,GIS!$A$69:$M$87,{11},FALSE)+VLOOKUP(GIS!A105,GIS!$A$94:$M$112,{11},FALSE)+VLOOKUP(GIS!A130,GIS!$A$119:$M$137,{11},FALSE)+VLOOKUP(GIS!A155,GIS!$A$144:$M$162,{11},FALSE)+VLOOKUP(GIS!A205,GIS!$A$194:$M$212,{11},FALSE)+VLOOKUP(GIS!A85,GIS!$A$69:$M$87,{11},FALSE)+VLOOKUP(GIS!A110,GIS!$A$94:$M$112,{11},FALSE)+VLOOKUP(GIS!A135,GIS!$A$119:$M$137,{11},FALSE)+VLOOKUP(GIS!A160,GIS!$A$144:$M$162,{11},FALSE)+VLOOKUP(GIS!A210,GIS!$A$194:$M$212,{11},FALSE))*F66</f>
        <v>0</v>
      </c>
      <c r="E66" s="175">
        <f t="array" ref="E66">SUM(VLOOKUP(GIS!A180,GIS!$A$169:$M$187, {2,4,6,8,10,12}, FALSE)+VLOOKUP(GIS!A185,GIS!$A$169:$M$187, {2,4,6,8,10,12}, FALSE))*F66</f>
        <v>0</v>
      </c>
      <c r="F66" s="118">
        <f>'EIA Form 923'!E$2674</f>
        <v>0.55000304119098931</v>
      </c>
      <c r="G66" s="175"/>
      <c r="H66" s="175">
        <f t="shared" ref="H66:H71" si="2">B66+C66+D66-E66</f>
        <v>0</v>
      </c>
    </row>
    <row r="67" spans="1:8" ht="13">
      <c r="A67" s="139" t="s">
        <v>2248</v>
      </c>
      <c r="B67" s="175"/>
      <c r="C67" s="175"/>
      <c r="D67" s="175"/>
      <c r="E67" s="175"/>
      <c r="F67" s="118"/>
      <c r="G67" s="175"/>
      <c r="H67" s="175"/>
    </row>
    <row r="68" spans="1:8">
      <c r="A68" s="141" t="s">
        <v>382</v>
      </c>
      <c r="B68" s="175">
        <f t="array" ref="B68">SUM(VLOOKUP(GIS!A79,GIS!$A$69:$M$87,{10},FALSE)+VLOOKUP(GIS!A104,GIS!$A$94:$M$112,{10},FALSE)+VLOOKUP(GIS!A129,GIS!$A$119:$M$137,{10},FALSE)+VLOOKUP(GIS!A154,GIS!$A$144:$M$162,{10},FALSE)+VLOOKUP(GIS!A204,GIS!$A$194:$M$212,{10},FALSE))</f>
        <v>0</v>
      </c>
      <c r="C68" s="175">
        <f t="array" ref="C68">SUM(VLOOKUP(GIS!A229,GIS!$A$219:$M$237,{10},FALSE)+VLOOKUP(GIS!A255,GIS!$A$245:$M$263,{10},FALSE)+VLOOKUP(GIS!A281,GIS!$A$271:$M$289,{10},FALSE))</f>
        <v>69092.111967339733</v>
      </c>
      <c r="D68" s="175">
        <f t="array" ref="D68">SUM(VLOOKUP(GIS!A79,GIS!$A$69:$M$87,{11},FALSE)+VLOOKUP(GIS!A104,GIS!$A$94:$M$112,{11},FALSE)+VLOOKUP(GIS!A129,GIS!$A$119:$M$137,{11},FALSE)+VLOOKUP(GIS!A154,GIS!$A$144:$M$162,{11},FALSE)+VLOOKUP(GIS!A204,GIS!$A$194:$M$212,{11},FALSE))</f>
        <v>0</v>
      </c>
      <c r="E68" s="175">
        <f t="array" ref="E68">SUM(VLOOKUP(GIS!A179,GIS!$A$169:$M$187, {2,4,6,8,10,12}, FALSE))</f>
        <v>179845.80952377408</v>
      </c>
      <c r="F68" s="118"/>
      <c r="G68" s="175"/>
      <c r="H68" s="175">
        <f t="shared" si="2"/>
        <v>-110753.69755643434</v>
      </c>
    </row>
    <row r="69" spans="1:8">
      <c r="A69" s="141" t="s">
        <v>2478</v>
      </c>
      <c r="B69" s="175">
        <f t="array" ref="B69">SUM(VLOOKUP(GIS!A80,GIS!$A$69:$M$87,{10},FALSE)+VLOOKUP(GIS!A105,GIS!$A$94:$M$112,{10},FALSE)+VLOOKUP(GIS!A130,GIS!$A$119:$M$137,{10},FALSE)+VLOOKUP(GIS!A155,GIS!$A$144:$M$162,{10},FALSE)+VLOOKUP(GIS!A205,GIS!$A$194:$M$212,{10},FALSE)+VLOOKUP(GIS!A85,GIS!$A$69:$M$87,{10},FALSE)+VLOOKUP(GIS!A110,GIS!$A$94:$M$112,{10},FALSE)+VLOOKUP(GIS!A135,GIS!$A$119:$M$137,{10},FALSE)+VLOOKUP(GIS!A160,GIS!$A$144:$M$162,{10},FALSE)+VLOOKUP(GIS!A210,GIS!$A$194:$M$212,{10},FALSE))*F69</f>
        <v>0</v>
      </c>
      <c r="C69" s="175">
        <f t="array" ref="C69">SUM(VLOOKUP(GIS!A230,GIS!$A$219:$M$237,{10},FALSE)+VLOOKUP(GIS!A256,GIS!$A$245:$M$263,{10},FALSE)+VLOOKUP(GIS!A282,GIS!$A$271:$M$289,{10},FALSE)+VLOOKUP(GIS!A235,GIS!$A$219:$M$237,{10},FALSE)+VLOOKUP(GIS!A261,GIS!$A$245:$M$263,{10},FALSE)+VLOOKUP(GIS!A287,GIS!$A$271:$M$289,{10},FALSE))*F69</f>
        <v>0</v>
      </c>
      <c r="D69" s="175">
        <f t="array" ref="D69">SUM(VLOOKUP(GIS!A80,GIS!$A$69:$M$87,{11},FALSE)+VLOOKUP(GIS!A105,GIS!$A$94:$M$112,{11},FALSE)+VLOOKUP(GIS!A130,GIS!$A$119:$M$137,{11},FALSE)+VLOOKUP(GIS!A155,GIS!$A$144:$M$162,{11},FALSE)+VLOOKUP(GIS!A205,GIS!$A$194:$M$212,{11},FALSE)+VLOOKUP(GIS!A85,GIS!$A$69:$M$87,{11},FALSE)+VLOOKUP(GIS!A110,GIS!$A$94:$M$112,{11},FALSE)+VLOOKUP(GIS!A135,GIS!$A$119:$M$137,{11},FALSE)+VLOOKUP(GIS!A160,GIS!$A$144:$M$162,{11},FALSE)+VLOOKUP(GIS!A210,GIS!$A$194:$M$212,{11},FALSE))*F69</f>
        <v>0</v>
      </c>
      <c r="E69" s="175">
        <f t="array" ref="E69">SUM(VLOOKUP(GIS!A180,GIS!$A$169:$M$187, {2,4,6,8,10,12}, FALSE)+VLOOKUP(GIS!A185,GIS!$A$169:$M$187, {2,4,6,8,10,12}, FALSE))*F69</f>
        <v>0</v>
      </c>
      <c r="F69" s="118">
        <f>1-F66</f>
        <v>0.44999695880901069</v>
      </c>
      <c r="G69" s="175"/>
      <c r="H69" s="175">
        <f t="shared" si="2"/>
        <v>0</v>
      </c>
    </row>
    <row r="70" spans="1:8">
      <c r="A70" s="141" t="s">
        <v>2479</v>
      </c>
      <c r="B70" s="175">
        <f t="array" ref="B70">SUM(VLOOKUP(GIS!A70,GIS!$A$69:$M$87,{10},FALSE)+VLOOKUP(GIS!A95,GIS!$A$94:$M$112,{10},FALSE)+VLOOKUP(GIS!A120,GIS!$A$119:$M$137,{10},FALSE)+VLOOKUP(GIS!A145,GIS!$A$144:$M$162,{10},FALSE)+VLOOKUP(GIS!A195,GIS!$A$194:$M$212,{10},FALSE)+VLOOKUP(GIS!A87,GIS!$A$69:$M$87,{10},FALSE)+VLOOKUP(GIS!A112,GIS!$A$94:$M$112,{10},FALSE)+VLOOKUP(GIS!A137,GIS!$A$119:$M$137,{10},FALSE)+VLOOKUP(GIS!A162,GIS!$A$144:$M$162,{10},FALSE)+VLOOKUP(GIS!A212,GIS!$A$194:$M$212,{10},FALSE))</f>
        <v>1708261.5894598335</v>
      </c>
      <c r="C70" s="175">
        <f t="array" ref="C70">SUM(VLOOKUP(GIS!A220,GIS!$A$219:$M$237,{10},FALSE)+VLOOKUP(GIS!A246,GIS!$A$245:$M$263,{10},FALSE)+VLOOKUP(GIS!A272,GIS!$A$271:$M$289,{10},FALSE)+VLOOKUP(GIS!A237,GIS!$A$219:$M$237,{10},FALSE)+VLOOKUP(GIS!A263,GIS!$A$245:$M$263,{10},FALSE)+VLOOKUP(GIS!A289,GIS!$A$271:$M$289,{10},FALSE))</f>
        <v>0</v>
      </c>
      <c r="D70" s="175">
        <f t="array" ref="D70">SUM(VLOOKUP(GIS!A70,GIS!$A$69:$M$87,{11},FALSE)+VLOOKUP(GIS!A95,GIS!$A$94:$M$112,{11},FALSE)+VLOOKUP(GIS!A120,GIS!$A$119:$M$137,{11},FALSE)+VLOOKUP(GIS!A145,GIS!$A$144:$M$162,{11},FALSE)+VLOOKUP(GIS!A195,GIS!$A$194:$M$212,{11},FALSE)+VLOOKUP(GIS!A87,GIS!$A$69:$M$87,{11},FALSE)+VLOOKUP(GIS!A112,GIS!$A$94:$M$112,{11},FALSE)+VLOOKUP(GIS!A137,GIS!$A$119:$M$137,{11},FALSE)+VLOOKUP(GIS!A162,GIS!$A$144:$M$162,{11},FALSE)+VLOOKUP(GIS!A202,GIS!$A$194:$M$212,{11},FALSE))</f>
        <v>15503.645683445118</v>
      </c>
      <c r="E70" s="175">
        <f t="array" ref="E70">SUM(VLOOKUP(GIS!A170,GIS!$A$169:$M$187, {2,4,6,8,10,12}, FALSE)+VLOOKUP(GIS!A187,GIS!$A$169:$M$187, {2,4,6,8,10,12}, FALSE))</f>
        <v>0</v>
      </c>
      <c r="G70" s="175"/>
      <c r="H70" s="175">
        <f t="shared" si="2"/>
        <v>1723765.2351432785</v>
      </c>
    </row>
    <row r="71" spans="1:8">
      <c r="A71" s="141" t="s">
        <v>2239</v>
      </c>
      <c r="B71" s="175">
        <f t="array" ref="B71">SUM(VLOOKUP(GIS!A69,GIS!$A$69:$M$87,{10},FALSE)+VLOOKUP(GIS!A94,GIS!$A$94:$M$112,{10},FALSE)+VLOOKUP(GIS!A119,GIS!$A$119:$M$137,{10},FALSE)+VLOOKUP(GIS!A144,GIS!$A$144:$M$162,{10},FALSE)+VLOOKUP(GIS!A194,GIS!$A$194:$M$212,{10},FALSE)+VLOOKUP(GIS!A73,GIS!$A$69:$M$87,{10},FALSE)+VLOOKUP(GIS!A98,GIS!$A$94:$M$112,{10},FALSE)+VLOOKUP(GIS!A123,GIS!$A$119:$M$137,{10},FALSE)+VLOOKUP(GIS!A148,GIS!$A$144:$M$162,{10},FALSE)+VLOOKUP(GIS!A198,GIS!$A$194:$M$212,{10},FALSE))</f>
        <v>0</v>
      </c>
      <c r="C71" s="175">
        <f t="array" ref="C71">SUM(VLOOKUP(GIS!A219,GIS!$A$219:$M$237,{10},FALSE)+VLOOKUP(GIS!A245,GIS!$A$245:$M$263,{10},FALSE)+VLOOKUP(GIS!A271,GIS!$A$271:$M$289,{10},FALSE)+VLOOKUP(GIS!A223,GIS!$A$219:$M$237,{10},FALSE)+VLOOKUP(GIS!A249,GIS!$A$245:$M$263,{10},FALSE)+VLOOKUP(GIS!A275,GIS!$A$271:$M$289,{10},FALSE))</f>
        <v>0</v>
      </c>
      <c r="D71" s="175">
        <f t="array" ref="D71">SUM(VLOOKUP(GIS!A69,GIS!$A$69:$M$87,{11},FALSE)+VLOOKUP(GIS!A94,GIS!$A$94:$M$112,{11},FALSE)+VLOOKUP(GIS!A119,GIS!$A$119:$M$137,{11},FALSE)+VLOOKUP(GIS!A144,GIS!$A$144:$M$162,{11},FALSE)+VLOOKUP(GIS!A194,GIS!$A$194:$M$212,{11},FALSE)+VLOOKUP(GIS!A73,GIS!$A$69:$M$87,{11},FALSE)+VLOOKUP(GIS!A98,GIS!$A$94:$M$112,{11},FALSE)+VLOOKUP(GIS!A123,GIS!$A$119:$M$137,{11},FALSE)+VLOOKUP(GIS!A148,GIS!$A$144:$M$162,{11},FALSE)+VLOOKUP(GIS!A198,GIS!$A$194:$M$212,{11},FALSE))</f>
        <v>0</v>
      </c>
      <c r="E71" s="175">
        <f t="array" ref="E71">SUM(VLOOKUP(GIS!A169,GIS!$A$169:$M$187, {2,4,6,8,10,12}, FALSE)+VLOOKUP(GIS!A173,GIS!$A$169:$M$187, {2,4,6,8,10,12}, FALSE))</f>
        <v>0</v>
      </c>
      <c r="G71" s="175"/>
      <c r="H71" s="175">
        <f t="shared" si="2"/>
        <v>0</v>
      </c>
    </row>
    <row r="73" spans="1:8" ht="13">
      <c r="A73" s="39" t="s">
        <v>2253</v>
      </c>
    </row>
    <row r="74" spans="1:8" ht="39">
      <c r="A74" s="139" t="s">
        <v>2246</v>
      </c>
      <c r="B74" s="161" t="s">
        <v>2502</v>
      </c>
      <c r="C74" s="161" t="s">
        <v>2504</v>
      </c>
      <c r="D74" s="161" t="s">
        <v>2503</v>
      </c>
      <c r="E74" s="161" t="s">
        <v>2505</v>
      </c>
      <c r="F74" s="161" t="s">
        <v>2480</v>
      </c>
      <c r="G74" s="161" t="s">
        <v>2510</v>
      </c>
      <c r="H74" s="161" t="s">
        <v>2507</v>
      </c>
    </row>
    <row r="75" spans="1:8" ht="13">
      <c r="A75" s="39" t="s">
        <v>2247</v>
      </c>
      <c r="H75" s="175"/>
    </row>
    <row r="76" spans="1:8">
      <c r="A76" s="141" t="s">
        <v>2482</v>
      </c>
      <c r="B76" s="175">
        <f t="array" ref="B76">SUM(VLOOKUP(GIS!A72,GIS!$A$69:$M$87,{12},FALSE)+VLOOKUP(GIS!A97,GIS!$A$94:$M$112,{12},FALSE)+VLOOKUP(GIS!A122,GIS!$A$119:$M$137,{12},FALSE)+VLOOKUP(GIS!A147,GIS!$A$144:$M$162,{12},FALSE)+VLOOKUP(GIS!A172,GIS!$A$169:$M$187,{12},FALSE)+VLOOKUP(GIS!A83,GIS!$A$69:$M$87,{12},FALSE)+VLOOKUP(GIS!A108,GIS!$A$94:$M$112,{12},FALSE)+VLOOKUP(GIS!A133,GIS!$A$119:$M$137,{12},FALSE)+VLOOKUP(GIS!A158,GIS!$A$144:$M$162,{12},FALSE)+VLOOKUP(GIS!A183,GIS!$A$169:$M$187,{12},FALSE))</f>
        <v>0</v>
      </c>
      <c r="C76" s="175">
        <f t="array" ref="C76">SUM(VLOOKUP(GIS!A222,GIS!$A$219:$M$237,{12},FALSE)+VLOOKUP(GIS!A248,GIS!$A$245:$M$263,{12},FALSE)+VLOOKUP(GIS!A274,GIS!$A$271:$M$289,{12},FALSE)+VLOOKUP(GIS!A233,GIS!$A$219:$M$237,{12},FALSE)+VLOOKUP(GIS!A259,GIS!$A$245:$M$263,{12},FALSE)+VLOOKUP(GIS!A285,GIS!$A$271:$M$289,{12},FALSE))</f>
        <v>0</v>
      </c>
      <c r="D76" s="175">
        <f t="array" ref="D76">SUM(VLOOKUP(GIS!A72,GIS!$A$69:$M$87,{13},FALSE)+VLOOKUP(GIS!A97,GIS!$A$94:$M$112,{13},FALSE)+VLOOKUP(GIS!A122,GIS!$A$119:$M$137,{13},FALSE)+VLOOKUP(GIS!A147,GIS!$A$144:$M$162,{13},FALSE)+VLOOKUP(GIS!A172,GIS!$A$169:$M$187,{13},FALSE)+VLOOKUP(GIS!A83,GIS!$A$69:$M$87,{13},FALSE)+VLOOKUP(GIS!A108,GIS!$A$94:$M$112,{13},FALSE)+VLOOKUP(GIS!A133,GIS!$A$119:$M$137,{13},FALSE)+VLOOKUP(GIS!A158,GIS!$A$144:$M$162,{13},FALSE)+VLOOKUP(GIS!A183,GIS!$A$169:$M$187,{13},FALSE))</f>
        <v>0</v>
      </c>
      <c r="E76" s="175">
        <f t="array" ref="E76">SUM(VLOOKUP(GIS!A197,GIS!$A$194:$M$212, {2,4,6,8,10,12}, FALSE)+VLOOKUP(GIS!A208,GIS!$A$194:$M$212, {2,4,6,8,10,12}, FALSE))</f>
        <v>0</v>
      </c>
      <c r="F76" s="548"/>
      <c r="G76" s="175"/>
      <c r="H76" s="175">
        <f>B76+C76+D76-E76</f>
        <v>0</v>
      </c>
    </row>
    <row r="77" spans="1:8">
      <c r="A77" s="141" t="s">
        <v>374</v>
      </c>
      <c r="B77" s="175">
        <f t="array" ref="B77">SUM(VLOOKUP(GIS!A81,GIS!$A$69:$M$87,{12},FALSE)+VLOOKUP(GIS!A106,GIS!$A$94:$M$112,{12},FALSE)+VLOOKUP(GIS!A131,GIS!$A$119:$M$137,{12},FALSE)+VLOOKUP(GIS!A156,GIS!$A$144:$M$162,{12},FALSE)+VLOOKUP(GIS!A181,GIS!$A$169:$M$187,{12},FALSE))</f>
        <v>0</v>
      </c>
      <c r="C77" s="175">
        <f t="array" ref="C77">SUM(VLOOKUP(GIS!A231,GIS!$A$219:$M$237,{12},FALSE)+VLOOKUP(GIS!A257,GIS!$A$245:$M$263,{12},FALSE)+VLOOKUP(GIS!A283,GIS!$A$271:$M$289,{12},FALSE))</f>
        <v>0</v>
      </c>
      <c r="D77" s="175">
        <f t="array" ref="D77">SUM(VLOOKUP(GIS!A81,GIS!$A$69:$M$87,{13},FALSE)+VLOOKUP(GIS!A106,GIS!$A$94:$M$112,{13},FALSE)+VLOOKUP(GIS!A131,GIS!$A$119:$M$137,{13},FALSE)+VLOOKUP(GIS!A156,GIS!$A$144:$M$162,{13},FALSE)+VLOOKUP(GIS!A181,GIS!$A$169:$M$187,{13},FALSE))</f>
        <v>0</v>
      </c>
      <c r="E77" s="175">
        <f t="array" ref="E77">SUM(VLOOKUP(GIS!A206,GIS!$A$194:$M$212, {2,4,6,8,10,12}, FALSE))</f>
        <v>0</v>
      </c>
      <c r="G77" s="175"/>
      <c r="H77" s="175">
        <f>B77+C77+D77-E77</f>
        <v>0</v>
      </c>
    </row>
    <row r="78" spans="1:8">
      <c r="A78" s="141" t="s">
        <v>2477</v>
      </c>
      <c r="B78" s="175">
        <f t="array" ref="B78">SUM(VLOOKUP(GIS!A80,GIS!$A$69:$M$87,{12},FALSE)+VLOOKUP(GIS!A105,GIS!$A$94:$M$112,{12},FALSE)+VLOOKUP(GIS!A130,GIS!$A$119:$M$137,{12},FALSE)+VLOOKUP(GIS!A155,GIS!$A$144:$M$162,{12},FALSE)+VLOOKUP(GIS!A180,GIS!$A$169:$M$187,{12},FALSE)+VLOOKUP(GIS!A85,GIS!$A$69:$M$87,{12},FALSE)+VLOOKUP(GIS!A110,GIS!$A$94:$M$112,{12},FALSE)+VLOOKUP(GIS!A135,GIS!$A$119:$M$137,{12},FALSE)+VLOOKUP(GIS!A160,GIS!$A$144:$M$162,{12},FALSE)+VLOOKUP(GIS!A185,GIS!$A$169:$M$187,{12},FALSE))*F78</f>
        <v>0</v>
      </c>
      <c r="C78" s="175">
        <f t="array" ref="C78">SUM(VLOOKUP(GIS!A230,GIS!$A$219:$M$237,{12},FALSE)+VLOOKUP(GIS!A256,GIS!$A$245:$M$263,{12},FALSE)+VLOOKUP(GIS!A282,GIS!$A$271:$M$289,{12},FALSE)+VLOOKUP(GIS!A235,GIS!$A$219:$M$237,{12},FALSE)+VLOOKUP(GIS!A261,GIS!$A$245:$M$263,{12},FALSE)+VLOOKUP(GIS!A287,GIS!$A$271:$M$289,{12},FALSE))*F78</f>
        <v>0</v>
      </c>
      <c r="D78" s="175">
        <f t="array" ref="D78">SUM(VLOOKUP(GIS!A80,GIS!$A$69:$M$87,{13},FALSE)+VLOOKUP(GIS!A105,GIS!$A$94:$M$112,{13},FALSE)+VLOOKUP(GIS!A130,GIS!$A$119:$M$137,{13},FALSE)+VLOOKUP(GIS!A155,GIS!$A$144:$M$162,{13},FALSE)+VLOOKUP(GIS!A180,GIS!$A$169:$M$187,{13},FALSE)+VLOOKUP(GIS!A85,GIS!$A$69:$M$87,{13},FALSE)+VLOOKUP(GIS!A110,GIS!$A$94:$M$112,{13},FALSE)+VLOOKUP(GIS!A135,GIS!$A$119:$M$137,{13},FALSE)+VLOOKUP(GIS!A160,GIS!$A$144:$M$162,{13},FALSE)+VLOOKUP(GIS!A185,GIS!$A$169:$M$187,{13},FALSE))*F78</f>
        <v>0</v>
      </c>
      <c r="E78" s="175">
        <f t="array" ref="E78">SUM(VLOOKUP(GIS!A205,GIS!$A$194:$M$212, {2,4,6,8,10,12}, FALSE)+VLOOKUP(GIS!A210,GIS!$A$194:$M$212, {2,4,6,8,10,12}, FALSE))*F78</f>
        <v>0</v>
      </c>
      <c r="F78" s="118">
        <f>'EIA Form 923'!E$2674</f>
        <v>0.55000304119098931</v>
      </c>
      <c r="G78" s="175"/>
      <c r="H78" s="175">
        <f t="shared" ref="H78:H83" si="3">B78+C78+D78-E78</f>
        <v>0</v>
      </c>
    </row>
    <row r="79" spans="1:8" ht="13">
      <c r="A79" s="139" t="s">
        <v>2248</v>
      </c>
      <c r="B79" s="175"/>
      <c r="C79" s="175"/>
      <c r="D79" s="175"/>
      <c r="E79" s="175"/>
      <c r="F79" s="118"/>
      <c r="G79" s="175"/>
      <c r="H79" s="175"/>
    </row>
    <row r="80" spans="1:8">
      <c r="A80" s="141" t="s">
        <v>382</v>
      </c>
      <c r="B80" s="175">
        <f t="array" ref="B80">SUM(VLOOKUP(GIS!A79,GIS!$A$69:$M$87,{12},FALSE)+VLOOKUP(GIS!A104,GIS!$A$94:$M$112,{12},FALSE)+VLOOKUP(GIS!A129,GIS!$A$119:$M$137,{12},FALSE)+VLOOKUP(GIS!A154,GIS!$A$144:$M$162,{12},FALSE)+VLOOKUP(GIS!A179,GIS!$A$169:$M$187,{12},FALSE))</f>
        <v>0</v>
      </c>
      <c r="C80" s="175">
        <f t="array" ref="C80">SUM(VLOOKUP(GIS!A229,GIS!$A$219:$M$237,{12},FALSE)+VLOOKUP(GIS!A255,GIS!$A$245:$M$263,{12},FALSE)+VLOOKUP(GIS!A281,GIS!$A$271:$M$289,{12},FALSE))</f>
        <v>0</v>
      </c>
      <c r="D80" s="175">
        <f t="array" ref="D80">SUM(VLOOKUP(GIS!A79,GIS!$A$69:$M$87,{13},FALSE)+VLOOKUP(GIS!A104,GIS!$A$94:$M$112,{13},FALSE)+VLOOKUP(GIS!A129,GIS!$A$119:$M$137,{13},FALSE)+VLOOKUP(GIS!A154,GIS!$A$144:$M$162,{13},FALSE)+VLOOKUP(GIS!A179,GIS!$A$169:$M$187,{13},FALSE))</f>
        <v>0</v>
      </c>
      <c r="E80" s="175">
        <f t="array" ref="E80">SUM(VLOOKUP(GIS!A204,GIS!$A$194:$M$212, {2,4,6,8,10,12}, FALSE))</f>
        <v>573458.04913978104</v>
      </c>
      <c r="F80" s="118"/>
      <c r="G80" s="175"/>
      <c r="H80" s="175">
        <f t="shared" si="3"/>
        <v>-573458.04913978104</v>
      </c>
    </row>
    <row r="81" spans="1:8">
      <c r="A81" s="141" t="s">
        <v>2478</v>
      </c>
      <c r="B81" s="175">
        <f t="array" ref="B81">SUM(VLOOKUP(GIS!A80,GIS!$A$69:$M$87,{12},FALSE)+VLOOKUP(GIS!A105,GIS!$A$94:$M$112,{12},FALSE)+VLOOKUP(GIS!A130,GIS!$A$119:$M$137,{12},FALSE)+VLOOKUP(GIS!A155,GIS!$A$144:$M$162,{12},FALSE)+VLOOKUP(GIS!A180,GIS!$A$169:$M$187,{12},FALSE)+VLOOKUP(GIS!A85,GIS!$A$69:$M$87,{12},FALSE)+VLOOKUP(GIS!A110,GIS!$A$94:$M$112,{12},FALSE)+VLOOKUP(GIS!A135,GIS!$A$119:$M$137,{12},FALSE)+VLOOKUP(GIS!A160,GIS!$A$144:$M$162,{12},FALSE)+VLOOKUP(GIS!A185,GIS!$A$169:$M$187,{12},FALSE))*F81</f>
        <v>0</v>
      </c>
      <c r="C81" s="175">
        <f t="array" ref="C81">SUM(VLOOKUP(GIS!A230,GIS!$A$219:$M$237,{12},FALSE)+VLOOKUP(GIS!A256,GIS!$A$245:$M$263,{12},FALSE)+VLOOKUP(GIS!A282,GIS!$A$271:$M$289,{12},FALSE)+VLOOKUP(GIS!A235,GIS!$A$219:$M$237,{12},FALSE)+VLOOKUP(GIS!A261,GIS!$A$245:$M$263,{12},FALSE)+VLOOKUP(GIS!A287,GIS!$A$271:$M$289,{12},FALSE))*F81</f>
        <v>0</v>
      </c>
      <c r="D81" s="175">
        <f t="array" ref="D81">SUM(VLOOKUP(GIS!A80,GIS!$A$69:$M$87,{13},FALSE)+VLOOKUP(GIS!A105,GIS!$A$94:$M$112,{13},FALSE)+VLOOKUP(GIS!A130,GIS!$A$119:$M$137,{13},FALSE)+VLOOKUP(GIS!A155,GIS!$A$144:$M$162,{13},FALSE)+VLOOKUP(GIS!A180,GIS!$A$169:$M$187,{13},FALSE)+VLOOKUP(GIS!A85,GIS!$A$69:$M$87,{13},FALSE)+VLOOKUP(GIS!A110,GIS!$A$94:$M$112,{13},FALSE)+VLOOKUP(GIS!A135,GIS!$A$119:$M$137,{13},FALSE)+VLOOKUP(GIS!A160,GIS!$A$144:$M$162,{13},FALSE)+VLOOKUP(GIS!A185,GIS!$A$169:$M$187,{13},FALSE))*F81</f>
        <v>0</v>
      </c>
      <c r="E81" s="175">
        <f t="array" ref="E81">SUM(VLOOKUP(GIS!A205,GIS!$A$194:$M$212, {2,4,6,8,10,12}, FALSE)+VLOOKUP(GIS!A210,GIS!$A$194:$M$212, {2,4,6,8,10,12}, FALSE))*F81</f>
        <v>0</v>
      </c>
      <c r="F81" s="118">
        <f>1-F78</f>
        <v>0.44999695880901069</v>
      </c>
      <c r="G81" s="175"/>
      <c r="H81" s="175">
        <f t="shared" si="3"/>
        <v>0</v>
      </c>
    </row>
    <row r="82" spans="1:8">
      <c r="A82" s="141" t="s">
        <v>2479</v>
      </c>
      <c r="B82" s="175">
        <f t="array" ref="B82">SUM(VLOOKUP(GIS!A70,GIS!$A$69:$M$87,{12},FALSE)+VLOOKUP(GIS!A95,GIS!$A$94:$M$112,{12},FALSE)+VLOOKUP(GIS!A120,GIS!$A$119:$M$137,{12},FALSE)+VLOOKUP(GIS!A145,GIS!$A$144:$M$162,{12},FALSE)+VLOOKUP(GIS!A170,GIS!$A$169:$M$187,{12},FALSE)+VLOOKUP(GIS!A87,GIS!$A$69:$M$87,{12},FALSE)+VLOOKUP(GIS!A112,GIS!$A$94:$M$112,{12},FALSE)+VLOOKUP(GIS!A137,GIS!$A$119:$M$137,{12},FALSE)+VLOOKUP(GIS!A162,GIS!$A$144:$M$162,{12},FALSE)+VLOOKUP(GIS!A187,GIS!$A$169:$M$187,{12},FALSE))</f>
        <v>0</v>
      </c>
      <c r="C82" s="175">
        <f t="array" ref="C82">SUM(VLOOKUP(GIS!A220,GIS!$A$219:$M$237,{12},FALSE)+VLOOKUP(GIS!A246,GIS!$A$245:$M$263,{12},FALSE)+VLOOKUP(GIS!A272,GIS!$A$271:$M$289,{12},FALSE)+VLOOKUP(GIS!A237,GIS!$A$219:$M$237,{12},FALSE)+VLOOKUP(GIS!A263,GIS!$A$245:$M$263,{12},FALSE)+VLOOKUP(GIS!A289,GIS!$A$271:$M$289,{12},FALSE))</f>
        <v>0</v>
      </c>
      <c r="D82" s="175">
        <f t="array" ref="D82">SUM(VLOOKUP(GIS!A70,GIS!$A$69:$M$87,{13},FALSE)+VLOOKUP(GIS!A95,GIS!$A$94:$M$112,{13},FALSE)+VLOOKUP(GIS!A120,GIS!$A$119:$M$137,{13},FALSE)+VLOOKUP(GIS!A145,GIS!$A$144:$M$162,{13},FALSE)+VLOOKUP(GIS!A170,GIS!$A$169:$M$187,{13},FALSE)+VLOOKUP(GIS!A87,GIS!$A$69:$M$87,{13},FALSE)+VLOOKUP(GIS!A112,GIS!$A$94:$M$112,{13},FALSE)+VLOOKUP(GIS!A137,GIS!$A$119:$M$137,{13},FALSE)+VLOOKUP(GIS!A162,GIS!$A$144:$M$162,{13},FALSE)+VLOOKUP(GIS!A187,GIS!$A$169:$M$187,{13},FALSE))</f>
        <v>0</v>
      </c>
      <c r="E82" s="175">
        <f t="array" ref="E82">SUM(VLOOKUP(GIS!A195,GIS!$A$194:$M$212, {2,4,6,8,10,12}, FALSE)+VLOOKUP(GIS!A212,GIS!$A$194:$M$212, {2,4,6,8,10,12}, FALSE))</f>
        <v>5426957.7938916795</v>
      </c>
      <c r="G82" s="175"/>
      <c r="H82" s="175">
        <f t="shared" si="3"/>
        <v>-5426957.7938916795</v>
      </c>
    </row>
    <row r="83" spans="1:8">
      <c r="A83" s="141" t="s">
        <v>2239</v>
      </c>
      <c r="B83" s="175">
        <f t="array" ref="B83">SUM(VLOOKUP(GIS!A69,GIS!$A$69:$M$87,{12},FALSE)+VLOOKUP(GIS!A94,GIS!$A$94:$M$112,{12},FALSE)+VLOOKUP(GIS!A119,GIS!$A$119:$M$137,{12},FALSE)+VLOOKUP(GIS!A144,GIS!$A$144:$M$162,{12},FALSE)+VLOOKUP(GIS!A169,GIS!$A$169:$M$187,{12},FALSE)+VLOOKUP(GIS!A73,GIS!$A$69:$M$87,{12},FALSE)+VLOOKUP(GIS!A98,GIS!$A$94:$M$112,{12},FALSE)+VLOOKUP(GIS!A123,GIS!$A$119:$M$137,{12},FALSE)+VLOOKUP(GIS!A148,GIS!$A$144:$M$162,{12},FALSE)+VLOOKUP(GIS!A173,GIS!$A$169:$M$187,{12},FALSE))</f>
        <v>0</v>
      </c>
      <c r="C83" s="175">
        <f t="array" ref="C83">SUM(VLOOKUP(GIS!A219,GIS!$A$219:$M$237,{12},FALSE)+VLOOKUP(GIS!A245,GIS!$A$245:$M$263,{12},FALSE)+VLOOKUP(GIS!A271,GIS!$A$271:$M$289,{12},FALSE)+VLOOKUP(GIS!A223,GIS!$A$219:$M$237,{12},FALSE)+VLOOKUP(GIS!A249,GIS!$A$245:$M$263,{12},FALSE)+VLOOKUP(GIS!A275,GIS!$A$271:$M$289,{12},FALSE))</f>
        <v>0</v>
      </c>
      <c r="D83" s="175">
        <f t="array" ref="D83">SUM(VLOOKUP(GIS!A69,GIS!$A$69:$M$87,{13},FALSE)+VLOOKUP(GIS!A94,GIS!$A$94:$M$112,{13},FALSE)+VLOOKUP(GIS!A119,GIS!$A$119:$M$137,{13},FALSE)+VLOOKUP(GIS!A144,GIS!$A$144:$M$162,{13},FALSE)+VLOOKUP(GIS!A169,GIS!$A$169:$M$187,{13},FALSE)+VLOOKUP(GIS!A73,GIS!$A$69:$M$87,{13},FALSE)+VLOOKUP(GIS!A98,GIS!$A$94:$M$112,{13},FALSE)+VLOOKUP(GIS!A123,GIS!$A$119:$M$137,{13},FALSE)+VLOOKUP(GIS!A148,GIS!$A$144:$M$162,{13},FALSE)+VLOOKUP(GIS!A173,GIS!$A$169:$M$187,{13},FALSE))</f>
        <v>0</v>
      </c>
      <c r="E83" s="175">
        <f t="array" ref="E83">SUM(VLOOKUP(GIS!A194,GIS!$A$194:$M$212, {2,4,6,8,10,12}, FALSE)+VLOOKUP(GIS!A198,GIS!$A$194:$M$212, {2,4,6,8,10,12}, FALSE))</f>
        <v>20.8948095878951</v>
      </c>
      <c r="G83" s="175"/>
      <c r="H83" s="175">
        <f t="shared" si="3"/>
        <v>-20.8948095878951</v>
      </c>
    </row>
    <row r="84" spans="1:8">
      <c r="C84" s="175"/>
    </row>
    <row r="85" spans="1:8" ht="13">
      <c r="A85" s="39" t="s">
        <v>2254</v>
      </c>
    </row>
    <row r="86" spans="1:8" ht="39">
      <c r="A86" s="139" t="s">
        <v>2246</v>
      </c>
      <c r="B86" s="161" t="s">
        <v>2487</v>
      </c>
      <c r="C86" s="161" t="s">
        <v>2488</v>
      </c>
      <c r="D86" s="140" t="s">
        <v>1292</v>
      </c>
      <c r="E86" s="161" t="s">
        <v>2508</v>
      </c>
      <c r="F86" s="161" t="s">
        <v>2480</v>
      </c>
      <c r="G86" s="161" t="s">
        <v>2510</v>
      </c>
      <c r="H86" s="161" t="s">
        <v>2507</v>
      </c>
    </row>
    <row r="87" spans="1:8" ht="13">
      <c r="A87" s="39" t="s">
        <v>2247</v>
      </c>
      <c r="E87" s="175"/>
    </row>
    <row r="88" spans="1:8">
      <c r="A88" s="141" t="s">
        <v>2482</v>
      </c>
      <c r="E88" s="175">
        <f t="array" ref="E88">SUM(VLOOKUP(GIS!A222,GIS!A219:M238, {2,4,6,8,10,12}, FALSE)+VLOOKUP(GIS!A233,GIS!A219:M238, {2,4,6,8,10,12}, FALSE))</f>
        <v>0</v>
      </c>
      <c r="H88" s="175">
        <f>B88+C88-E88</f>
        <v>0</v>
      </c>
    </row>
    <row r="89" spans="1:8">
      <c r="A89" s="141" t="s">
        <v>374</v>
      </c>
      <c r="E89" s="175">
        <f t="array" ref="E89">SUM(VLOOKUP(GIS!A231,GIS!A219:M238, {2,4,6,8,10,12}, FALSE))</f>
        <v>0</v>
      </c>
      <c r="H89" s="175">
        <f>B89-E89</f>
        <v>0</v>
      </c>
    </row>
    <row r="90" spans="1:8">
      <c r="A90" s="141" t="s">
        <v>2477</v>
      </c>
      <c r="E90" s="175">
        <f t="array" ref="E90">SUM(VLOOKUP(GIS!A230,GIS!A219:M238, {2,4,6,8,10,12}, FALSE)+VLOOKUP(GIS!A235,GIS!A219:M237, {2,4,6,8,10,12},FALSE))*F90</f>
        <v>0</v>
      </c>
      <c r="F90" s="118">
        <f t="array" ref="F90">'EIA Form 923'!E2674</f>
        <v>0.55000304119098931</v>
      </c>
      <c r="H90" s="175">
        <f t="shared" ref="H90:H95" si="4">B90-E90</f>
        <v>0</v>
      </c>
    </row>
    <row r="91" spans="1:8" ht="13">
      <c r="A91" s="139" t="s">
        <v>2248</v>
      </c>
      <c r="E91" s="175"/>
      <c r="F91" s="118"/>
      <c r="H91" s="175"/>
    </row>
    <row r="92" spans="1:8">
      <c r="A92" s="141" t="s">
        <v>382</v>
      </c>
      <c r="E92" s="175">
        <f t="array" ref="E92">SUM(VLOOKUP(GIS!A229,GIS!A219:M238, {2,4,6,8,10,12}, FALSE))</f>
        <v>5826433.7674929388</v>
      </c>
      <c r="F92" s="118"/>
      <c r="H92" s="175">
        <f t="shared" si="4"/>
        <v>-5826433.7674929388</v>
      </c>
    </row>
    <row r="93" spans="1:8">
      <c r="A93" s="141" t="s">
        <v>2478</v>
      </c>
      <c r="E93" s="175">
        <f t="array" ref="E93">SUM(VLOOKUP(GIS!A230,GIS!A219:M238, {2,4,6,8,10,12}, FALSE)+VLOOKUP(GIS!A235,GIS!A219:M237, {2,4,6,8,10,12},FALSE))*F93</f>
        <v>0</v>
      </c>
      <c r="F93" s="118">
        <f>1-F90</f>
        <v>0.44999695880901069</v>
      </c>
      <c r="H93" s="175">
        <f t="shared" si="4"/>
        <v>0</v>
      </c>
    </row>
    <row r="94" spans="1:8">
      <c r="A94" s="141" t="s">
        <v>2479</v>
      </c>
      <c r="E94" s="175">
        <f t="array" ref="E94">SUM(VLOOKUP(GIS!A220,GIS!A219:M238, {2,4,6,8,10,12}, FALSE)+VLOOKUP(GIS!A237,GIS!A219:M238, {2,4,6,8,10,12},FALSE))</f>
        <v>0</v>
      </c>
      <c r="H94" s="175">
        <f t="shared" si="4"/>
        <v>0</v>
      </c>
    </row>
    <row r="95" spans="1:8">
      <c r="A95" s="141" t="s">
        <v>2239</v>
      </c>
      <c r="E95" s="175">
        <f t="array" ref="E95">SUM(VLOOKUP(GIS!A219,GIS!A219:M238,{2,4,6,8,10,12},FALSE)+VLOOKUP(GIS!A223,GIS!A219:M238,{2,4,6,8,10,12},FALSE))</f>
        <v>20142.146753476656</v>
      </c>
      <c r="H95" s="175">
        <f t="shared" si="4"/>
        <v>-20142.146753476656</v>
      </c>
    </row>
    <row r="96" spans="1:8">
      <c r="E96" s="175"/>
    </row>
    <row r="97" spans="1:8" ht="13">
      <c r="A97" s="39" t="s">
        <v>2460</v>
      </c>
    </row>
    <row r="98" spans="1:8" ht="42.75" customHeight="1">
      <c r="A98" s="139" t="s">
        <v>2246</v>
      </c>
      <c r="B98" s="161" t="s">
        <v>2487</v>
      </c>
      <c r="C98" s="161" t="s">
        <v>2488</v>
      </c>
      <c r="D98" s="140" t="s">
        <v>1292</v>
      </c>
      <c r="E98" s="161" t="s">
        <v>2509</v>
      </c>
      <c r="F98" s="161" t="s">
        <v>2480</v>
      </c>
      <c r="G98" s="161" t="s">
        <v>2510</v>
      </c>
      <c r="H98" s="161" t="s">
        <v>2507</v>
      </c>
    </row>
    <row r="99" spans="1:8" ht="13">
      <c r="A99" s="39" t="s">
        <v>2247</v>
      </c>
    </row>
    <row r="100" spans="1:8">
      <c r="A100" s="141" t="s">
        <v>2482</v>
      </c>
      <c r="E100" s="175">
        <f t="array" ref="E100">SUM(VLOOKUP(GIS!A248,GIS!A245:M263, {2,4,6,8,10,12}, FALSE)+VLOOKUP(GIS!A259,GIS!A245:M263, {2,4,6,8,10,12}, FALSE))</f>
        <v>0</v>
      </c>
      <c r="H100" s="175">
        <f>B100+C100-E100</f>
        <v>0</v>
      </c>
    </row>
    <row r="101" spans="1:8">
      <c r="A101" s="141" t="s">
        <v>374</v>
      </c>
      <c r="E101" s="175">
        <f t="array" ref="E101">SUM(VLOOKUP(GIS!A257,GIS!A245:M263, {2,4,6,8,10,12}, FALSE))</f>
        <v>0</v>
      </c>
      <c r="H101" s="175">
        <f>B101-E101</f>
        <v>0</v>
      </c>
    </row>
    <row r="102" spans="1:8">
      <c r="A102" s="141" t="s">
        <v>2477</v>
      </c>
      <c r="E102" s="175">
        <f t="array" ref="E102">SUM(VLOOKUP(GIS!A256,GIS!A245:M263,{2,4,6,8,10,12},FALSE)+VLOOKUP(GIS!A261,GIS!A245:M262,{2,4,6,8,10,12},FALSE))*F102</f>
        <v>0</v>
      </c>
      <c r="F102" s="118">
        <f t="array" ref="F102">'EIA Form 923'!E2674</f>
        <v>0.55000304119098931</v>
      </c>
      <c r="H102" s="175">
        <f t="shared" ref="H102:H107" si="5">B102-E102</f>
        <v>0</v>
      </c>
    </row>
    <row r="103" spans="1:8" ht="13">
      <c r="A103" s="139" t="s">
        <v>2248</v>
      </c>
      <c r="E103" s="175"/>
      <c r="F103" s="118"/>
      <c r="H103" s="175"/>
    </row>
    <row r="104" spans="1:8">
      <c r="A104" s="141" t="s">
        <v>382</v>
      </c>
      <c r="E104" s="175">
        <f t="array" ref="E104">SUM(VLOOKUP(GIS!A255,GIS!A245:M263, {2,4,6,8,10,12}, FALSE))</f>
        <v>0</v>
      </c>
      <c r="F104" s="118"/>
      <c r="H104" s="175">
        <f t="shared" si="5"/>
        <v>0</v>
      </c>
    </row>
    <row r="105" spans="1:8">
      <c r="A105" s="141" t="s">
        <v>2478</v>
      </c>
      <c r="E105" s="175">
        <f t="array" ref="E105">SUM(VLOOKUP(GIS!A256,GIS!A245:M263, {2,4,6,8,10,12}, FALSE)+VLOOKUP(GIS!A261,GIS!A245:M262, {2,4,6,8,10,12},FALSE))*F105</f>
        <v>0</v>
      </c>
      <c r="F105" s="118">
        <f>1-F102</f>
        <v>0.44999695880901069</v>
      </c>
      <c r="H105" s="175">
        <f t="shared" si="5"/>
        <v>0</v>
      </c>
    </row>
    <row r="106" spans="1:8">
      <c r="A106" s="141" t="s">
        <v>2479</v>
      </c>
      <c r="E106" s="175">
        <f t="array" ref="E106">SUM(VLOOKUP(GIS!A246,GIS!A245:M263, {2,4,6,8,10,12}, FALSE)+VLOOKUP(GIS!A263,GIS!A245:M263, {2,4,6,8,10,12},FALSE))</f>
        <v>0</v>
      </c>
      <c r="H106" s="175">
        <f t="shared" si="5"/>
        <v>0</v>
      </c>
    </row>
    <row r="107" spans="1:8">
      <c r="A107" s="141" t="s">
        <v>2239</v>
      </c>
      <c r="E107" s="175">
        <f t="array" ref="E107">SUM(VLOOKUP(GIS!A245,GIS!A245:M263, {2,4,6,8,10,12}, FALSE)+VLOOKUP(GIS!A249,GIS!A245:M263, {2,4,6,8,10,12}, FALSE))</f>
        <v>0</v>
      </c>
      <c r="H107" s="175">
        <f t="shared" si="5"/>
        <v>0</v>
      </c>
    </row>
    <row r="109" spans="1:8" ht="13">
      <c r="A109" s="39" t="s">
        <v>3583</v>
      </c>
    </row>
    <row r="110" spans="1:8" ht="39" customHeight="1">
      <c r="A110" s="139" t="s">
        <v>2246</v>
      </c>
      <c r="B110" s="161" t="s">
        <v>2487</v>
      </c>
      <c r="C110" s="161" t="s">
        <v>2488</v>
      </c>
      <c r="D110" s="140" t="s">
        <v>1292</v>
      </c>
      <c r="E110" s="161" t="s">
        <v>2509</v>
      </c>
      <c r="F110" s="161" t="s">
        <v>2480</v>
      </c>
      <c r="G110" s="161" t="s">
        <v>2510</v>
      </c>
      <c r="H110" s="161" t="s">
        <v>2507</v>
      </c>
    </row>
    <row r="111" spans="1:8" ht="13">
      <c r="A111" s="39" t="s">
        <v>2247</v>
      </c>
    </row>
    <row r="112" spans="1:8">
      <c r="A112" s="141" t="s">
        <v>2482</v>
      </c>
      <c r="E112" s="175">
        <f t="array" ref="E112">SUM(VLOOKUP(GIS!A274,GIS!A271:M289,{2,4,6,8,10,12},FALSE)+VLOOKUP(GIS!A285,GIS!A271:M289,{2,4,6,8,10,12},FALSE))</f>
        <v>0</v>
      </c>
      <c r="H112" s="175">
        <f>B112+C112-E112</f>
        <v>0</v>
      </c>
    </row>
    <row r="113" spans="1:8">
      <c r="A113" s="141" t="s">
        <v>374</v>
      </c>
      <c r="E113" s="175">
        <f t="array" ref="E113">SUM(VLOOKUP(GIS!A283,GIS!A271:M289, {2,4,6,8,10,12}, FALSE))</f>
        <v>0</v>
      </c>
      <c r="H113" s="175">
        <f>B113-E113</f>
        <v>0</v>
      </c>
    </row>
    <row r="114" spans="1:8">
      <c r="A114" s="141" t="s">
        <v>2477</v>
      </c>
      <c r="E114" s="175">
        <f t="array" ref="E114">SUM(VLOOKUP(GIS!A282,GIS!A271:M289, {2,4,6,8,10,12}, FALSE)+VLOOKUP(GIS!A287,GIS!A271:M289, {2,4,6,8,10,12},FALSE))*F114</f>
        <v>0</v>
      </c>
      <c r="F114" s="118">
        <f t="array" ref="F114">'EIA Form 923'!E2674</f>
        <v>0.55000304119098931</v>
      </c>
      <c r="H114" s="175">
        <f t="shared" ref="H114:H119" si="6">B114-E114</f>
        <v>0</v>
      </c>
    </row>
    <row r="115" spans="1:8" ht="13">
      <c r="A115" s="139" t="s">
        <v>2248</v>
      </c>
      <c r="E115" s="175"/>
      <c r="F115" s="118"/>
      <c r="H115" s="175"/>
    </row>
    <row r="116" spans="1:8">
      <c r="A116" s="141" t="s">
        <v>382</v>
      </c>
      <c r="E116" s="175">
        <f t="array" ref="E116">SUM(VLOOKUP(GIS!A281,GIS!A271:M289, {2,4,6,8,10,12}, FALSE))</f>
        <v>735222.36851258995</v>
      </c>
      <c r="F116" s="118"/>
      <c r="H116" s="175">
        <f t="shared" si="6"/>
        <v>-735222.36851258995</v>
      </c>
    </row>
    <row r="117" spans="1:8">
      <c r="A117" s="141" t="s">
        <v>2478</v>
      </c>
      <c r="E117" s="175">
        <f t="array" ref="E117">SUM(VLOOKUP(GIS!A282,GIS!A271:M289, {2,4,6,8,10,12}, FALSE)+VLOOKUP(GIS!A287,GIS!A271:M289, {2,4,6,8,10,12},FALSE))*F117</f>
        <v>0</v>
      </c>
      <c r="F117" s="118">
        <f>1-F114</f>
        <v>0.44999695880901069</v>
      </c>
      <c r="H117" s="175">
        <f t="shared" si="6"/>
        <v>0</v>
      </c>
    </row>
    <row r="118" spans="1:8">
      <c r="A118" s="141" t="s">
        <v>2479</v>
      </c>
      <c r="E118" s="175">
        <f t="array" ref="E118">SUM(VLOOKUP(GIS!A272,GIS!A271:M289, {2,4,6,8,10,12}, FALSE)+VLOOKUP(GIS!A289,GIS!A271:M289, {2,4,6,8,10,12}, FALSE))</f>
        <v>1792882.5381423361</v>
      </c>
      <c r="F118" s="118"/>
      <c r="H118" s="175">
        <f t="shared" si="6"/>
        <v>-1792882.5381423361</v>
      </c>
    </row>
    <row r="119" spans="1:8">
      <c r="A119" s="141" t="s">
        <v>2239</v>
      </c>
      <c r="E119" s="175">
        <f t="array" ref="E119">SUM(VLOOKUP(GIS!A271,GIS!A271:M289, {2,4,6,8,10,12}, FALSE)+VLOOKUP(GIS!A275,GIS!A271:M289, {2,4,6,8,10,12}, FALSE))</f>
        <v>0</v>
      </c>
      <c r="H119" s="175">
        <f t="shared" si="6"/>
        <v>0</v>
      </c>
    </row>
  </sheetData>
  <pageMargins left="0.7" right="0.7" top="0.75" bottom="0.75" header="0.3" footer="0.3"/>
  <pageSetup scale="75" fitToHeight="0" orientation="landscape"/>
  <rowBreaks count="3" manualBreakCount="3">
    <brk id="36" max="16383" man="1"/>
    <brk id="72" max="16383" man="1"/>
    <brk id="108" max="16383" man="1"/>
  </rowBreaks>
  <tableParts count="9">
    <tablePart r:id="rId1"/>
    <tablePart r:id="rId2"/>
    <tablePart r:id="rId3"/>
    <tablePart r:id="rId4"/>
    <tablePart r:id="rId5"/>
    <tablePart r:id="rId6"/>
    <tablePart r:id="rId7"/>
    <tablePart r:id="rId8"/>
    <tablePart r:id="rId9"/>
  </tablePar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4">
    <tabColor theme="6" tint="0.39997558519241921"/>
  </sheetPr>
  <dimension ref="A1:AQ316"/>
  <sheetViews>
    <sheetView zoomScaleNormal="100" workbookViewId="0"/>
  </sheetViews>
  <sheetFormatPr defaultColWidth="9.1796875" defaultRowHeight="12.5"/>
  <cols>
    <col min="1" max="1" width="40" style="20" customWidth="1"/>
    <col min="2" max="2" width="14" style="20" customWidth="1"/>
    <col min="3" max="3" width="13.453125" style="20" customWidth="1"/>
    <col min="4" max="4" width="16.453125" style="20" customWidth="1"/>
    <col min="5" max="5" width="15" style="20" customWidth="1"/>
    <col min="6" max="6" width="14.453125" style="20" customWidth="1"/>
    <col min="7" max="7" width="11.453125" style="20" customWidth="1"/>
    <col min="8" max="9" width="14.453125" style="20" customWidth="1"/>
    <col min="10" max="10" width="13.453125" style="20" customWidth="1"/>
    <col min="11" max="11" width="19.81640625" style="20" customWidth="1"/>
    <col min="12" max="12" width="13.81640625" style="20" customWidth="1"/>
    <col min="13" max="13" width="14" style="20" customWidth="1"/>
    <col min="14" max="14" width="10.1796875" style="20" customWidth="1"/>
    <col min="15" max="15" width="23.453125" style="20" customWidth="1"/>
    <col min="16" max="16" width="30.453125" style="20" customWidth="1"/>
    <col min="17" max="18" width="12.453125" style="20" customWidth="1"/>
    <col min="19" max="19" width="13.453125" style="20" customWidth="1"/>
    <col min="20" max="20" width="11.54296875" style="20" customWidth="1"/>
    <col min="21" max="21" width="13.1796875" style="20" bestFit="1" customWidth="1"/>
    <col min="22" max="22" width="13.81640625" style="20" customWidth="1"/>
    <col min="23" max="23" width="10.453125" style="20" customWidth="1"/>
    <col min="24" max="24" width="12.453125" style="20" customWidth="1"/>
    <col min="25" max="25" width="11.1796875" style="20" customWidth="1"/>
    <col min="26" max="26" width="12.1796875" style="20" customWidth="1"/>
    <col min="27" max="27" width="9.453125" style="20" customWidth="1"/>
    <col min="28" max="28" width="12.453125" style="20" customWidth="1"/>
    <col min="29" max="29" width="9.54296875" style="20" customWidth="1"/>
    <col min="30" max="30" width="9.1796875" style="20" customWidth="1"/>
    <col min="31" max="31" width="9.54296875" style="20" customWidth="1"/>
    <col min="32" max="32" width="12.81640625" style="20" customWidth="1"/>
    <col min="33" max="33" width="9.453125" style="20" customWidth="1"/>
    <col min="34" max="34" width="10.81640625" style="20" customWidth="1"/>
    <col min="35" max="35" width="12.453125" style="20" customWidth="1"/>
    <col min="36" max="36" width="9.453125" style="20" customWidth="1"/>
    <col min="37" max="37" width="12.1796875" style="20" customWidth="1"/>
    <col min="38" max="39" width="9.1796875" style="20" customWidth="1"/>
    <col min="40" max="40" width="13.1796875" style="20" customWidth="1"/>
    <col min="41" max="41" width="12.81640625" style="20" bestFit="1" customWidth="1"/>
    <col min="42" max="42" width="11.81640625" style="20" customWidth="1"/>
    <col min="43" max="43" width="13.453125" style="20" customWidth="1"/>
    <col min="44" max="44" width="16.54296875" style="20" customWidth="1"/>
    <col min="45" max="45" width="9.1796875" style="20"/>
    <col min="46" max="46" width="12.81640625" style="20" customWidth="1"/>
    <col min="47" max="16384" width="9.1796875" style="20"/>
  </cols>
  <sheetData>
    <row r="1" spans="1:16" ht="15.5">
      <c r="A1" s="103" t="s">
        <v>2660</v>
      </c>
    </row>
    <row r="2" spans="1:16" ht="15.5">
      <c r="A2" s="103" t="s">
        <v>2589</v>
      </c>
    </row>
    <row r="3" spans="1:16" ht="15.5">
      <c r="A3" s="103"/>
    </row>
    <row r="4" spans="1:16">
      <c r="A4" s="20" t="s">
        <v>2550</v>
      </c>
    </row>
    <row r="5" spans="1:16">
      <c r="A5" s="20" t="s">
        <v>2590</v>
      </c>
    </row>
    <row r="6" spans="1:16">
      <c r="A6" s="655" t="s">
        <v>3975</v>
      </c>
    </row>
    <row r="7" spans="1:16" ht="13">
      <c r="P7" s="104"/>
    </row>
    <row r="8" spans="1:16" ht="13">
      <c r="A8" s="39" t="s">
        <v>2591</v>
      </c>
      <c r="P8" s="25"/>
    </row>
    <row r="9" spans="1:16">
      <c r="A9" s="20" t="s">
        <v>2712</v>
      </c>
      <c r="P9" s="25"/>
    </row>
    <row r="10" spans="1:16">
      <c r="A10" s="20" t="s">
        <v>2596</v>
      </c>
      <c r="P10" s="25"/>
    </row>
    <row r="11" spans="1:16">
      <c r="A11" s="20" t="s">
        <v>2640</v>
      </c>
      <c r="P11" s="25"/>
    </row>
    <row r="12" spans="1:16">
      <c r="P12" s="25"/>
    </row>
    <row r="13" spans="1:16" ht="13">
      <c r="A13" s="39" t="s">
        <v>2683</v>
      </c>
      <c r="P13" s="25"/>
    </row>
    <row r="14" spans="1:16">
      <c r="A14" s="20" t="s">
        <v>2594</v>
      </c>
      <c r="P14" s="25"/>
    </row>
    <row r="15" spans="1:16">
      <c r="A15" s="20" t="s">
        <v>2595</v>
      </c>
      <c r="P15" s="25"/>
    </row>
    <row r="16" spans="1:16">
      <c r="A16" s="20" t="s">
        <v>2597</v>
      </c>
      <c r="P16" s="25"/>
    </row>
    <row r="17" spans="1:35">
      <c r="P17" s="25"/>
    </row>
    <row r="18" spans="1:35" ht="13">
      <c r="A18" s="39" t="s">
        <v>2689</v>
      </c>
      <c r="P18" s="25"/>
    </row>
    <row r="19" spans="1:35">
      <c r="A19" s="20" t="s">
        <v>2690</v>
      </c>
      <c r="P19" s="25"/>
    </row>
    <row r="20" spans="1:35">
      <c r="A20" s="20" t="s">
        <v>2691</v>
      </c>
      <c r="P20" s="25"/>
      <c r="Q20" s="123"/>
    </row>
    <row r="21" spans="1:35">
      <c r="A21" s="20" t="s">
        <v>2598</v>
      </c>
    </row>
    <row r="23" spans="1:35">
      <c r="A23" s="20" t="s">
        <v>2599</v>
      </c>
      <c r="P23" s="25"/>
    </row>
    <row r="24" spans="1:35">
      <c r="A24" s="20" t="s">
        <v>2600</v>
      </c>
      <c r="P24" s="25"/>
    </row>
    <row r="25" spans="1:35">
      <c r="A25" s="20" t="s">
        <v>2713</v>
      </c>
    </row>
    <row r="26" spans="1:35" ht="13.5" thickBot="1">
      <c r="A26" s="64"/>
      <c r="B26" s="438"/>
      <c r="C26" s="438"/>
      <c r="D26" s="438"/>
      <c r="E26" s="438"/>
      <c r="F26" s="438"/>
      <c r="G26" s="438"/>
      <c r="H26" s="438"/>
      <c r="I26" s="438"/>
      <c r="J26" s="438"/>
      <c r="K26" s="438"/>
      <c r="L26" s="438"/>
      <c r="M26" s="438"/>
      <c r="N26" s="438"/>
      <c r="O26" s="438"/>
      <c r="P26" s="438"/>
      <c r="Q26" s="438"/>
      <c r="R26" s="438"/>
      <c r="S26" s="438"/>
      <c r="T26" s="438"/>
      <c r="U26" s="438"/>
      <c r="V26" s="438"/>
      <c r="W26" s="438"/>
      <c r="X26" s="438"/>
      <c r="Y26" s="438"/>
      <c r="Z26" s="438"/>
      <c r="AA26" s="438"/>
      <c r="AB26" s="438"/>
      <c r="AC26" s="438"/>
      <c r="AD26" s="438"/>
      <c r="AE26" s="438"/>
      <c r="AF26" s="438"/>
      <c r="AG26" s="438"/>
      <c r="AH26" s="438"/>
      <c r="AI26" s="438"/>
    </row>
    <row r="28" spans="1:35" ht="13">
      <c r="A28" s="39" t="s">
        <v>2551</v>
      </c>
    </row>
    <row r="29" spans="1:35">
      <c r="A29" s="20" t="s">
        <v>2601</v>
      </c>
    </row>
    <row r="30" spans="1:35">
      <c r="A30" s="655" t="s">
        <v>3591</v>
      </c>
    </row>
    <row r="31" spans="1:35">
      <c r="A31" s="20" t="s">
        <v>2548</v>
      </c>
    </row>
    <row r="32" spans="1:35" ht="13">
      <c r="A32" s="635" t="s">
        <v>3273</v>
      </c>
      <c r="P32" s="39" t="s">
        <v>2684</v>
      </c>
    </row>
    <row r="33" spans="1:19" ht="13.5" thickBot="1">
      <c r="A33" s="20" t="s">
        <v>2602</v>
      </c>
      <c r="P33" s="39" t="s">
        <v>4005</v>
      </c>
    </row>
    <row r="34" spans="1:19" ht="15" customHeight="1" thickBot="1">
      <c r="A34" s="489">
        <v>2022</v>
      </c>
      <c r="B34" s="821" t="s">
        <v>1384</v>
      </c>
      <c r="C34" s="822"/>
      <c r="D34" s="822"/>
      <c r="E34" s="822"/>
      <c r="F34" s="822"/>
      <c r="G34" s="822"/>
      <c r="H34" s="822"/>
      <c r="I34" s="822"/>
      <c r="J34" s="822"/>
      <c r="K34" s="823"/>
      <c r="P34" s="655" t="s">
        <v>3979</v>
      </c>
    </row>
    <row r="35" spans="1:19" ht="42.5" thickBot="1">
      <c r="A35" s="490" t="s">
        <v>1385</v>
      </c>
      <c r="B35" s="491" t="s">
        <v>81</v>
      </c>
      <c r="C35" s="491" t="s">
        <v>41</v>
      </c>
      <c r="D35" s="491" t="s">
        <v>90</v>
      </c>
      <c r="E35" s="491" t="s">
        <v>96</v>
      </c>
      <c r="F35" s="491" t="s">
        <v>130</v>
      </c>
      <c r="G35" s="491" t="s">
        <v>89</v>
      </c>
      <c r="H35" s="491" t="s">
        <v>57</v>
      </c>
      <c r="I35" s="492" t="s">
        <v>2459</v>
      </c>
      <c r="J35" s="491" t="s">
        <v>3585</v>
      </c>
      <c r="K35" s="493" t="s">
        <v>1386</v>
      </c>
      <c r="P35" s="655" t="s">
        <v>2684</v>
      </c>
    </row>
    <row r="36" spans="1:19" ht="14.25" customHeight="1">
      <c r="A36" s="130" t="s">
        <v>2238</v>
      </c>
      <c r="B36" s="110">
        <f t="shared" ref="B36:H36" si="0">B46</f>
        <v>12.393465278120527</v>
      </c>
      <c r="C36" s="110">
        <f t="shared" si="0"/>
        <v>12.602312543798178</v>
      </c>
      <c r="D36" s="110">
        <f t="shared" si="0"/>
        <v>10.915259387887996</v>
      </c>
      <c r="E36" s="110">
        <f t="shared" si="0"/>
        <v>16.802907535301902</v>
      </c>
      <c r="F36" s="110">
        <f t="shared" si="0"/>
        <v>9.8249554506295578</v>
      </c>
      <c r="G36" s="110">
        <f t="shared" si="0"/>
        <v>10.44740479394755</v>
      </c>
      <c r="H36" s="110">
        <f t="shared" si="0"/>
        <v>11.663084396917577</v>
      </c>
      <c r="I36" s="110"/>
      <c r="J36" s="110"/>
      <c r="K36" s="107" t="s">
        <v>68</v>
      </c>
      <c r="P36" s="20" t="s">
        <v>2612</v>
      </c>
    </row>
    <row r="37" spans="1:19">
      <c r="A37" s="109" t="s">
        <v>1239</v>
      </c>
      <c r="B37" s="110">
        <f>B54</f>
        <v>19.482065608428009</v>
      </c>
      <c r="C37" s="110">
        <f>C54</f>
        <v>12.778620319834559</v>
      </c>
      <c r="D37" s="110">
        <f>D54</f>
        <v>13.124159735084085</v>
      </c>
      <c r="E37" s="110">
        <f>E54</f>
        <v>14.18047990347597</v>
      </c>
      <c r="F37" s="110"/>
      <c r="G37" s="110">
        <f>G54</f>
        <v>14.821840997557475</v>
      </c>
      <c r="H37" s="110">
        <f>H54</f>
        <v>19.426775538921351</v>
      </c>
      <c r="I37" s="110"/>
      <c r="J37" s="110">
        <f>'EIA Form 923'!Y2667</f>
        <v>14.571068383198986</v>
      </c>
      <c r="K37" s="107" t="s">
        <v>69</v>
      </c>
    </row>
    <row r="38" spans="1:19">
      <c r="A38" s="111" t="s">
        <v>1240</v>
      </c>
      <c r="B38" s="112"/>
      <c r="C38" s="112"/>
      <c r="D38" s="112"/>
      <c r="E38" s="112"/>
      <c r="F38" s="112"/>
      <c r="G38" s="112"/>
      <c r="H38" s="112"/>
      <c r="I38" s="112"/>
      <c r="J38" s="112"/>
      <c r="K38" s="108" t="s">
        <v>1292</v>
      </c>
      <c r="P38" s="20" t="s">
        <v>2609</v>
      </c>
    </row>
    <row r="39" spans="1:19">
      <c r="A39" s="109" t="s">
        <v>2469</v>
      </c>
      <c r="B39" s="110">
        <f>'EIA Form 923'!Z2672</f>
        <v>8.4195234525758682</v>
      </c>
      <c r="C39" s="110">
        <f>'EIA Form 923'!Z2697</f>
        <v>11.161691981423138</v>
      </c>
      <c r="D39" s="110">
        <f>'EIA Form 923'!Z2722</f>
        <v>13.963507655698306</v>
      </c>
      <c r="E39" s="110">
        <f>'EIA Form 923'!Z2747</f>
        <v>7.7385569281459121</v>
      </c>
      <c r="F39" s="110">
        <f>'EIA Form 923'!Z2797</f>
        <v>9.8060134804161745</v>
      </c>
      <c r="G39" s="110">
        <f>'EIA Form 923'!Z2822</f>
        <v>22.815879534565365</v>
      </c>
      <c r="H39" s="110">
        <f>'EIA Form 923'!Z2772</f>
        <v>7.9945589145462579</v>
      </c>
      <c r="I39" s="110"/>
      <c r="J39" s="110"/>
      <c r="K39" s="107" t="s">
        <v>46</v>
      </c>
      <c r="P39" s="20" t="s">
        <v>2610</v>
      </c>
    </row>
    <row r="40" spans="1:19">
      <c r="A40" s="109" t="s">
        <v>1242</v>
      </c>
      <c r="B40" s="110">
        <f t="shared" ref="B40:H40" si="1">B46</f>
        <v>12.393465278120527</v>
      </c>
      <c r="C40" s="110">
        <f>C46</f>
        <v>12.602312543798178</v>
      </c>
      <c r="D40" s="110">
        <f t="shared" si="1"/>
        <v>10.915259387887996</v>
      </c>
      <c r="E40" s="110">
        <f t="shared" si="1"/>
        <v>16.802907535301902</v>
      </c>
      <c r="F40" s="110">
        <f>F46</f>
        <v>9.8249554506295578</v>
      </c>
      <c r="G40" s="110">
        <f t="shared" si="1"/>
        <v>10.44740479394755</v>
      </c>
      <c r="H40" s="110">
        <f t="shared" si="1"/>
        <v>11.663084396917577</v>
      </c>
      <c r="I40" s="110"/>
      <c r="J40" s="110"/>
      <c r="K40" s="107" t="s">
        <v>68</v>
      </c>
      <c r="P40" s="20" t="s">
        <v>2611</v>
      </c>
    </row>
    <row r="41" spans="1:19">
      <c r="A41" s="111" t="s">
        <v>1243</v>
      </c>
      <c r="B41" s="112">
        <v>0</v>
      </c>
      <c r="C41" s="112">
        <v>0</v>
      </c>
      <c r="D41" s="112">
        <v>0</v>
      </c>
      <c r="E41" s="112">
        <v>0</v>
      </c>
      <c r="F41" s="112">
        <v>0</v>
      </c>
      <c r="G41" s="112">
        <v>0</v>
      </c>
      <c r="H41" s="112">
        <v>0</v>
      </c>
      <c r="I41" s="112"/>
      <c r="J41" s="112"/>
      <c r="K41" s="108" t="s">
        <v>1292</v>
      </c>
      <c r="P41" s="20" t="s">
        <v>2707</v>
      </c>
    </row>
    <row r="42" spans="1:19">
      <c r="A42" s="109" t="s">
        <v>2999</v>
      </c>
      <c r="B42" s="110"/>
      <c r="C42" s="110"/>
      <c r="D42" s="110"/>
      <c r="E42" s="110"/>
      <c r="F42" s="110"/>
      <c r="G42" s="110"/>
      <c r="H42" s="110"/>
      <c r="I42" s="110"/>
      <c r="J42" s="110"/>
      <c r="K42" s="107" t="s">
        <v>3000</v>
      </c>
      <c r="P42" s="655" t="s">
        <v>3939</v>
      </c>
    </row>
    <row r="43" spans="1:19" ht="13">
      <c r="A43" s="111" t="s">
        <v>1245</v>
      </c>
      <c r="B43" s="112">
        <v>0</v>
      </c>
      <c r="C43" s="112">
        <v>0</v>
      </c>
      <c r="D43" s="112">
        <v>0</v>
      </c>
      <c r="E43" s="112">
        <v>0</v>
      </c>
      <c r="F43" s="112">
        <v>0</v>
      </c>
      <c r="G43" s="112">
        <v>0</v>
      </c>
      <c r="H43" s="112">
        <v>0</v>
      </c>
      <c r="I43" s="112"/>
      <c r="J43" s="112"/>
      <c r="K43" s="108" t="s">
        <v>1292</v>
      </c>
      <c r="P43" s="655" t="s">
        <v>3980</v>
      </c>
    </row>
    <row r="44" spans="1:19" ht="13">
      <c r="A44" s="111" t="s">
        <v>1246</v>
      </c>
      <c r="B44" s="112">
        <v>0</v>
      </c>
      <c r="C44" s="112">
        <v>0</v>
      </c>
      <c r="D44" s="112">
        <v>0</v>
      </c>
      <c r="E44" s="112">
        <v>0</v>
      </c>
      <c r="F44" s="112">
        <v>0</v>
      </c>
      <c r="G44" s="112">
        <v>0</v>
      </c>
      <c r="H44" s="112">
        <v>0</v>
      </c>
      <c r="I44" s="112"/>
      <c r="J44" s="112"/>
      <c r="K44" s="108" t="s">
        <v>1292</v>
      </c>
      <c r="P44" s="655" t="s">
        <v>3981</v>
      </c>
    </row>
    <row r="45" spans="1:19" ht="13.5" thickBot="1">
      <c r="A45" s="111" t="s">
        <v>1247</v>
      </c>
      <c r="B45" s="112"/>
      <c r="C45" s="112"/>
      <c r="D45" s="112"/>
      <c r="E45" s="112"/>
      <c r="F45" s="112"/>
      <c r="G45" s="112"/>
      <c r="H45" s="112"/>
      <c r="I45" s="112"/>
      <c r="J45" s="112"/>
      <c r="K45" s="108" t="s">
        <v>1292</v>
      </c>
      <c r="P45" s="39" t="s">
        <v>2491</v>
      </c>
    </row>
    <row r="46" spans="1:19" ht="13.5" thickBot="1">
      <c r="A46" s="109" t="s">
        <v>1387</v>
      </c>
      <c r="B46" s="110">
        <f>'EIA Form 923'!Z2684</f>
        <v>12.393465278120527</v>
      </c>
      <c r="C46" s="110">
        <f>'EIA Form 923'!Z2709</f>
        <v>12.602312543798178</v>
      </c>
      <c r="D46" s="110">
        <f>'EIA Form 923'!Z2734</f>
        <v>10.915259387887996</v>
      </c>
      <c r="E46" s="110">
        <f>'EIA Form 923'!Z2759</f>
        <v>16.802907535301902</v>
      </c>
      <c r="F46" s="110">
        <f>'EIA Form 923'!Z2809</f>
        <v>9.8249554506295578</v>
      </c>
      <c r="G46" s="110">
        <f>'EIA Form 923'!Z2834</f>
        <v>10.44740479394755</v>
      </c>
      <c r="H46" s="110">
        <f>'EIA Form 923'!Z2784</f>
        <v>11.663084396917577</v>
      </c>
      <c r="I46" s="110"/>
      <c r="J46" s="110">
        <f>'EIA Form 923'!Y2668</f>
        <v>11.557010995686529</v>
      </c>
      <c r="K46" s="107" t="s">
        <v>63</v>
      </c>
      <c r="P46" s="707">
        <v>2022</v>
      </c>
      <c r="Q46" s="666">
        <v>50651</v>
      </c>
      <c r="R46" s="706"/>
      <c r="S46" s="25"/>
    </row>
    <row r="47" spans="1:19">
      <c r="A47" s="109" t="s">
        <v>1249</v>
      </c>
      <c r="B47" s="110">
        <f>'EIA Form 923'!Z2674</f>
        <v>17.94443329059818</v>
      </c>
      <c r="C47" s="110">
        <f>'EIA Form 923'!Z2699</f>
        <v>18.891141260661453</v>
      </c>
      <c r="D47" s="110">
        <f>'EIA Form 923'!Z2724</f>
        <v>24.147634636212981</v>
      </c>
      <c r="E47" s="110">
        <f>'EIA Form 923'!Z2749</f>
        <v>19.554046232351865</v>
      </c>
      <c r="F47" s="110"/>
      <c r="G47" s="110"/>
      <c r="H47" s="110">
        <f>'EIA Form 923'!Z2774</f>
        <v>13.087756727685248</v>
      </c>
      <c r="I47" s="110"/>
      <c r="J47" s="110"/>
      <c r="K47" s="684" t="s">
        <v>3589</v>
      </c>
      <c r="P47" s="655" t="s">
        <v>3978</v>
      </c>
    </row>
    <row r="48" spans="1:19" ht="13">
      <c r="A48" s="109" t="s">
        <v>2470</v>
      </c>
      <c r="B48" s="110">
        <f>'EIA Form 923'!Z2673</f>
        <v>7.6196798662485534</v>
      </c>
      <c r="C48" s="110">
        <f>'EIA Form 923'!Z2698</f>
        <v>7.1285206541719797</v>
      </c>
      <c r="D48" s="110">
        <f>'EIA Form 923'!Z2723</f>
        <v>7.3109396427967361</v>
      </c>
      <c r="E48" s="110">
        <f>'EIA Form 923'!Z2748</f>
        <v>7.3938310922623574</v>
      </c>
      <c r="F48" s="110">
        <f>'EIA Form 923'!Z2798</f>
        <v>7.6487410592606997</v>
      </c>
      <c r="G48" s="110">
        <f>'EIA Form 923'!Z2823</f>
        <v>14.656664145312874</v>
      </c>
      <c r="H48" s="110">
        <f>'EIA Form 923'!Z2773</f>
        <v>7.9448804774668389</v>
      </c>
      <c r="I48" s="110"/>
      <c r="J48" s="110"/>
      <c r="K48" s="107" t="s">
        <v>39</v>
      </c>
      <c r="P48" s="39" t="s">
        <v>3982</v>
      </c>
    </row>
    <row r="49" spans="1:25">
      <c r="A49" s="111" t="s">
        <v>1251</v>
      </c>
      <c r="B49" s="112">
        <v>0</v>
      </c>
      <c r="C49" s="112">
        <v>0</v>
      </c>
      <c r="D49" s="112">
        <v>0</v>
      </c>
      <c r="E49" s="112">
        <v>0</v>
      </c>
      <c r="F49" s="112">
        <v>0</v>
      </c>
      <c r="G49" s="112">
        <v>0</v>
      </c>
      <c r="H49" s="112">
        <v>0</v>
      </c>
      <c r="I49" s="112"/>
      <c r="J49" s="112"/>
      <c r="K49" s="108" t="s">
        <v>1292</v>
      </c>
    </row>
    <row r="50" spans="1:25" ht="13">
      <c r="A50" s="109" t="s">
        <v>1252</v>
      </c>
      <c r="B50" s="110">
        <f>'EIA Form 923'!Z2672</f>
        <v>8.4195234525758682</v>
      </c>
      <c r="C50" s="110"/>
      <c r="D50" s="110"/>
      <c r="E50" s="110"/>
      <c r="F50" s="110"/>
      <c r="G50" s="110">
        <f>'EIA Form 923'!Z2822</f>
        <v>22.815879534565365</v>
      </c>
      <c r="H50" s="110"/>
      <c r="I50" s="110"/>
      <c r="J50" s="110"/>
      <c r="K50" s="107" t="s">
        <v>46</v>
      </c>
      <c r="P50" s="39" t="s">
        <v>3945</v>
      </c>
      <c r="Q50" s="25"/>
      <c r="R50" s="25"/>
      <c r="S50" s="25"/>
    </row>
    <row r="51" spans="1:25" ht="13.5" thickBot="1">
      <c r="A51" s="111" t="s">
        <v>1253</v>
      </c>
      <c r="B51" s="112">
        <v>0</v>
      </c>
      <c r="C51" s="112">
        <v>0</v>
      </c>
      <c r="D51" s="112">
        <v>0</v>
      </c>
      <c r="E51" s="112">
        <v>0</v>
      </c>
      <c r="F51" s="112">
        <v>0</v>
      </c>
      <c r="G51" s="112">
        <v>0</v>
      </c>
      <c r="H51" s="112">
        <v>0</v>
      </c>
      <c r="I51" s="112"/>
      <c r="J51" s="112"/>
      <c r="K51" s="108" t="s">
        <v>1292</v>
      </c>
      <c r="P51" s="709"/>
      <c r="Q51" s="710" t="s">
        <v>3944</v>
      </c>
      <c r="R51" s="710" t="s">
        <v>1272</v>
      </c>
    </row>
    <row r="52" spans="1:25" ht="13.5" thickBot="1">
      <c r="A52" s="109" t="s">
        <v>1254</v>
      </c>
      <c r="B52" s="110">
        <f>B47</f>
        <v>17.94443329059818</v>
      </c>
      <c r="C52" s="110">
        <f t="shared" ref="C52:H52" si="2">C47</f>
        <v>18.891141260661453</v>
      </c>
      <c r="D52" s="110">
        <f t="shared" si="2"/>
        <v>24.147634636212981</v>
      </c>
      <c r="E52" s="110">
        <f t="shared" si="2"/>
        <v>19.554046232351865</v>
      </c>
      <c r="F52" s="110"/>
      <c r="G52" s="110"/>
      <c r="H52" s="110">
        <f t="shared" si="2"/>
        <v>13.087756727685248</v>
      </c>
      <c r="I52" s="110"/>
      <c r="J52" s="110"/>
      <c r="K52" s="107" t="str">
        <f>K47</f>
        <v>% MSN &amp; % MSB</v>
      </c>
      <c r="P52" s="707">
        <v>2022</v>
      </c>
      <c r="Q52" s="711">
        <v>3716</v>
      </c>
      <c r="R52" s="712">
        <v>238160</v>
      </c>
      <c r="S52" s="708"/>
      <c r="T52" s="655"/>
    </row>
    <row r="53" spans="1:25">
      <c r="A53" s="111" t="s">
        <v>1255</v>
      </c>
      <c r="B53" s="112">
        <v>0</v>
      </c>
      <c r="C53" s="112">
        <v>0</v>
      </c>
      <c r="D53" s="112">
        <v>0</v>
      </c>
      <c r="E53" s="112">
        <v>0</v>
      </c>
      <c r="F53" s="112">
        <v>0</v>
      </c>
      <c r="G53" s="112">
        <v>0</v>
      </c>
      <c r="H53" s="112">
        <v>0</v>
      </c>
      <c r="I53" s="112"/>
      <c r="J53" s="112"/>
      <c r="K53" s="108" t="s">
        <v>1292</v>
      </c>
      <c r="P53" s="655" t="s">
        <v>3983</v>
      </c>
      <c r="Y53" s="453" t="s">
        <v>3947</v>
      </c>
    </row>
    <row r="54" spans="1:25" ht="13.5" thickBot="1">
      <c r="A54" s="113" t="s">
        <v>1256</v>
      </c>
      <c r="B54" s="114">
        <f>'EIA Form 923'!Z2687</f>
        <v>19.482065608428009</v>
      </c>
      <c r="C54" s="114">
        <f>'EIA Form 923'!Z2712</f>
        <v>12.778620319834559</v>
      </c>
      <c r="D54" s="114">
        <f>'EIA Form 923'!Z2737</f>
        <v>13.124159735084085</v>
      </c>
      <c r="E54" s="114">
        <f>'EIA Form 923'!Z2762</f>
        <v>14.18047990347597</v>
      </c>
      <c r="F54" s="114"/>
      <c r="G54" s="114">
        <f>'EIA Form 923'!Z2837</f>
        <v>14.821840997557475</v>
      </c>
      <c r="H54" s="114">
        <f>'EIA Form 923'!Z2787</f>
        <v>19.426775538921351</v>
      </c>
      <c r="I54" s="114"/>
      <c r="J54" s="114"/>
      <c r="K54" s="494" t="s">
        <v>69</v>
      </c>
      <c r="M54" s="123"/>
      <c r="P54" s="655" t="s">
        <v>3984</v>
      </c>
    </row>
    <row r="55" spans="1:25">
      <c r="B55" s="123"/>
      <c r="C55" s="123"/>
      <c r="D55" s="123"/>
      <c r="E55" s="123"/>
      <c r="F55" s="123"/>
      <c r="G55" s="123"/>
      <c r="H55" s="123"/>
      <c r="I55" s="123"/>
      <c r="J55" s="123"/>
      <c r="M55" s="123"/>
    </row>
    <row r="56" spans="1:25" ht="13">
      <c r="A56" s="39" t="s">
        <v>2603</v>
      </c>
      <c r="P56" s="39" t="s">
        <v>2686</v>
      </c>
    </row>
    <row r="57" spans="1:25">
      <c r="A57" s="655" t="s">
        <v>4003</v>
      </c>
      <c r="P57" s="20" t="s">
        <v>2687</v>
      </c>
    </row>
    <row r="58" spans="1:25">
      <c r="A58" s="20" t="s">
        <v>2604</v>
      </c>
      <c r="P58" s="20" t="s">
        <v>2661</v>
      </c>
    </row>
    <row r="59" spans="1:25">
      <c r="A59" s="20" t="s">
        <v>2605</v>
      </c>
      <c r="P59" s="655" t="s">
        <v>4004</v>
      </c>
    </row>
    <row r="60" spans="1:25" ht="13">
      <c r="A60" s="39" t="s">
        <v>2606</v>
      </c>
      <c r="P60" s="20" t="s">
        <v>2613</v>
      </c>
    </row>
    <row r="61" spans="1:25" ht="13">
      <c r="A61" s="39" t="s">
        <v>2607</v>
      </c>
      <c r="P61" s="20" t="s">
        <v>2663</v>
      </c>
    </row>
    <row r="62" spans="1:25">
      <c r="A62" s="20" t="s">
        <v>2608</v>
      </c>
      <c r="P62" s="20" t="s">
        <v>2662</v>
      </c>
    </row>
    <row r="63" spans="1:25" ht="13">
      <c r="A63" s="20" t="s">
        <v>2639</v>
      </c>
      <c r="P63" s="39" t="s">
        <v>2688</v>
      </c>
    </row>
    <row r="64" spans="1:25" ht="13" thickBot="1">
      <c r="A64" s="25"/>
      <c r="P64" s="655" t="s">
        <v>3985</v>
      </c>
    </row>
    <row r="65" spans="1:34" ht="14.5" thickBot="1">
      <c r="A65" s="821" t="s">
        <v>1517</v>
      </c>
      <c r="B65" s="822"/>
      <c r="C65" s="822"/>
      <c r="D65" s="822"/>
      <c r="E65" s="822"/>
      <c r="F65" s="822"/>
      <c r="G65" s="822"/>
      <c r="H65" s="822"/>
      <c r="I65" s="822"/>
      <c r="J65" s="822"/>
      <c r="K65" s="822"/>
      <c r="L65" s="822"/>
      <c r="M65" s="823"/>
      <c r="N65" s="39"/>
      <c r="P65" s="821" t="s">
        <v>2614</v>
      </c>
      <c r="Q65" s="822"/>
      <c r="R65" s="822"/>
      <c r="S65" s="822"/>
      <c r="T65" s="822"/>
      <c r="U65" s="822"/>
      <c r="V65" s="822"/>
      <c r="W65" s="822"/>
      <c r="X65" s="822"/>
      <c r="Y65" s="822"/>
      <c r="Z65" s="822"/>
      <c r="AA65" s="822"/>
      <c r="AB65" s="822"/>
      <c r="AC65" s="822"/>
      <c r="AD65" s="822"/>
      <c r="AE65" s="822"/>
      <c r="AF65" s="822"/>
      <c r="AG65" s="822"/>
      <c r="AH65" s="823"/>
    </row>
    <row r="66" spans="1:34" ht="13.5" customHeight="1" thickBot="1">
      <c r="A66" s="811" t="s">
        <v>1265</v>
      </c>
      <c r="B66" s="812"/>
      <c r="C66" s="812"/>
      <c r="D66" s="812"/>
      <c r="E66" s="812"/>
      <c r="F66" s="812"/>
      <c r="G66" s="812"/>
      <c r="H66" s="812"/>
      <c r="I66" s="812"/>
      <c r="J66" s="812"/>
      <c r="K66" s="812"/>
      <c r="L66" s="812"/>
      <c r="M66" s="813"/>
      <c r="P66" s="800" t="s">
        <v>1279</v>
      </c>
      <c r="Q66" s="811" t="s">
        <v>1265</v>
      </c>
      <c r="R66" s="812"/>
      <c r="S66" s="812"/>
      <c r="T66" s="812"/>
      <c r="U66" s="812"/>
      <c r="V66" s="812"/>
      <c r="W66" s="812"/>
      <c r="X66" s="812"/>
      <c r="Y66" s="812"/>
      <c r="Z66" s="812"/>
      <c r="AA66" s="812"/>
      <c r="AB66" s="812"/>
      <c r="AC66" s="812"/>
      <c r="AD66" s="812"/>
      <c r="AE66" s="814"/>
      <c r="AF66" s="814"/>
      <c r="AG66" s="814"/>
      <c r="AH66" s="815"/>
    </row>
    <row r="67" spans="1:34" ht="28.5" customHeight="1" thickBot="1">
      <c r="A67" s="834" t="s">
        <v>1270</v>
      </c>
      <c r="B67" s="820" t="s">
        <v>1283</v>
      </c>
      <c r="C67" s="819" t="s">
        <v>1284</v>
      </c>
      <c r="D67" s="820" t="s">
        <v>1281</v>
      </c>
      <c r="E67" s="819" t="s">
        <v>1282</v>
      </c>
      <c r="F67" s="820" t="s">
        <v>1288</v>
      </c>
      <c r="G67" s="819" t="s">
        <v>1289</v>
      </c>
      <c r="H67" s="820" t="s">
        <v>1296</v>
      </c>
      <c r="I67" s="819" t="s">
        <v>1297</v>
      </c>
      <c r="J67" s="820" t="s">
        <v>1298</v>
      </c>
      <c r="K67" s="819" t="s">
        <v>1299</v>
      </c>
      <c r="L67" s="824" t="s">
        <v>1300</v>
      </c>
      <c r="M67" s="802" t="s">
        <v>1301</v>
      </c>
      <c r="P67" s="826" t="s">
        <v>1274</v>
      </c>
      <c r="Q67" s="816" t="s">
        <v>223</v>
      </c>
      <c r="R67" s="817"/>
      <c r="S67" s="818"/>
      <c r="T67" s="811" t="s">
        <v>203</v>
      </c>
      <c r="U67" s="812"/>
      <c r="V67" s="813"/>
      <c r="W67" s="811" t="s">
        <v>219</v>
      </c>
      <c r="X67" s="812"/>
      <c r="Y67" s="813"/>
      <c r="Z67" s="812" t="s">
        <v>220</v>
      </c>
      <c r="AA67" s="812"/>
      <c r="AB67" s="813"/>
      <c r="AC67" s="811" t="s">
        <v>222</v>
      </c>
      <c r="AD67" s="812"/>
      <c r="AE67" s="813"/>
      <c r="AF67" s="812" t="s">
        <v>221</v>
      </c>
      <c r="AG67" s="812"/>
      <c r="AH67" s="813"/>
    </row>
    <row r="68" spans="1:34" ht="29.25" customHeight="1" thickBot="1">
      <c r="A68" s="810"/>
      <c r="B68" s="805"/>
      <c r="C68" s="803"/>
      <c r="D68" s="805"/>
      <c r="E68" s="803"/>
      <c r="F68" s="805" t="s">
        <v>1271</v>
      </c>
      <c r="G68" s="803" t="s">
        <v>1271</v>
      </c>
      <c r="H68" s="805" t="s">
        <v>1271</v>
      </c>
      <c r="I68" s="803" t="s">
        <v>1271</v>
      </c>
      <c r="J68" s="805" t="s">
        <v>1271</v>
      </c>
      <c r="K68" s="803" t="s">
        <v>1271</v>
      </c>
      <c r="L68" s="825" t="s">
        <v>1271</v>
      </c>
      <c r="M68" s="803" t="s">
        <v>1271</v>
      </c>
      <c r="P68" s="801"/>
      <c r="Q68" s="549" t="s">
        <v>1271</v>
      </c>
      <c r="R68" s="550" t="s">
        <v>1272</v>
      </c>
      <c r="S68" s="551" t="s">
        <v>1273</v>
      </c>
      <c r="T68" s="495" t="s">
        <v>1271</v>
      </c>
      <c r="U68" s="496" t="s">
        <v>1272</v>
      </c>
      <c r="V68" s="497" t="s">
        <v>1273</v>
      </c>
      <c r="W68" s="495" t="s">
        <v>1271</v>
      </c>
      <c r="X68" s="496" t="s">
        <v>1272</v>
      </c>
      <c r="Y68" s="497" t="s">
        <v>1273</v>
      </c>
      <c r="Z68" s="498" t="s">
        <v>1271</v>
      </c>
      <c r="AA68" s="496" t="s">
        <v>1272</v>
      </c>
      <c r="AB68" s="497" t="s">
        <v>1273</v>
      </c>
      <c r="AC68" s="495" t="s">
        <v>1271</v>
      </c>
      <c r="AD68" s="496" t="s">
        <v>1272</v>
      </c>
      <c r="AE68" s="497" t="s">
        <v>1273</v>
      </c>
      <c r="AF68" s="498" t="s">
        <v>1271</v>
      </c>
      <c r="AG68" s="496" t="s">
        <v>1272</v>
      </c>
      <c r="AH68" s="497" t="s">
        <v>1273</v>
      </c>
    </row>
    <row r="69" spans="1:34" ht="14">
      <c r="A69" s="97" t="s">
        <v>2238</v>
      </c>
      <c r="B69" s="499"/>
      <c r="C69" s="500"/>
      <c r="D69" s="501">
        <f t="shared" ref="D69:D87" si="3">T69*$C36</f>
        <v>0</v>
      </c>
      <c r="E69" s="502">
        <f t="shared" ref="E69:E87" si="4">U69*$C36</f>
        <v>0</v>
      </c>
      <c r="F69" s="501">
        <f t="shared" ref="F69:F87" si="5">W69*$C36</f>
        <v>0</v>
      </c>
      <c r="G69" s="502">
        <f t="shared" ref="G69:G87" si="6">X69*$C36</f>
        <v>0</v>
      </c>
      <c r="H69" s="501">
        <f t="shared" ref="H69:H87" si="7">Z69*$C36</f>
        <v>0</v>
      </c>
      <c r="I69" s="502">
        <f t="shared" ref="I69:I87" si="8">AA69*$C36</f>
        <v>0</v>
      </c>
      <c r="J69" s="501">
        <f t="shared" ref="J69:J87" si="9">AC69*$C36</f>
        <v>0</v>
      </c>
      <c r="K69" s="502">
        <f t="shared" ref="K69:K87" si="10">AD69*$C36</f>
        <v>0</v>
      </c>
      <c r="L69" s="503">
        <f t="shared" ref="L69:L87" si="11">AF69*$C36</f>
        <v>0</v>
      </c>
      <c r="M69" s="502">
        <f t="shared" ref="M69:M87" si="12">AG69*$C36</f>
        <v>0</v>
      </c>
      <c r="P69" s="97" t="s">
        <v>2238</v>
      </c>
      <c r="Q69" s="552">
        <v>0</v>
      </c>
      <c r="R69" s="552">
        <v>0</v>
      </c>
      <c r="S69" s="552">
        <v>0</v>
      </c>
      <c r="T69" s="553">
        <v>0</v>
      </c>
      <c r="U69" s="553">
        <v>0</v>
      </c>
      <c r="V69" s="553">
        <v>0</v>
      </c>
      <c r="W69" s="553">
        <v>0</v>
      </c>
      <c r="X69" s="553">
        <v>0</v>
      </c>
      <c r="Y69" s="553">
        <v>0</v>
      </c>
      <c r="Z69" s="553">
        <v>0</v>
      </c>
      <c r="AA69" s="553">
        <v>0</v>
      </c>
      <c r="AB69" s="553">
        <v>0</v>
      </c>
      <c r="AC69" s="553">
        <v>0</v>
      </c>
      <c r="AD69" s="553">
        <v>0</v>
      </c>
      <c r="AE69" s="553">
        <v>0</v>
      </c>
      <c r="AF69" s="553">
        <v>0</v>
      </c>
      <c r="AG69" s="553">
        <v>0</v>
      </c>
      <c r="AH69" s="553">
        <v>0</v>
      </c>
    </row>
    <row r="70" spans="1:34" ht="14">
      <c r="A70" s="504" t="s">
        <v>1239</v>
      </c>
      <c r="B70" s="505"/>
      <c r="C70" s="500"/>
      <c r="D70" s="501">
        <f t="shared" si="3"/>
        <v>0</v>
      </c>
      <c r="E70" s="502">
        <f t="shared" si="4"/>
        <v>0</v>
      </c>
      <c r="F70" s="501">
        <f t="shared" si="5"/>
        <v>123237.01436448448</v>
      </c>
      <c r="G70" s="502">
        <f t="shared" si="6"/>
        <v>0</v>
      </c>
      <c r="H70" s="501">
        <f t="shared" si="7"/>
        <v>0</v>
      </c>
      <c r="I70" s="502">
        <f t="shared" si="8"/>
        <v>0</v>
      </c>
      <c r="J70" s="501">
        <f t="shared" si="9"/>
        <v>0</v>
      </c>
      <c r="K70" s="502">
        <f t="shared" si="10"/>
        <v>0</v>
      </c>
      <c r="L70" s="503">
        <f t="shared" si="11"/>
        <v>0</v>
      </c>
      <c r="M70" s="502">
        <f t="shared" si="12"/>
        <v>0</v>
      </c>
      <c r="P70" s="554" t="s">
        <v>1239</v>
      </c>
      <c r="Q70" s="552">
        <v>97379</v>
      </c>
      <c r="R70" s="552">
        <v>0</v>
      </c>
      <c r="S70" s="552">
        <v>97379</v>
      </c>
      <c r="T70" s="553">
        <v>0</v>
      </c>
      <c r="U70" s="553">
        <v>0</v>
      </c>
      <c r="V70" s="553">
        <v>0</v>
      </c>
      <c r="W70" s="553">
        <v>9644</v>
      </c>
      <c r="X70" s="553">
        <v>0</v>
      </c>
      <c r="Y70" s="553">
        <v>9644</v>
      </c>
      <c r="Z70" s="553">
        <v>0</v>
      </c>
      <c r="AA70" s="553">
        <v>0</v>
      </c>
      <c r="AB70" s="553">
        <v>0</v>
      </c>
      <c r="AC70" s="553">
        <v>0</v>
      </c>
      <c r="AD70" s="553">
        <v>0</v>
      </c>
      <c r="AE70" s="553">
        <v>0</v>
      </c>
      <c r="AF70" s="553">
        <v>0</v>
      </c>
      <c r="AG70" s="553">
        <v>0</v>
      </c>
      <c r="AH70" s="553">
        <v>0</v>
      </c>
    </row>
    <row r="71" spans="1:34" ht="14">
      <c r="A71" s="504" t="s">
        <v>1240</v>
      </c>
      <c r="B71" s="505"/>
      <c r="C71" s="500"/>
      <c r="D71" s="501">
        <f t="shared" si="3"/>
        <v>0</v>
      </c>
      <c r="E71" s="502">
        <f t="shared" si="4"/>
        <v>0</v>
      </c>
      <c r="F71" s="501">
        <f t="shared" si="5"/>
        <v>0</v>
      </c>
      <c r="G71" s="502">
        <f t="shared" si="6"/>
        <v>0</v>
      </c>
      <c r="H71" s="501">
        <f t="shared" si="7"/>
        <v>0</v>
      </c>
      <c r="I71" s="502">
        <f t="shared" si="8"/>
        <v>0</v>
      </c>
      <c r="J71" s="501">
        <f t="shared" si="9"/>
        <v>0</v>
      </c>
      <c r="K71" s="502">
        <f t="shared" si="10"/>
        <v>0</v>
      </c>
      <c r="L71" s="503">
        <f t="shared" si="11"/>
        <v>0</v>
      </c>
      <c r="M71" s="502">
        <f t="shared" si="12"/>
        <v>0</v>
      </c>
      <c r="P71" s="554" t="s">
        <v>1240</v>
      </c>
      <c r="Q71" s="552">
        <v>0</v>
      </c>
      <c r="R71" s="552">
        <v>0</v>
      </c>
      <c r="S71" s="552">
        <v>0</v>
      </c>
      <c r="T71" s="553">
        <v>0</v>
      </c>
      <c r="U71" s="553">
        <v>0</v>
      </c>
      <c r="V71" s="553">
        <v>0</v>
      </c>
      <c r="W71" s="553">
        <v>0</v>
      </c>
      <c r="X71" s="553">
        <v>0</v>
      </c>
      <c r="Y71" s="553">
        <v>0</v>
      </c>
      <c r="Z71" s="553">
        <v>0</v>
      </c>
      <c r="AA71" s="553">
        <v>0</v>
      </c>
      <c r="AB71" s="553">
        <v>0</v>
      </c>
      <c r="AC71" s="553">
        <v>0</v>
      </c>
      <c r="AD71" s="553">
        <v>0</v>
      </c>
      <c r="AE71" s="553">
        <v>0</v>
      </c>
      <c r="AF71" s="553">
        <v>0</v>
      </c>
      <c r="AG71" s="553">
        <v>0</v>
      </c>
      <c r="AH71" s="553">
        <v>0</v>
      </c>
    </row>
    <row r="72" spans="1:34" ht="14">
      <c r="A72" s="504" t="s">
        <v>1241</v>
      </c>
      <c r="B72" s="505"/>
      <c r="C72" s="500"/>
      <c r="D72" s="501">
        <f t="shared" si="3"/>
        <v>0</v>
      </c>
      <c r="E72" s="502">
        <f t="shared" si="4"/>
        <v>0</v>
      </c>
      <c r="F72" s="501">
        <f t="shared" si="5"/>
        <v>0</v>
      </c>
      <c r="G72" s="502">
        <f t="shared" si="6"/>
        <v>0</v>
      </c>
      <c r="H72" s="501">
        <f t="shared" si="7"/>
        <v>0</v>
      </c>
      <c r="I72" s="502">
        <f t="shared" si="8"/>
        <v>0</v>
      </c>
      <c r="J72" s="501">
        <f t="shared" si="9"/>
        <v>0</v>
      </c>
      <c r="K72" s="502">
        <f t="shared" si="10"/>
        <v>0</v>
      </c>
      <c r="L72" s="503">
        <f t="shared" si="11"/>
        <v>0</v>
      </c>
      <c r="M72" s="502">
        <f t="shared" si="12"/>
        <v>0</v>
      </c>
      <c r="P72" s="554" t="s">
        <v>1241</v>
      </c>
      <c r="Q72" s="552">
        <v>0</v>
      </c>
      <c r="R72" s="552">
        <v>0</v>
      </c>
      <c r="S72" s="552">
        <v>0</v>
      </c>
      <c r="T72" s="553">
        <v>0</v>
      </c>
      <c r="U72" s="553">
        <v>0</v>
      </c>
      <c r="V72" s="553">
        <v>0</v>
      </c>
      <c r="W72" s="553">
        <v>0</v>
      </c>
      <c r="X72" s="553">
        <v>0</v>
      </c>
      <c r="Y72" s="553">
        <v>0</v>
      </c>
      <c r="Z72" s="553">
        <v>0</v>
      </c>
      <c r="AA72" s="553">
        <v>0</v>
      </c>
      <c r="AB72" s="553">
        <v>0</v>
      </c>
      <c r="AC72" s="553">
        <v>0</v>
      </c>
      <c r="AD72" s="553">
        <v>0</v>
      </c>
      <c r="AE72" s="553">
        <v>0</v>
      </c>
      <c r="AF72" s="553">
        <v>0</v>
      </c>
      <c r="AG72" s="553">
        <v>0</v>
      </c>
      <c r="AH72" s="553">
        <v>0</v>
      </c>
    </row>
    <row r="73" spans="1:34" ht="14">
      <c r="A73" s="504" t="s">
        <v>1242</v>
      </c>
      <c r="B73" s="505"/>
      <c r="C73" s="500"/>
      <c r="D73" s="501">
        <f t="shared" si="3"/>
        <v>0</v>
      </c>
      <c r="E73" s="502">
        <f t="shared" si="4"/>
        <v>24599.714085494044</v>
      </c>
      <c r="F73" s="501">
        <f t="shared" si="5"/>
        <v>0</v>
      </c>
      <c r="G73" s="502">
        <f t="shared" si="6"/>
        <v>0</v>
      </c>
      <c r="H73" s="501">
        <f t="shared" si="7"/>
        <v>0</v>
      </c>
      <c r="I73" s="502">
        <f t="shared" si="8"/>
        <v>0</v>
      </c>
      <c r="J73" s="501">
        <f t="shared" si="9"/>
        <v>0</v>
      </c>
      <c r="K73" s="502">
        <f t="shared" si="10"/>
        <v>0</v>
      </c>
      <c r="L73" s="503">
        <f t="shared" si="11"/>
        <v>0</v>
      </c>
      <c r="M73" s="502">
        <f t="shared" si="12"/>
        <v>0</v>
      </c>
      <c r="P73" s="554" t="s">
        <v>1242</v>
      </c>
      <c r="Q73" s="552">
        <v>0</v>
      </c>
      <c r="R73" s="552">
        <v>7148</v>
      </c>
      <c r="S73" s="552">
        <v>7148</v>
      </c>
      <c r="T73" s="553">
        <v>0</v>
      </c>
      <c r="U73" s="553">
        <v>1952</v>
      </c>
      <c r="V73" s="553">
        <v>1952</v>
      </c>
      <c r="W73" s="553">
        <v>0</v>
      </c>
      <c r="X73" s="553">
        <v>0</v>
      </c>
      <c r="Y73" s="553">
        <v>0</v>
      </c>
      <c r="Z73" s="553">
        <v>0</v>
      </c>
      <c r="AA73" s="553">
        <v>0</v>
      </c>
      <c r="AB73" s="553">
        <v>0</v>
      </c>
      <c r="AC73" s="553">
        <v>0</v>
      </c>
      <c r="AD73" s="553">
        <v>0</v>
      </c>
      <c r="AE73" s="553">
        <v>0</v>
      </c>
      <c r="AF73" s="553">
        <v>0</v>
      </c>
      <c r="AG73" s="553">
        <v>0</v>
      </c>
      <c r="AH73" s="553">
        <v>0</v>
      </c>
    </row>
    <row r="74" spans="1:34" ht="14">
      <c r="A74" s="504" t="s">
        <v>1243</v>
      </c>
      <c r="B74" s="505"/>
      <c r="C74" s="500"/>
      <c r="D74" s="501">
        <f t="shared" si="3"/>
        <v>0</v>
      </c>
      <c r="E74" s="502">
        <f t="shared" si="4"/>
        <v>0</v>
      </c>
      <c r="F74" s="501">
        <f t="shared" si="5"/>
        <v>0</v>
      </c>
      <c r="G74" s="502">
        <f t="shared" si="6"/>
        <v>0</v>
      </c>
      <c r="H74" s="501">
        <f t="shared" si="7"/>
        <v>0</v>
      </c>
      <c r="I74" s="502">
        <f t="shared" si="8"/>
        <v>0</v>
      </c>
      <c r="J74" s="501">
        <f t="shared" si="9"/>
        <v>0</v>
      </c>
      <c r="K74" s="502">
        <f t="shared" si="10"/>
        <v>0</v>
      </c>
      <c r="L74" s="503">
        <f t="shared" si="11"/>
        <v>0</v>
      </c>
      <c r="M74" s="502">
        <f t="shared" si="12"/>
        <v>0</v>
      </c>
      <c r="P74" s="554" t="s">
        <v>1243</v>
      </c>
      <c r="Q74" s="552">
        <v>0</v>
      </c>
      <c r="R74" s="552">
        <v>0</v>
      </c>
      <c r="S74" s="552">
        <v>0</v>
      </c>
      <c r="T74" s="553">
        <v>0</v>
      </c>
      <c r="U74" s="553">
        <v>0</v>
      </c>
      <c r="V74" s="553">
        <v>0</v>
      </c>
      <c r="W74" s="553">
        <v>0</v>
      </c>
      <c r="X74" s="553">
        <v>0</v>
      </c>
      <c r="Y74" s="553">
        <v>0</v>
      </c>
      <c r="Z74" s="553">
        <v>0</v>
      </c>
      <c r="AA74" s="553">
        <v>0</v>
      </c>
      <c r="AB74" s="553">
        <v>0</v>
      </c>
      <c r="AC74" s="553">
        <v>0</v>
      </c>
      <c r="AD74" s="553">
        <v>0</v>
      </c>
      <c r="AE74" s="553">
        <v>0</v>
      </c>
      <c r="AF74" s="553">
        <v>0</v>
      </c>
      <c r="AG74" s="553">
        <v>0</v>
      </c>
      <c r="AH74" s="553">
        <v>0</v>
      </c>
    </row>
    <row r="75" spans="1:34" ht="14">
      <c r="A75" s="504" t="s">
        <v>1244</v>
      </c>
      <c r="B75" s="505"/>
      <c r="C75" s="500"/>
      <c r="D75" s="501">
        <f t="shared" si="3"/>
        <v>0</v>
      </c>
      <c r="E75" s="502">
        <f t="shared" si="4"/>
        <v>0</v>
      </c>
      <c r="F75" s="501">
        <f t="shared" si="5"/>
        <v>0</v>
      </c>
      <c r="G75" s="502">
        <f t="shared" si="6"/>
        <v>0</v>
      </c>
      <c r="H75" s="501">
        <f t="shared" si="7"/>
        <v>0</v>
      </c>
      <c r="I75" s="502">
        <f t="shared" si="8"/>
        <v>0</v>
      </c>
      <c r="J75" s="501">
        <f t="shared" si="9"/>
        <v>0</v>
      </c>
      <c r="K75" s="502">
        <f t="shared" si="10"/>
        <v>0</v>
      </c>
      <c r="L75" s="503">
        <f t="shared" si="11"/>
        <v>0</v>
      </c>
      <c r="M75" s="502">
        <f t="shared" si="12"/>
        <v>0</v>
      </c>
      <c r="O75" s="635" t="s">
        <v>3941</v>
      </c>
      <c r="P75" s="565" t="s">
        <v>1244</v>
      </c>
      <c r="Q75" s="552">
        <v>261706</v>
      </c>
      <c r="R75" s="552">
        <v>295900</v>
      </c>
      <c r="S75" s="552">
        <v>557606</v>
      </c>
      <c r="T75" s="553">
        <v>0</v>
      </c>
      <c r="U75" s="553">
        <v>0</v>
      </c>
      <c r="V75" s="553">
        <v>0</v>
      </c>
      <c r="W75" s="553">
        <v>1086</v>
      </c>
      <c r="X75" s="553">
        <v>0</v>
      </c>
      <c r="Y75" s="553">
        <v>1086</v>
      </c>
      <c r="Z75" s="553">
        <v>0</v>
      </c>
      <c r="AA75" s="553">
        <v>0</v>
      </c>
      <c r="AB75" s="553">
        <v>0</v>
      </c>
      <c r="AC75" s="553">
        <v>0</v>
      </c>
      <c r="AD75" s="553">
        <v>0</v>
      </c>
      <c r="AE75" s="553">
        <v>0</v>
      </c>
      <c r="AF75" s="553">
        <v>0</v>
      </c>
      <c r="AG75" s="553">
        <v>0</v>
      </c>
      <c r="AH75" s="553">
        <v>0</v>
      </c>
    </row>
    <row r="76" spans="1:34" ht="14">
      <c r="A76" s="506" t="s">
        <v>1245</v>
      </c>
      <c r="B76" s="507"/>
      <c r="C76" s="500"/>
      <c r="D76" s="501">
        <f t="shared" si="3"/>
        <v>0</v>
      </c>
      <c r="E76" s="502">
        <f t="shared" si="4"/>
        <v>0</v>
      </c>
      <c r="F76" s="501">
        <f t="shared" si="5"/>
        <v>0</v>
      </c>
      <c r="G76" s="502">
        <f t="shared" si="6"/>
        <v>0</v>
      </c>
      <c r="H76" s="501">
        <f t="shared" si="7"/>
        <v>0</v>
      </c>
      <c r="I76" s="502">
        <f t="shared" si="8"/>
        <v>0</v>
      </c>
      <c r="J76" s="501">
        <f t="shared" si="9"/>
        <v>0</v>
      </c>
      <c r="K76" s="502">
        <f t="shared" si="10"/>
        <v>0</v>
      </c>
      <c r="L76" s="503">
        <f t="shared" si="11"/>
        <v>0</v>
      </c>
      <c r="M76" s="502">
        <f t="shared" si="12"/>
        <v>0</v>
      </c>
      <c r="O76" s="635" t="s">
        <v>3573</v>
      </c>
      <c r="P76" s="98" t="s">
        <v>1245</v>
      </c>
      <c r="Q76" s="552">
        <v>126292</v>
      </c>
      <c r="R76" s="552">
        <v>4981</v>
      </c>
      <c r="S76" s="552">
        <v>131273</v>
      </c>
      <c r="T76" s="553">
        <v>97946</v>
      </c>
      <c r="U76" s="553">
        <v>7107</v>
      </c>
      <c r="V76" s="553">
        <v>105053</v>
      </c>
      <c r="W76" s="553">
        <v>68509</v>
      </c>
      <c r="X76" s="553">
        <v>0</v>
      </c>
      <c r="Y76" s="553">
        <v>68509</v>
      </c>
      <c r="Z76" s="553">
        <v>0</v>
      </c>
      <c r="AA76" s="553">
        <v>0</v>
      </c>
      <c r="AB76" s="553">
        <v>0</v>
      </c>
      <c r="AC76" s="553">
        <v>2842</v>
      </c>
      <c r="AD76" s="553">
        <v>0</v>
      </c>
      <c r="AE76" s="553">
        <v>2842</v>
      </c>
      <c r="AF76" s="553">
        <v>4785</v>
      </c>
      <c r="AG76" s="553">
        <v>0</v>
      </c>
      <c r="AH76" s="553">
        <v>4785</v>
      </c>
    </row>
    <row r="77" spans="1:34" ht="14">
      <c r="A77" s="506" t="s">
        <v>1246</v>
      </c>
      <c r="B77" s="507"/>
      <c r="C77" s="500"/>
      <c r="D77" s="501">
        <f t="shared" si="3"/>
        <v>0</v>
      </c>
      <c r="E77" s="502">
        <f t="shared" si="4"/>
        <v>0</v>
      </c>
      <c r="F77" s="501">
        <f t="shared" si="5"/>
        <v>0</v>
      </c>
      <c r="G77" s="502">
        <f t="shared" si="6"/>
        <v>0</v>
      </c>
      <c r="H77" s="501">
        <f t="shared" si="7"/>
        <v>0</v>
      </c>
      <c r="I77" s="502">
        <f t="shared" si="8"/>
        <v>0</v>
      </c>
      <c r="J77" s="501">
        <f t="shared" si="9"/>
        <v>0</v>
      </c>
      <c r="K77" s="502">
        <f t="shared" si="10"/>
        <v>0</v>
      </c>
      <c r="L77" s="503">
        <f t="shared" si="11"/>
        <v>0</v>
      </c>
      <c r="M77" s="502">
        <f t="shared" si="12"/>
        <v>0</v>
      </c>
      <c r="P77" s="98" t="s">
        <v>1246</v>
      </c>
      <c r="Q77" s="552">
        <v>0</v>
      </c>
      <c r="R77" s="552">
        <v>0</v>
      </c>
      <c r="S77" s="552">
        <v>0</v>
      </c>
      <c r="T77" s="553">
        <v>0</v>
      </c>
      <c r="U77" s="553">
        <v>0</v>
      </c>
      <c r="V77" s="553">
        <v>0</v>
      </c>
      <c r="W77" s="553">
        <v>0</v>
      </c>
      <c r="X77" s="553">
        <v>0</v>
      </c>
      <c r="Y77" s="553">
        <v>0</v>
      </c>
      <c r="Z77" s="553">
        <v>0</v>
      </c>
      <c r="AA77" s="553">
        <v>0</v>
      </c>
      <c r="AB77" s="553">
        <v>0</v>
      </c>
      <c r="AC77" s="553">
        <v>0</v>
      </c>
      <c r="AD77" s="553">
        <v>0</v>
      </c>
      <c r="AE77" s="553">
        <v>0</v>
      </c>
      <c r="AF77" s="553">
        <v>0</v>
      </c>
      <c r="AG77" s="553">
        <v>0</v>
      </c>
      <c r="AH77" s="553">
        <v>0</v>
      </c>
    </row>
    <row r="78" spans="1:34" ht="14">
      <c r="A78" s="504" t="s">
        <v>1247</v>
      </c>
      <c r="B78" s="505"/>
      <c r="C78" s="500"/>
      <c r="D78" s="501">
        <f t="shared" si="3"/>
        <v>0</v>
      </c>
      <c r="E78" s="502">
        <f t="shared" si="4"/>
        <v>0</v>
      </c>
      <c r="F78" s="501">
        <f t="shared" si="5"/>
        <v>0</v>
      </c>
      <c r="G78" s="502">
        <f t="shared" si="6"/>
        <v>0</v>
      </c>
      <c r="H78" s="501">
        <f t="shared" si="7"/>
        <v>0</v>
      </c>
      <c r="I78" s="502">
        <f t="shared" si="8"/>
        <v>0</v>
      </c>
      <c r="J78" s="501">
        <f t="shared" si="9"/>
        <v>0</v>
      </c>
      <c r="K78" s="502">
        <f t="shared" si="10"/>
        <v>0</v>
      </c>
      <c r="L78" s="503">
        <f t="shared" si="11"/>
        <v>0</v>
      </c>
      <c r="M78" s="502">
        <f t="shared" si="12"/>
        <v>0</v>
      </c>
      <c r="P78" s="554" t="s">
        <v>1247</v>
      </c>
      <c r="Q78" s="552">
        <v>0</v>
      </c>
      <c r="R78" s="552">
        <v>0</v>
      </c>
      <c r="S78" s="552">
        <v>0</v>
      </c>
      <c r="T78" s="553">
        <v>0</v>
      </c>
      <c r="U78" s="553">
        <v>0</v>
      </c>
      <c r="V78" s="553">
        <v>0</v>
      </c>
      <c r="W78" s="553">
        <v>0</v>
      </c>
      <c r="X78" s="553">
        <v>0</v>
      </c>
      <c r="Y78" s="553">
        <v>0</v>
      </c>
      <c r="Z78" s="553">
        <v>0</v>
      </c>
      <c r="AA78" s="553">
        <v>0</v>
      </c>
      <c r="AB78" s="553">
        <v>0</v>
      </c>
      <c r="AC78" s="553">
        <v>0</v>
      </c>
      <c r="AD78" s="553">
        <v>0</v>
      </c>
      <c r="AE78" s="553">
        <v>0</v>
      </c>
      <c r="AF78" s="553">
        <v>0</v>
      </c>
      <c r="AG78" s="553">
        <v>0</v>
      </c>
      <c r="AH78" s="553">
        <v>0</v>
      </c>
    </row>
    <row r="79" spans="1:34" ht="14">
      <c r="A79" s="504" t="s">
        <v>1248</v>
      </c>
      <c r="B79" s="505"/>
      <c r="C79" s="500"/>
      <c r="D79" s="501">
        <f t="shared" si="3"/>
        <v>0</v>
      </c>
      <c r="E79" s="502">
        <f t="shared" si="4"/>
        <v>0</v>
      </c>
      <c r="F79" s="501">
        <f t="shared" si="5"/>
        <v>0</v>
      </c>
      <c r="G79" s="502">
        <f t="shared" si="6"/>
        <v>0</v>
      </c>
      <c r="H79" s="501">
        <f t="shared" si="7"/>
        <v>0</v>
      </c>
      <c r="I79" s="502">
        <f t="shared" si="8"/>
        <v>0</v>
      </c>
      <c r="J79" s="501">
        <f t="shared" si="9"/>
        <v>0</v>
      </c>
      <c r="K79" s="502">
        <f t="shared" si="10"/>
        <v>0</v>
      </c>
      <c r="L79" s="503">
        <f t="shared" si="11"/>
        <v>0</v>
      </c>
      <c r="M79" s="502">
        <f t="shared" si="12"/>
        <v>0</v>
      </c>
      <c r="P79" s="554" t="s">
        <v>1248</v>
      </c>
      <c r="Q79" s="552">
        <v>5666</v>
      </c>
      <c r="R79" s="552">
        <v>0</v>
      </c>
      <c r="S79" s="552">
        <v>5666</v>
      </c>
      <c r="T79" s="553">
        <v>0</v>
      </c>
      <c r="U79" s="553">
        <v>0</v>
      </c>
      <c r="V79" s="553">
        <v>0</v>
      </c>
      <c r="W79" s="553">
        <v>0</v>
      </c>
      <c r="X79" s="553">
        <v>0</v>
      </c>
      <c r="Y79" s="553">
        <v>0</v>
      </c>
      <c r="Z79" s="553">
        <v>0</v>
      </c>
      <c r="AA79" s="553">
        <v>0</v>
      </c>
      <c r="AB79" s="553">
        <v>0</v>
      </c>
      <c r="AC79" s="553">
        <v>0</v>
      </c>
      <c r="AD79" s="553">
        <v>0</v>
      </c>
      <c r="AE79" s="553">
        <v>0</v>
      </c>
      <c r="AF79" s="553">
        <v>0</v>
      </c>
      <c r="AG79" s="553">
        <v>0</v>
      </c>
      <c r="AH79" s="553">
        <v>0</v>
      </c>
    </row>
    <row r="80" spans="1:34" ht="14">
      <c r="A80" s="504" t="s">
        <v>1249</v>
      </c>
      <c r="B80" s="505"/>
      <c r="C80" s="500"/>
      <c r="D80" s="501">
        <f t="shared" si="3"/>
        <v>0</v>
      </c>
      <c r="E80" s="502">
        <f t="shared" si="4"/>
        <v>0</v>
      </c>
      <c r="F80" s="501">
        <f t="shared" si="5"/>
        <v>0</v>
      </c>
      <c r="G80" s="502">
        <f t="shared" si="6"/>
        <v>0</v>
      </c>
      <c r="H80" s="501">
        <f t="shared" si="7"/>
        <v>0</v>
      </c>
      <c r="I80" s="502">
        <f t="shared" si="8"/>
        <v>0</v>
      </c>
      <c r="J80" s="501">
        <f t="shared" si="9"/>
        <v>0</v>
      </c>
      <c r="K80" s="502">
        <f t="shared" si="10"/>
        <v>0</v>
      </c>
      <c r="L80" s="503">
        <f t="shared" si="11"/>
        <v>0</v>
      </c>
      <c r="M80" s="502">
        <f t="shared" si="12"/>
        <v>0</v>
      </c>
      <c r="P80" s="554" t="s">
        <v>1249</v>
      </c>
      <c r="Q80" s="552">
        <v>0</v>
      </c>
      <c r="R80" s="552">
        <v>0</v>
      </c>
      <c r="S80" s="552">
        <v>0</v>
      </c>
      <c r="T80" s="553">
        <v>0</v>
      </c>
      <c r="U80" s="553">
        <v>0</v>
      </c>
      <c r="V80" s="553">
        <v>0</v>
      </c>
      <c r="W80" s="553">
        <v>0</v>
      </c>
      <c r="X80" s="553">
        <v>0</v>
      </c>
      <c r="Y80" s="553">
        <v>0</v>
      </c>
      <c r="Z80" s="553">
        <v>0</v>
      </c>
      <c r="AA80" s="553">
        <v>0</v>
      </c>
      <c r="AB80" s="553">
        <v>0</v>
      </c>
      <c r="AC80" s="553">
        <v>0</v>
      </c>
      <c r="AD80" s="553">
        <v>0</v>
      </c>
      <c r="AE80" s="553">
        <v>0</v>
      </c>
      <c r="AF80" s="553">
        <v>0</v>
      </c>
      <c r="AG80" s="553">
        <v>0</v>
      </c>
      <c r="AH80" s="553">
        <v>0</v>
      </c>
    </row>
    <row r="81" spans="1:36" ht="14">
      <c r="A81" s="504" t="s">
        <v>1250</v>
      </c>
      <c r="B81" s="505"/>
      <c r="C81" s="500"/>
      <c r="D81" s="501">
        <f t="shared" si="3"/>
        <v>0</v>
      </c>
      <c r="E81" s="502">
        <f t="shared" si="4"/>
        <v>0</v>
      </c>
      <c r="F81" s="501">
        <f t="shared" si="5"/>
        <v>0</v>
      </c>
      <c r="G81" s="502">
        <f t="shared" si="6"/>
        <v>0</v>
      </c>
      <c r="H81" s="501">
        <f t="shared" si="7"/>
        <v>0</v>
      </c>
      <c r="I81" s="502">
        <f t="shared" si="8"/>
        <v>0</v>
      </c>
      <c r="J81" s="501">
        <f t="shared" si="9"/>
        <v>0</v>
      </c>
      <c r="K81" s="502">
        <f t="shared" si="10"/>
        <v>0</v>
      </c>
      <c r="L81" s="503">
        <f t="shared" si="11"/>
        <v>0</v>
      </c>
      <c r="M81" s="502">
        <f t="shared" si="12"/>
        <v>0</v>
      </c>
      <c r="P81" s="554" t="s">
        <v>1250</v>
      </c>
      <c r="Q81" s="552">
        <v>0</v>
      </c>
      <c r="R81" s="552">
        <v>110221</v>
      </c>
      <c r="S81" s="552">
        <v>110221</v>
      </c>
      <c r="T81" s="553">
        <v>0</v>
      </c>
      <c r="U81" s="553">
        <v>0</v>
      </c>
      <c r="V81" s="553">
        <v>0</v>
      </c>
      <c r="W81" s="553">
        <v>0</v>
      </c>
      <c r="X81" s="553">
        <v>0</v>
      </c>
      <c r="Y81" s="553">
        <v>0</v>
      </c>
      <c r="Z81" s="553">
        <v>0</v>
      </c>
      <c r="AA81" s="553">
        <v>0</v>
      </c>
      <c r="AB81" s="553">
        <v>0</v>
      </c>
      <c r="AC81" s="553">
        <v>0</v>
      </c>
      <c r="AD81" s="553">
        <v>0</v>
      </c>
      <c r="AE81" s="553">
        <v>0</v>
      </c>
      <c r="AF81" s="553">
        <v>0</v>
      </c>
      <c r="AG81" s="553">
        <v>0</v>
      </c>
      <c r="AH81" s="553">
        <v>0</v>
      </c>
    </row>
    <row r="82" spans="1:36" ht="14">
      <c r="A82" s="504" t="s">
        <v>1251</v>
      </c>
      <c r="B82" s="505"/>
      <c r="C82" s="500"/>
      <c r="D82" s="501">
        <f t="shared" si="3"/>
        <v>0</v>
      </c>
      <c r="E82" s="502">
        <f t="shared" si="4"/>
        <v>0</v>
      </c>
      <c r="F82" s="501">
        <f t="shared" si="5"/>
        <v>0</v>
      </c>
      <c r="G82" s="502">
        <f t="shared" si="6"/>
        <v>0</v>
      </c>
      <c r="H82" s="501">
        <f t="shared" si="7"/>
        <v>0</v>
      </c>
      <c r="I82" s="502">
        <f t="shared" si="8"/>
        <v>0</v>
      </c>
      <c r="J82" s="501">
        <f t="shared" si="9"/>
        <v>0</v>
      </c>
      <c r="K82" s="502">
        <f t="shared" si="10"/>
        <v>0</v>
      </c>
      <c r="L82" s="503">
        <f t="shared" si="11"/>
        <v>0</v>
      </c>
      <c r="M82" s="502">
        <f t="shared" si="12"/>
        <v>0</v>
      </c>
      <c r="P82" s="554" t="s">
        <v>1251</v>
      </c>
      <c r="Q82" s="552">
        <v>11907842</v>
      </c>
      <c r="R82" s="552">
        <v>0</v>
      </c>
      <c r="S82" s="552">
        <v>11907842</v>
      </c>
      <c r="T82" s="553">
        <v>1462693</v>
      </c>
      <c r="U82" s="553">
        <v>0</v>
      </c>
      <c r="V82" s="553">
        <v>1462693</v>
      </c>
      <c r="W82" s="553">
        <v>0</v>
      </c>
      <c r="X82" s="553">
        <v>0</v>
      </c>
      <c r="Y82" s="553">
        <v>0</v>
      </c>
      <c r="Z82" s="553">
        <v>0</v>
      </c>
      <c r="AA82" s="553">
        <v>0</v>
      </c>
      <c r="AB82" s="553">
        <v>0</v>
      </c>
      <c r="AC82" s="553">
        <v>0</v>
      </c>
      <c r="AD82" s="553">
        <v>0</v>
      </c>
      <c r="AE82" s="553">
        <v>0</v>
      </c>
      <c r="AF82" s="553">
        <v>156343</v>
      </c>
      <c r="AG82" s="553">
        <v>0</v>
      </c>
      <c r="AH82" s="553">
        <v>156343</v>
      </c>
    </row>
    <row r="83" spans="1:36" ht="14">
      <c r="A83" s="504" t="s">
        <v>1252</v>
      </c>
      <c r="B83" s="505"/>
      <c r="C83" s="500"/>
      <c r="D83" s="501">
        <f t="shared" si="3"/>
        <v>0</v>
      </c>
      <c r="E83" s="502">
        <f t="shared" si="4"/>
        <v>0</v>
      </c>
      <c r="F83" s="501">
        <f t="shared" si="5"/>
        <v>0</v>
      </c>
      <c r="G83" s="502">
        <f t="shared" si="6"/>
        <v>0</v>
      </c>
      <c r="H83" s="501">
        <f t="shared" si="7"/>
        <v>0</v>
      </c>
      <c r="I83" s="502">
        <f t="shared" si="8"/>
        <v>0</v>
      </c>
      <c r="J83" s="501">
        <f t="shared" si="9"/>
        <v>0</v>
      </c>
      <c r="K83" s="502">
        <f t="shared" si="10"/>
        <v>0</v>
      </c>
      <c r="L83" s="503">
        <f t="shared" si="11"/>
        <v>0</v>
      </c>
      <c r="M83" s="502">
        <f t="shared" si="12"/>
        <v>0</v>
      </c>
      <c r="P83" s="554" t="s">
        <v>1252</v>
      </c>
      <c r="Q83" s="552">
        <v>0</v>
      </c>
      <c r="R83" s="552">
        <v>0</v>
      </c>
      <c r="S83" s="552">
        <v>0</v>
      </c>
      <c r="T83" s="553">
        <v>0</v>
      </c>
      <c r="U83" s="553">
        <v>0</v>
      </c>
      <c r="V83" s="553">
        <v>0</v>
      </c>
      <c r="W83" s="553">
        <v>0</v>
      </c>
      <c r="X83" s="553">
        <v>0</v>
      </c>
      <c r="Y83" s="553">
        <v>0</v>
      </c>
      <c r="Z83" s="553">
        <v>0</v>
      </c>
      <c r="AA83" s="553">
        <v>0</v>
      </c>
      <c r="AB83" s="553">
        <v>0</v>
      </c>
      <c r="AC83" s="553">
        <v>0</v>
      </c>
      <c r="AD83" s="553">
        <v>0</v>
      </c>
      <c r="AE83" s="553">
        <v>0</v>
      </c>
      <c r="AF83" s="553">
        <v>0</v>
      </c>
      <c r="AG83" s="553">
        <v>0</v>
      </c>
      <c r="AH83" s="553">
        <v>0</v>
      </c>
    </row>
    <row r="84" spans="1:36" ht="14">
      <c r="A84" s="98" t="s">
        <v>1253</v>
      </c>
      <c r="B84" s="499"/>
      <c r="C84" s="500"/>
      <c r="D84" s="501">
        <f t="shared" si="3"/>
        <v>0</v>
      </c>
      <c r="E84" s="502">
        <f t="shared" si="4"/>
        <v>0</v>
      </c>
      <c r="F84" s="501">
        <f t="shared" si="5"/>
        <v>0</v>
      </c>
      <c r="G84" s="502">
        <f t="shared" si="6"/>
        <v>0</v>
      </c>
      <c r="H84" s="501">
        <f t="shared" si="7"/>
        <v>0</v>
      </c>
      <c r="I84" s="502">
        <f t="shared" si="8"/>
        <v>0</v>
      </c>
      <c r="J84" s="501">
        <f t="shared" si="9"/>
        <v>0</v>
      </c>
      <c r="K84" s="502">
        <f t="shared" si="10"/>
        <v>0</v>
      </c>
      <c r="L84" s="503">
        <f t="shared" si="11"/>
        <v>0</v>
      </c>
      <c r="M84" s="502">
        <f t="shared" si="12"/>
        <v>0</v>
      </c>
      <c r="O84" s="508"/>
      <c r="P84" s="98" t="s">
        <v>1253</v>
      </c>
      <c r="Q84" s="552">
        <v>170578</v>
      </c>
      <c r="R84" s="552">
        <v>848361</v>
      </c>
      <c r="S84" s="552">
        <v>1018939</v>
      </c>
      <c r="T84" s="553">
        <v>86827</v>
      </c>
      <c r="U84" s="553">
        <v>10670</v>
      </c>
      <c r="V84" s="553">
        <v>97497</v>
      </c>
      <c r="W84" s="553">
        <v>0</v>
      </c>
      <c r="X84" s="553">
        <v>0</v>
      </c>
      <c r="Y84" s="553">
        <v>0</v>
      </c>
      <c r="Z84" s="553">
        <v>0</v>
      </c>
      <c r="AA84" s="553">
        <v>0</v>
      </c>
      <c r="AB84" s="553">
        <v>0</v>
      </c>
      <c r="AC84" s="553">
        <v>26360</v>
      </c>
      <c r="AD84" s="553">
        <v>0</v>
      </c>
      <c r="AE84" s="553">
        <v>26360</v>
      </c>
      <c r="AF84" s="553">
        <v>0</v>
      </c>
      <c r="AG84" s="553">
        <v>0</v>
      </c>
      <c r="AH84" s="553">
        <v>0</v>
      </c>
    </row>
    <row r="85" spans="1:36" ht="14">
      <c r="A85" s="504" t="s">
        <v>1254</v>
      </c>
      <c r="B85" s="505"/>
      <c r="C85" s="500"/>
      <c r="D85" s="658">
        <f t="shared" si="3"/>
        <v>0</v>
      </c>
      <c r="E85" s="502">
        <f t="shared" si="4"/>
        <v>0</v>
      </c>
      <c r="F85" s="501">
        <f t="shared" si="5"/>
        <v>18.891141260661453</v>
      </c>
      <c r="G85" s="502">
        <f t="shared" si="6"/>
        <v>0</v>
      </c>
      <c r="H85" s="501">
        <f t="shared" si="7"/>
        <v>0</v>
      </c>
      <c r="I85" s="502">
        <f t="shared" si="8"/>
        <v>0</v>
      </c>
      <c r="J85" s="501">
        <f t="shared" si="9"/>
        <v>0</v>
      </c>
      <c r="K85" s="502">
        <f t="shared" si="10"/>
        <v>0</v>
      </c>
      <c r="L85" s="503">
        <f t="shared" si="11"/>
        <v>0</v>
      </c>
      <c r="M85" s="502">
        <f t="shared" si="12"/>
        <v>0</v>
      </c>
      <c r="O85" s="655"/>
      <c r="P85" s="554" t="s">
        <v>1254</v>
      </c>
      <c r="Q85" s="552">
        <v>902035</v>
      </c>
      <c r="R85" s="552">
        <v>0</v>
      </c>
      <c r="S85" s="552">
        <v>902035</v>
      </c>
      <c r="T85" s="664">
        <v>0</v>
      </c>
      <c r="U85" s="664">
        <v>0</v>
      </c>
      <c r="V85" s="664">
        <v>0</v>
      </c>
      <c r="W85" s="553">
        <v>1</v>
      </c>
      <c r="X85" s="553">
        <v>0</v>
      </c>
      <c r="Y85" s="553">
        <v>1</v>
      </c>
      <c r="Z85" s="553">
        <v>0</v>
      </c>
      <c r="AA85" s="553">
        <v>0</v>
      </c>
      <c r="AB85" s="553">
        <v>0</v>
      </c>
      <c r="AC85" s="553">
        <v>0</v>
      </c>
      <c r="AD85" s="553">
        <v>0</v>
      </c>
      <c r="AE85" s="553">
        <v>0</v>
      </c>
      <c r="AF85" s="553">
        <v>0</v>
      </c>
      <c r="AG85" s="553">
        <v>0</v>
      </c>
      <c r="AH85" s="553">
        <v>0</v>
      </c>
    </row>
    <row r="86" spans="1:36" ht="14">
      <c r="A86" s="504" t="s">
        <v>1255</v>
      </c>
      <c r="B86" s="505"/>
      <c r="C86" s="500"/>
      <c r="D86" s="501">
        <f t="shared" si="3"/>
        <v>0</v>
      </c>
      <c r="E86" s="502">
        <f t="shared" si="4"/>
        <v>0</v>
      </c>
      <c r="F86" s="501">
        <f t="shared" si="5"/>
        <v>0</v>
      </c>
      <c r="G86" s="502">
        <f t="shared" si="6"/>
        <v>0</v>
      </c>
      <c r="H86" s="501">
        <f t="shared" si="7"/>
        <v>0</v>
      </c>
      <c r="I86" s="502">
        <f t="shared" si="8"/>
        <v>0</v>
      </c>
      <c r="J86" s="501">
        <f t="shared" si="9"/>
        <v>0</v>
      </c>
      <c r="K86" s="502">
        <f t="shared" si="10"/>
        <v>0</v>
      </c>
      <c r="L86" s="503">
        <f t="shared" si="11"/>
        <v>0</v>
      </c>
      <c r="M86" s="502">
        <f t="shared" si="12"/>
        <v>0</v>
      </c>
      <c r="O86" s="694"/>
      <c r="P86" s="554" t="s">
        <v>1255</v>
      </c>
      <c r="Q86" s="552">
        <v>0</v>
      </c>
      <c r="R86" s="552">
        <v>10303</v>
      </c>
      <c r="S86" s="552">
        <v>10303</v>
      </c>
      <c r="T86" s="553">
        <v>0</v>
      </c>
      <c r="U86" s="553">
        <v>0</v>
      </c>
      <c r="V86" s="553">
        <v>0</v>
      </c>
      <c r="W86" s="553">
        <v>0</v>
      </c>
      <c r="X86" s="553">
        <v>0</v>
      </c>
      <c r="Y86" s="553">
        <v>0</v>
      </c>
      <c r="Z86" s="553">
        <v>0</v>
      </c>
      <c r="AA86" s="553">
        <v>0</v>
      </c>
      <c r="AB86" s="553">
        <v>0</v>
      </c>
      <c r="AC86" s="553">
        <v>0</v>
      </c>
      <c r="AD86" s="553">
        <v>0</v>
      </c>
      <c r="AE86" s="553">
        <v>0</v>
      </c>
      <c r="AF86" s="553">
        <v>0</v>
      </c>
      <c r="AG86" s="553">
        <v>0</v>
      </c>
      <c r="AH86" s="553">
        <v>0</v>
      </c>
    </row>
    <row r="87" spans="1:36" ht="14">
      <c r="A87" s="504" t="s">
        <v>1256</v>
      </c>
      <c r="B87" s="505"/>
      <c r="C87" s="500"/>
      <c r="D87" s="501">
        <f t="shared" si="3"/>
        <v>0</v>
      </c>
      <c r="E87" s="502">
        <f t="shared" si="4"/>
        <v>0</v>
      </c>
      <c r="F87" s="501">
        <f t="shared" si="5"/>
        <v>0</v>
      </c>
      <c r="G87" s="502">
        <f t="shared" si="6"/>
        <v>0</v>
      </c>
      <c r="H87" s="501">
        <f t="shared" si="7"/>
        <v>0</v>
      </c>
      <c r="I87" s="502">
        <f t="shared" si="8"/>
        <v>0</v>
      </c>
      <c r="J87" s="501">
        <f t="shared" si="9"/>
        <v>0</v>
      </c>
      <c r="K87" s="502">
        <f t="shared" si="10"/>
        <v>0</v>
      </c>
      <c r="L87" s="503">
        <f t="shared" si="11"/>
        <v>0</v>
      </c>
      <c r="M87" s="502">
        <f t="shared" si="12"/>
        <v>0</v>
      </c>
      <c r="P87" s="554" t="s">
        <v>1256</v>
      </c>
      <c r="Q87" s="552">
        <v>0</v>
      </c>
      <c r="R87" s="552">
        <v>0</v>
      </c>
      <c r="S87" s="552">
        <v>0</v>
      </c>
      <c r="T87" s="553">
        <v>0</v>
      </c>
      <c r="U87" s="553">
        <v>0</v>
      </c>
      <c r="V87" s="553">
        <v>0</v>
      </c>
      <c r="W87" s="553">
        <v>0</v>
      </c>
      <c r="X87" s="553">
        <v>0</v>
      </c>
      <c r="Y87" s="553">
        <v>0</v>
      </c>
      <c r="Z87" s="553">
        <v>0</v>
      </c>
      <c r="AA87" s="553">
        <v>0</v>
      </c>
      <c r="AB87" s="553">
        <v>0</v>
      </c>
      <c r="AC87" s="553">
        <v>0</v>
      </c>
      <c r="AD87" s="553">
        <v>0</v>
      </c>
      <c r="AE87" s="553">
        <v>0</v>
      </c>
      <c r="AF87" s="553">
        <v>0</v>
      </c>
      <c r="AG87" s="553">
        <v>0</v>
      </c>
      <c r="AH87" s="553">
        <v>0</v>
      </c>
    </row>
    <row r="88" spans="1:36" ht="13">
      <c r="P88" s="555" t="s">
        <v>187</v>
      </c>
      <c r="Q88" s="556">
        <v>13471498</v>
      </c>
      <c r="R88" s="556">
        <v>1276914</v>
      </c>
      <c r="S88" s="556">
        <v>14748412</v>
      </c>
      <c r="T88" s="556">
        <v>1647466</v>
      </c>
      <c r="U88" s="556">
        <v>19729</v>
      </c>
      <c r="V88" s="556">
        <v>1667195</v>
      </c>
      <c r="W88" s="556">
        <v>79240</v>
      </c>
      <c r="X88" s="556">
        <v>0</v>
      </c>
      <c r="Y88" s="556">
        <v>79240</v>
      </c>
      <c r="Z88" s="556">
        <v>0</v>
      </c>
      <c r="AA88" s="556">
        <v>0</v>
      </c>
      <c r="AB88" s="556">
        <v>0</v>
      </c>
      <c r="AC88" s="556">
        <v>29202</v>
      </c>
      <c r="AD88" s="556">
        <v>0</v>
      </c>
      <c r="AE88" s="556">
        <v>29202</v>
      </c>
      <c r="AF88" s="556">
        <v>161128</v>
      </c>
      <c r="AG88" s="556">
        <v>0</v>
      </c>
      <c r="AH88" s="556">
        <v>161128</v>
      </c>
      <c r="AI88" s="96">
        <f>S88+V88+Y88+AB88+AE88+AH88</f>
        <v>16685177</v>
      </c>
      <c r="AJ88" s="508"/>
    </row>
    <row r="90" spans="1:36" ht="13" thickBot="1"/>
    <row r="91" spans="1:36" ht="13" thickBot="1">
      <c r="A91" s="811" t="s">
        <v>1280</v>
      </c>
      <c r="B91" s="812"/>
      <c r="C91" s="812"/>
      <c r="D91" s="812"/>
      <c r="E91" s="812"/>
      <c r="F91" s="812"/>
      <c r="G91" s="812"/>
      <c r="H91" s="812"/>
      <c r="I91" s="812"/>
      <c r="J91" s="812"/>
      <c r="K91" s="812"/>
      <c r="L91" s="812"/>
      <c r="M91" s="813"/>
      <c r="N91" s="417"/>
      <c r="P91" s="800" t="s">
        <v>1287</v>
      </c>
      <c r="Q91" s="811" t="s">
        <v>1280</v>
      </c>
      <c r="R91" s="812"/>
      <c r="S91" s="812"/>
      <c r="T91" s="812"/>
      <c r="U91" s="812"/>
      <c r="V91" s="812"/>
      <c r="W91" s="812"/>
      <c r="X91" s="812"/>
      <c r="Y91" s="812"/>
      <c r="Z91" s="812"/>
      <c r="AA91" s="812"/>
      <c r="AB91" s="812"/>
      <c r="AC91" s="812"/>
      <c r="AD91" s="812"/>
      <c r="AE91" s="814"/>
      <c r="AF91" s="814"/>
      <c r="AG91" s="814"/>
      <c r="AH91" s="815"/>
    </row>
    <row r="92" spans="1:36" ht="24" customHeight="1" thickBot="1">
      <c r="A92" s="809" t="s">
        <v>1270</v>
      </c>
      <c r="B92" s="804" t="s">
        <v>1266</v>
      </c>
      <c r="C92" s="802" t="s">
        <v>1267</v>
      </c>
      <c r="D92" s="804" t="s">
        <v>1285</v>
      </c>
      <c r="E92" s="802" t="s">
        <v>1286</v>
      </c>
      <c r="F92" s="804" t="s">
        <v>1290</v>
      </c>
      <c r="G92" s="802" t="s">
        <v>1291</v>
      </c>
      <c r="H92" s="804" t="s">
        <v>1302</v>
      </c>
      <c r="I92" s="802" t="s">
        <v>1311</v>
      </c>
      <c r="J92" s="804" t="s">
        <v>1303</v>
      </c>
      <c r="K92" s="802" t="s">
        <v>1304</v>
      </c>
      <c r="L92" s="804" t="s">
        <v>1305</v>
      </c>
      <c r="M92" s="802" t="s">
        <v>1306</v>
      </c>
      <c r="P92" s="826" t="s">
        <v>1274</v>
      </c>
      <c r="Q92" s="811" t="s">
        <v>223</v>
      </c>
      <c r="R92" s="812"/>
      <c r="S92" s="813"/>
      <c r="T92" s="816" t="s">
        <v>203</v>
      </c>
      <c r="U92" s="817"/>
      <c r="V92" s="818"/>
      <c r="W92" s="811" t="s">
        <v>219</v>
      </c>
      <c r="X92" s="812"/>
      <c r="Y92" s="813"/>
      <c r="Z92" s="812" t="s">
        <v>220</v>
      </c>
      <c r="AA92" s="812"/>
      <c r="AB92" s="813"/>
      <c r="AC92" s="811" t="s">
        <v>222</v>
      </c>
      <c r="AD92" s="812"/>
      <c r="AE92" s="813"/>
      <c r="AF92" s="812" t="s">
        <v>221</v>
      </c>
      <c r="AG92" s="812"/>
      <c r="AH92" s="813"/>
    </row>
    <row r="93" spans="1:36" ht="24.75" customHeight="1" thickBot="1">
      <c r="A93" s="810"/>
      <c r="B93" s="805"/>
      <c r="C93" s="803"/>
      <c r="D93" s="805"/>
      <c r="E93" s="803"/>
      <c r="F93" s="805" t="s">
        <v>1271</v>
      </c>
      <c r="G93" s="803" t="s">
        <v>1271</v>
      </c>
      <c r="H93" s="805" t="s">
        <v>1271</v>
      </c>
      <c r="I93" s="803" t="s">
        <v>1271</v>
      </c>
      <c r="J93" s="805" t="s">
        <v>1271</v>
      </c>
      <c r="K93" s="803" t="s">
        <v>1271</v>
      </c>
      <c r="L93" s="805" t="s">
        <v>1271</v>
      </c>
      <c r="M93" s="803" t="s">
        <v>1271</v>
      </c>
      <c r="P93" s="801">
        <v>41132840</v>
      </c>
      <c r="Q93" s="153" t="s">
        <v>1271</v>
      </c>
      <c r="R93" s="47" t="s">
        <v>1272</v>
      </c>
      <c r="S93" s="47" t="s">
        <v>1273</v>
      </c>
      <c r="T93" s="549" t="s">
        <v>1271</v>
      </c>
      <c r="U93" s="550" t="s">
        <v>1272</v>
      </c>
      <c r="V93" s="550" t="s">
        <v>1273</v>
      </c>
      <c r="W93" s="153" t="s">
        <v>1271</v>
      </c>
      <c r="X93" s="47" t="s">
        <v>1272</v>
      </c>
      <c r="Y93" s="47" t="s">
        <v>1273</v>
      </c>
      <c r="Z93" s="511" t="s">
        <v>1271</v>
      </c>
      <c r="AA93" s="47" t="s">
        <v>1272</v>
      </c>
      <c r="AB93" s="47" t="s">
        <v>1273</v>
      </c>
      <c r="AC93" s="153" t="s">
        <v>1271</v>
      </c>
      <c r="AD93" s="47" t="s">
        <v>1272</v>
      </c>
      <c r="AE93" s="47" t="s">
        <v>1273</v>
      </c>
      <c r="AF93" s="511" t="s">
        <v>1271</v>
      </c>
      <c r="AG93" s="47" t="s">
        <v>1272</v>
      </c>
      <c r="AH93" s="47" t="s">
        <v>1273</v>
      </c>
    </row>
    <row r="94" spans="1:36" ht="14">
      <c r="A94" s="97" t="s">
        <v>2238</v>
      </c>
      <c r="B94" s="501">
        <f t="shared" ref="B94:B112" si="13">Q94*$B36</f>
        <v>0</v>
      </c>
      <c r="C94" s="502">
        <f t="shared" ref="C94:C112" si="14">R94*$B36</f>
        <v>0</v>
      </c>
      <c r="D94" s="500"/>
      <c r="E94" s="500"/>
      <c r="F94" s="501">
        <f t="shared" ref="F94:F112" si="15">W94*$B36</f>
        <v>0</v>
      </c>
      <c r="G94" s="502">
        <f t="shared" ref="G94:G112" si="16">X94*$B36</f>
        <v>0</v>
      </c>
      <c r="H94" s="501">
        <f t="shared" ref="H94:H112" si="17">Z94*$B36</f>
        <v>0</v>
      </c>
      <c r="I94" s="502">
        <f t="shared" ref="I94:I112" si="18">AA94*$B36</f>
        <v>0</v>
      </c>
      <c r="J94" s="501">
        <f t="shared" ref="J94:J112" si="19">AC94*$B36</f>
        <v>0</v>
      </c>
      <c r="K94" s="502">
        <f t="shared" ref="K94:K112" si="20">AD94*$B36</f>
        <v>0</v>
      </c>
      <c r="L94" s="501">
        <f t="shared" ref="L94:L112" si="21">AF94*$B36</f>
        <v>0</v>
      </c>
      <c r="M94" s="502">
        <f t="shared" ref="M94:M112" si="22">AG94*$B36</f>
        <v>0</v>
      </c>
      <c r="P94" s="98" t="s">
        <v>2238</v>
      </c>
      <c r="Q94" s="553">
        <v>0</v>
      </c>
      <c r="R94" s="553">
        <v>0</v>
      </c>
      <c r="S94" s="553">
        <v>0</v>
      </c>
      <c r="T94" s="552">
        <v>0</v>
      </c>
      <c r="U94" s="552">
        <v>7441</v>
      </c>
      <c r="V94" s="552">
        <v>7441</v>
      </c>
      <c r="W94" s="553">
        <v>0</v>
      </c>
      <c r="X94" s="553">
        <v>0</v>
      </c>
      <c r="Y94" s="553">
        <v>0</v>
      </c>
      <c r="Z94" s="553">
        <v>0</v>
      </c>
      <c r="AA94" s="553">
        <v>0</v>
      </c>
      <c r="AB94" s="553">
        <v>0</v>
      </c>
      <c r="AC94" s="553">
        <v>0</v>
      </c>
      <c r="AD94" s="553">
        <v>0</v>
      </c>
      <c r="AE94" s="553">
        <v>0</v>
      </c>
      <c r="AF94" s="553">
        <v>0</v>
      </c>
      <c r="AG94" s="553">
        <v>0</v>
      </c>
      <c r="AH94" s="553">
        <v>0</v>
      </c>
      <c r="AI94" s="96"/>
    </row>
    <row r="95" spans="1:36" ht="14">
      <c r="A95" s="504" t="s">
        <v>1239</v>
      </c>
      <c r="B95" s="501">
        <f t="shared" si="13"/>
        <v>0</v>
      </c>
      <c r="C95" s="502">
        <f t="shared" si="14"/>
        <v>0</v>
      </c>
      <c r="D95" s="500"/>
      <c r="E95" s="500"/>
      <c r="F95" s="501">
        <f t="shared" si="15"/>
        <v>0</v>
      </c>
      <c r="G95" s="502">
        <f t="shared" si="16"/>
        <v>0</v>
      </c>
      <c r="H95" s="501">
        <f t="shared" si="17"/>
        <v>0</v>
      </c>
      <c r="I95" s="502">
        <f t="shared" si="18"/>
        <v>0</v>
      </c>
      <c r="J95" s="501">
        <f t="shared" si="19"/>
        <v>0</v>
      </c>
      <c r="K95" s="502">
        <f t="shared" si="20"/>
        <v>0</v>
      </c>
      <c r="L95" s="501">
        <f t="shared" si="21"/>
        <v>0</v>
      </c>
      <c r="M95" s="502">
        <f t="shared" si="22"/>
        <v>0</v>
      </c>
      <c r="P95" s="554" t="s">
        <v>1239</v>
      </c>
      <c r="Q95" s="553">
        <v>0</v>
      </c>
      <c r="R95" s="553">
        <v>0</v>
      </c>
      <c r="S95" s="553">
        <v>0</v>
      </c>
      <c r="T95" s="552">
        <v>0</v>
      </c>
      <c r="U95" s="552">
        <v>0</v>
      </c>
      <c r="V95" s="552">
        <v>0</v>
      </c>
      <c r="W95" s="553">
        <v>0</v>
      </c>
      <c r="X95" s="553">
        <v>0</v>
      </c>
      <c r="Y95" s="553">
        <v>0</v>
      </c>
      <c r="Z95" s="553">
        <v>0</v>
      </c>
      <c r="AA95" s="553">
        <v>0</v>
      </c>
      <c r="AB95" s="553">
        <v>0</v>
      </c>
      <c r="AC95" s="553">
        <v>0</v>
      </c>
      <c r="AD95" s="553">
        <v>0</v>
      </c>
      <c r="AE95" s="553">
        <v>0</v>
      </c>
      <c r="AF95" s="553">
        <v>0</v>
      </c>
      <c r="AG95" s="553">
        <v>0</v>
      </c>
      <c r="AH95" s="553">
        <v>0</v>
      </c>
      <c r="AI95" s="96"/>
    </row>
    <row r="96" spans="1:36" ht="14">
      <c r="A96" s="504" t="s">
        <v>1240</v>
      </c>
      <c r="B96" s="501">
        <f t="shared" si="13"/>
        <v>0</v>
      </c>
      <c r="C96" s="502">
        <f t="shared" si="14"/>
        <v>0</v>
      </c>
      <c r="D96" s="500"/>
      <c r="E96" s="500"/>
      <c r="F96" s="501">
        <f t="shared" si="15"/>
        <v>0</v>
      </c>
      <c r="G96" s="502">
        <f t="shared" si="16"/>
        <v>0</v>
      </c>
      <c r="H96" s="501">
        <f t="shared" si="17"/>
        <v>0</v>
      </c>
      <c r="I96" s="502">
        <f t="shared" si="18"/>
        <v>0</v>
      </c>
      <c r="J96" s="501">
        <f t="shared" si="19"/>
        <v>0</v>
      </c>
      <c r="K96" s="502">
        <f t="shared" si="20"/>
        <v>0</v>
      </c>
      <c r="L96" s="501">
        <f t="shared" si="21"/>
        <v>0</v>
      </c>
      <c r="M96" s="502">
        <f t="shared" si="22"/>
        <v>0</v>
      </c>
      <c r="P96" s="554" t="s">
        <v>1240</v>
      </c>
      <c r="Q96" s="553">
        <v>0</v>
      </c>
      <c r="R96" s="553">
        <v>0</v>
      </c>
      <c r="S96" s="553">
        <v>0</v>
      </c>
      <c r="T96" s="552">
        <v>0</v>
      </c>
      <c r="U96" s="552">
        <v>0</v>
      </c>
      <c r="V96" s="552">
        <v>0</v>
      </c>
      <c r="W96" s="553">
        <v>0</v>
      </c>
      <c r="X96" s="553">
        <v>0</v>
      </c>
      <c r="Y96" s="553">
        <v>0</v>
      </c>
      <c r="Z96" s="553">
        <v>0</v>
      </c>
      <c r="AA96" s="553">
        <v>0</v>
      </c>
      <c r="AB96" s="553">
        <v>0</v>
      </c>
      <c r="AC96" s="553">
        <v>0</v>
      </c>
      <c r="AD96" s="553">
        <v>0</v>
      </c>
      <c r="AE96" s="553">
        <v>0</v>
      </c>
      <c r="AF96" s="553">
        <v>0</v>
      </c>
      <c r="AG96" s="553">
        <v>0</v>
      </c>
      <c r="AH96" s="553">
        <v>0</v>
      </c>
      <c r="AI96" s="96"/>
    </row>
    <row r="97" spans="1:35" ht="14">
      <c r="A97" s="504" t="s">
        <v>1241</v>
      </c>
      <c r="B97" s="501">
        <f t="shared" si="13"/>
        <v>0</v>
      </c>
      <c r="C97" s="502">
        <f t="shared" si="14"/>
        <v>0</v>
      </c>
      <c r="D97" s="500"/>
      <c r="E97" s="500"/>
      <c r="F97" s="501">
        <f t="shared" si="15"/>
        <v>0</v>
      </c>
      <c r="G97" s="502">
        <f t="shared" si="16"/>
        <v>0</v>
      </c>
      <c r="H97" s="501">
        <f t="shared" si="17"/>
        <v>0</v>
      </c>
      <c r="I97" s="502">
        <f t="shared" si="18"/>
        <v>0</v>
      </c>
      <c r="J97" s="501">
        <f t="shared" si="19"/>
        <v>0</v>
      </c>
      <c r="K97" s="502">
        <f t="shared" si="20"/>
        <v>0</v>
      </c>
      <c r="L97" s="501">
        <f t="shared" si="21"/>
        <v>0</v>
      </c>
      <c r="M97" s="502">
        <f t="shared" si="22"/>
        <v>0</v>
      </c>
      <c r="P97" s="554" t="s">
        <v>1241</v>
      </c>
      <c r="Q97" s="553">
        <v>0</v>
      </c>
      <c r="R97" s="553">
        <v>0</v>
      </c>
      <c r="S97" s="553">
        <v>0</v>
      </c>
      <c r="T97" s="552">
        <v>0</v>
      </c>
      <c r="U97" s="552">
        <v>0</v>
      </c>
      <c r="V97" s="552">
        <v>0</v>
      </c>
      <c r="W97" s="553">
        <v>0</v>
      </c>
      <c r="X97" s="553">
        <v>0</v>
      </c>
      <c r="Y97" s="553">
        <v>0</v>
      </c>
      <c r="Z97" s="553">
        <v>0</v>
      </c>
      <c r="AA97" s="553">
        <v>0</v>
      </c>
      <c r="AB97" s="553">
        <v>0</v>
      </c>
      <c r="AC97" s="553">
        <v>0</v>
      </c>
      <c r="AD97" s="553">
        <v>0</v>
      </c>
      <c r="AE97" s="553">
        <v>0</v>
      </c>
      <c r="AF97" s="553">
        <v>0</v>
      </c>
      <c r="AG97" s="553">
        <v>0</v>
      </c>
      <c r="AH97" s="553">
        <v>0</v>
      </c>
      <c r="AI97" s="96"/>
    </row>
    <row r="98" spans="1:35" ht="14">
      <c r="A98" s="504" t="s">
        <v>1242</v>
      </c>
      <c r="B98" s="501">
        <f t="shared" si="13"/>
        <v>0</v>
      </c>
      <c r="C98" s="502">
        <f t="shared" si="14"/>
        <v>0</v>
      </c>
      <c r="D98" s="500"/>
      <c r="E98" s="500"/>
      <c r="F98" s="501">
        <f t="shared" si="15"/>
        <v>0</v>
      </c>
      <c r="G98" s="502">
        <f t="shared" si="16"/>
        <v>0</v>
      </c>
      <c r="H98" s="501">
        <f t="shared" si="17"/>
        <v>0</v>
      </c>
      <c r="I98" s="502">
        <f t="shared" si="18"/>
        <v>0</v>
      </c>
      <c r="J98" s="501">
        <f t="shared" si="19"/>
        <v>0</v>
      </c>
      <c r="K98" s="502">
        <f t="shared" si="20"/>
        <v>0</v>
      </c>
      <c r="L98" s="501">
        <f t="shared" si="21"/>
        <v>0</v>
      </c>
      <c r="M98" s="502">
        <f t="shared" si="22"/>
        <v>0</v>
      </c>
      <c r="P98" s="554" t="s">
        <v>1242</v>
      </c>
      <c r="Q98" s="553">
        <v>0</v>
      </c>
      <c r="R98" s="553">
        <v>0</v>
      </c>
      <c r="S98" s="553">
        <v>0</v>
      </c>
      <c r="T98" s="552">
        <v>0</v>
      </c>
      <c r="U98" s="552">
        <v>69550</v>
      </c>
      <c r="V98" s="552">
        <v>69550</v>
      </c>
      <c r="W98" s="553">
        <v>0</v>
      </c>
      <c r="X98" s="553">
        <v>0</v>
      </c>
      <c r="Y98" s="553">
        <v>0</v>
      </c>
      <c r="Z98" s="553">
        <v>0</v>
      </c>
      <c r="AA98" s="553">
        <v>0</v>
      </c>
      <c r="AB98" s="553">
        <v>0</v>
      </c>
      <c r="AC98" s="553">
        <v>0</v>
      </c>
      <c r="AD98" s="553">
        <v>0</v>
      </c>
      <c r="AE98" s="553">
        <v>0</v>
      </c>
      <c r="AF98" s="553">
        <v>0</v>
      </c>
      <c r="AG98" s="553">
        <v>0</v>
      </c>
      <c r="AH98" s="553">
        <v>0</v>
      </c>
      <c r="AI98" s="96"/>
    </row>
    <row r="99" spans="1:35" ht="14">
      <c r="A99" s="504" t="s">
        <v>1243</v>
      </c>
      <c r="B99" s="501">
        <f t="shared" si="13"/>
        <v>0</v>
      </c>
      <c r="C99" s="502">
        <f t="shared" si="14"/>
        <v>0</v>
      </c>
      <c r="D99" s="500"/>
      <c r="E99" s="500"/>
      <c r="F99" s="501">
        <f t="shared" si="15"/>
        <v>0</v>
      </c>
      <c r="G99" s="502">
        <f t="shared" si="16"/>
        <v>0</v>
      </c>
      <c r="H99" s="501">
        <f t="shared" si="17"/>
        <v>0</v>
      </c>
      <c r="I99" s="502">
        <f t="shared" si="18"/>
        <v>0</v>
      </c>
      <c r="J99" s="501">
        <f t="shared" si="19"/>
        <v>0</v>
      </c>
      <c r="K99" s="502">
        <f t="shared" si="20"/>
        <v>0</v>
      </c>
      <c r="L99" s="501">
        <f t="shared" si="21"/>
        <v>0</v>
      </c>
      <c r="M99" s="502">
        <f t="shared" si="22"/>
        <v>0</v>
      </c>
      <c r="P99" s="554" t="s">
        <v>1243</v>
      </c>
      <c r="Q99" s="553">
        <v>0</v>
      </c>
      <c r="R99" s="553">
        <v>0</v>
      </c>
      <c r="S99" s="553">
        <v>0</v>
      </c>
      <c r="T99" s="552">
        <v>0</v>
      </c>
      <c r="U99" s="552">
        <v>0</v>
      </c>
      <c r="V99" s="552">
        <v>0</v>
      </c>
      <c r="W99" s="553">
        <v>0</v>
      </c>
      <c r="X99" s="553">
        <v>0</v>
      </c>
      <c r="Y99" s="553">
        <v>0</v>
      </c>
      <c r="Z99" s="553">
        <v>0</v>
      </c>
      <c r="AA99" s="553">
        <v>0</v>
      </c>
      <c r="AB99" s="553">
        <v>0</v>
      </c>
      <c r="AC99" s="553">
        <v>0</v>
      </c>
      <c r="AD99" s="553">
        <v>0</v>
      </c>
      <c r="AE99" s="553">
        <v>0</v>
      </c>
      <c r="AF99" s="553">
        <v>0</v>
      </c>
      <c r="AG99" s="553">
        <v>0</v>
      </c>
      <c r="AH99" s="553">
        <v>0</v>
      </c>
      <c r="AI99" s="96"/>
    </row>
    <row r="100" spans="1:35" ht="14">
      <c r="A100" s="504" t="s">
        <v>1244</v>
      </c>
      <c r="B100" s="501">
        <f t="shared" si="13"/>
        <v>0</v>
      </c>
      <c r="C100" s="502">
        <f t="shared" si="14"/>
        <v>0</v>
      </c>
      <c r="D100" s="500"/>
      <c r="E100" s="500"/>
      <c r="F100" s="501">
        <f t="shared" si="15"/>
        <v>0</v>
      </c>
      <c r="G100" s="502">
        <f t="shared" si="16"/>
        <v>0</v>
      </c>
      <c r="H100" s="501">
        <f t="shared" si="17"/>
        <v>0</v>
      </c>
      <c r="I100" s="502">
        <f t="shared" si="18"/>
        <v>0</v>
      </c>
      <c r="J100" s="501">
        <f t="shared" si="19"/>
        <v>0</v>
      </c>
      <c r="K100" s="502">
        <f t="shared" si="20"/>
        <v>0</v>
      </c>
      <c r="L100" s="501">
        <f t="shared" si="21"/>
        <v>0</v>
      </c>
      <c r="M100" s="502">
        <f t="shared" si="22"/>
        <v>0</v>
      </c>
      <c r="O100" s="635" t="s">
        <v>3940</v>
      </c>
      <c r="P100" s="565" t="s">
        <v>1244</v>
      </c>
      <c r="Q100" s="625">
        <f>0/1.5</f>
        <v>0</v>
      </c>
      <c r="R100" s="625">
        <f>46647/1.5</f>
        <v>31098</v>
      </c>
      <c r="S100" s="625">
        <f>Q100+R100</f>
        <v>31098</v>
      </c>
      <c r="T100" s="625">
        <f>0/1.5</f>
        <v>0</v>
      </c>
      <c r="U100" s="625">
        <f>93716/1.5</f>
        <v>62477.333333333336</v>
      </c>
      <c r="V100" s="625">
        <f>T100+U100</f>
        <v>62477.333333333336</v>
      </c>
      <c r="W100" s="553">
        <v>0</v>
      </c>
      <c r="X100" s="553">
        <v>0</v>
      </c>
      <c r="Y100" s="553">
        <v>0</v>
      </c>
      <c r="Z100" s="553">
        <v>0</v>
      </c>
      <c r="AA100" s="553">
        <v>0</v>
      </c>
      <c r="AB100" s="553">
        <v>0</v>
      </c>
      <c r="AC100" s="553">
        <v>0</v>
      </c>
      <c r="AD100" s="553">
        <v>0</v>
      </c>
      <c r="AE100" s="553">
        <v>0</v>
      </c>
      <c r="AF100" s="553">
        <v>0</v>
      </c>
      <c r="AG100" s="553">
        <v>0</v>
      </c>
      <c r="AH100" s="553">
        <v>0</v>
      </c>
      <c r="AI100" s="96">
        <f>SUM(S100,V100,Y100,AH100,AB100,AE100)</f>
        <v>93575.333333333343</v>
      </c>
    </row>
    <row r="101" spans="1:35" ht="14">
      <c r="A101" s="506" t="s">
        <v>1245</v>
      </c>
      <c r="B101" s="501">
        <f t="shared" si="13"/>
        <v>0</v>
      </c>
      <c r="C101" s="502">
        <f t="shared" si="14"/>
        <v>0</v>
      </c>
      <c r="D101" s="500"/>
      <c r="E101" s="500"/>
      <c r="F101" s="501">
        <f t="shared" si="15"/>
        <v>0</v>
      </c>
      <c r="G101" s="502">
        <f t="shared" si="16"/>
        <v>0</v>
      </c>
      <c r="H101" s="501">
        <f t="shared" si="17"/>
        <v>0</v>
      </c>
      <c r="I101" s="502">
        <f t="shared" si="18"/>
        <v>0</v>
      </c>
      <c r="J101" s="501">
        <f t="shared" si="19"/>
        <v>0</v>
      </c>
      <c r="K101" s="502">
        <f t="shared" si="20"/>
        <v>0</v>
      </c>
      <c r="L101" s="501">
        <f t="shared" si="21"/>
        <v>0</v>
      </c>
      <c r="M101" s="502">
        <f t="shared" si="22"/>
        <v>0</v>
      </c>
      <c r="O101" s="611" t="s">
        <v>3271</v>
      </c>
      <c r="P101" s="98" t="s">
        <v>1245</v>
      </c>
      <c r="Q101" s="553">
        <v>73979</v>
      </c>
      <c r="R101" s="553">
        <v>0</v>
      </c>
      <c r="S101" s="553">
        <v>73979</v>
      </c>
      <c r="T101" s="552">
        <v>409682</v>
      </c>
      <c r="U101" s="552">
        <v>14896</v>
      </c>
      <c r="V101" s="552">
        <v>424578</v>
      </c>
      <c r="W101" s="553">
        <v>325486</v>
      </c>
      <c r="X101" s="553">
        <v>0</v>
      </c>
      <c r="Y101" s="553">
        <v>325486</v>
      </c>
      <c r="Z101" s="553">
        <v>2499</v>
      </c>
      <c r="AA101" s="553">
        <v>0</v>
      </c>
      <c r="AB101" s="553">
        <v>2499</v>
      </c>
      <c r="AC101" s="553">
        <v>26070</v>
      </c>
      <c r="AD101" s="553">
        <v>0</v>
      </c>
      <c r="AE101" s="553">
        <v>26070</v>
      </c>
      <c r="AF101" s="553">
        <v>34660</v>
      </c>
      <c r="AG101" s="553">
        <v>0</v>
      </c>
      <c r="AH101" s="553">
        <v>34660</v>
      </c>
      <c r="AI101" s="96"/>
    </row>
    <row r="102" spans="1:35" ht="14">
      <c r="A102" s="506" t="s">
        <v>1246</v>
      </c>
      <c r="B102" s="501">
        <f t="shared" si="13"/>
        <v>0</v>
      </c>
      <c r="C102" s="502">
        <f t="shared" si="14"/>
        <v>0</v>
      </c>
      <c r="D102" s="500"/>
      <c r="E102" s="500"/>
      <c r="F102" s="501">
        <f t="shared" si="15"/>
        <v>0</v>
      </c>
      <c r="G102" s="502">
        <f t="shared" si="16"/>
        <v>0</v>
      </c>
      <c r="H102" s="501">
        <f t="shared" si="17"/>
        <v>0</v>
      </c>
      <c r="I102" s="502">
        <f t="shared" si="18"/>
        <v>0</v>
      </c>
      <c r="J102" s="501">
        <f t="shared" si="19"/>
        <v>0</v>
      </c>
      <c r="K102" s="502">
        <f t="shared" si="20"/>
        <v>0</v>
      </c>
      <c r="L102" s="501">
        <f t="shared" si="21"/>
        <v>0</v>
      </c>
      <c r="M102" s="502">
        <f t="shared" si="22"/>
        <v>0</v>
      </c>
      <c r="O102" s="126"/>
      <c r="P102" s="554" t="s">
        <v>1246</v>
      </c>
      <c r="Q102" s="553">
        <v>0</v>
      </c>
      <c r="R102" s="553">
        <v>0</v>
      </c>
      <c r="S102" s="553">
        <v>0</v>
      </c>
      <c r="T102" s="552">
        <v>721</v>
      </c>
      <c r="U102" s="552">
        <v>0</v>
      </c>
      <c r="V102" s="552">
        <v>721</v>
      </c>
      <c r="W102" s="553">
        <v>0</v>
      </c>
      <c r="X102" s="553">
        <v>0</v>
      </c>
      <c r="Y102" s="553">
        <v>0</v>
      </c>
      <c r="Z102" s="553">
        <v>0</v>
      </c>
      <c r="AA102" s="553">
        <v>0</v>
      </c>
      <c r="AB102" s="553">
        <v>0</v>
      </c>
      <c r="AC102" s="553">
        <v>0</v>
      </c>
      <c r="AD102" s="553">
        <v>0</v>
      </c>
      <c r="AE102" s="553">
        <v>0</v>
      </c>
      <c r="AF102" s="553">
        <v>0</v>
      </c>
      <c r="AG102" s="553">
        <v>0</v>
      </c>
      <c r="AH102" s="553">
        <v>0</v>
      </c>
      <c r="AI102" s="96"/>
    </row>
    <row r="103" spans="1:35" ht="14">
      <c r="A103" s="504" t="s">
        <v>1247</v>
      </c>
      <c r="B103" s="501">
        <f t="shared" si="13"/>
        <v>0</v>
      </c>
      <c r="C103" s="502">
        <f t="shared" si="14"/>
        <v>0</v>
      </c>
      <c r="D103" s="500"/>
      <c r="E103" s="500"/>
      <c r="F103" s="501">
        <f t="shared" si="15"/>
        <v>0</v>
      </c>
      <c r="G103" s="502">
        <f t="shared" si="16"/>
        <v>0</v>
      </c>
      <c r="H103" s="501">
        <f t="shared" si="17"/>
        <v>0</v>
      </c>
      <c r="I103" s="502">
        <f t="shared" si="18"/>
        <v>0</v>
      </c>
      <c r="J103" s="501">
        <f t="shared" si="19"/>
        <v>0</v>
      </c>
      <c r="K103" s="502">
        <f t="shared" si="20"/>
        <v>0</v>
      </c>
      <c r="L103" s="501">
        <f t="shared" si="21"/>
        <v>0</v>
      </c>
      <c r="M103" s="502">
        <f t="shared" si="22"/>
        <v>0</v>
      </c>
      <c r="O103" s="126"/>
      <c r="P103" s="554" t="s">
        <v>1247</v>
      </c>
      <c r="Q103" s="553">
        <v>0</v>
      </c>
      <c r="R103" s="553">
        <v>0</v>
      </c>
      <c r="S103" s="553">
        <v>0</v>
      </c>
      <c r="T103" s="552">
        <v>0</v>
      </c>
      <c r="U103" s="552">
        <v>0</v>
      </c>
      <c r="V103" s="552">
        <v>0</v>
      </c>
      <c r="W103" s="553">
        <v>0</v>
      </c>
      <c r="X103" s="553">
        <v>0</v>
      </c>
      <c r="Y103" s="553">
        <v>0</v>
      </c>
      <c r="Z103" s="553">
        <v>0</v>
      </c>
      <c r="AA103" s="553">
        <v>0</v>
      </c>
      <c r="AB103" s="553">
        <v>0</v>
      </c>
      <c r="AC103" s="553">
        <v>0</v>
      </c>
      <c r="AD103" s="553">
        <v>0</v>
      </c>
      <c r="AE103" s="553">
        <v>0</v>
      </c>
      <c r="AF103" s="553">
        <v>0</v>
      </c>
      <c r="AG103" s="553">
        <v>0</v>
      </c>
      <c r="AH103" s="553">
        <v>0</v>
      </c>
      <c r="AI103" s="96"/>
    </row>
    <row r="104" spans="1:35" ht="14">
      <c r="A104" s="504" t="s">
        <v>1248</v>
      </c>
      <c r="B104" s="501">
        <f t="shared" si="13"/>
        <v>655663.88707368833</v>
      </c>
      <c r="C104" s="502">
        <f t="shared" si="14"/>
        <v>106645.76871822713</v>
      </c>
      <c r="D104" s="500"/>
      <c r="E104" s="500"/>
      <c r="F104" s="501">
        <f t="shared" si="15"/>
        <v>0</v>
      </c>
      <c r="G104" s="502">
        <f t="shared" si="16"/>
        <v>84374.711613444539</v>
      </c>
      <c r="H104" s="501">
        <f t="shared" si="17"/>
        <v>0</v>
      </c>
      <c r="I104" s="502">
        <f t="shared" si="18"/>
        <v>0</v>
      </c>
      <c r="J104" s="501">
        <f t="shared" si="19"/>
        <v>0</v>
      </c>
      <c r="K104" s="502">
        <f t="shared" si="20"/>
        <v>0</v>
      </c>
      <c r="L104" s="501">
        <f t="shared" si="21"/>
        <v>0</v>
      </c>
      <c r="M104" s="502">
        <f t="shared" si="22"/>
        <v>0</v>
      </c>
      <c r="P104" s="554" t="s">
        <v>1248</v>
      </c>
      <c r="Q104" s="553">
        <v>52904</v>
      </c>
      <c r="R104" s="553">
        <v>8605</v>
      </c>
      <c r="S104" s="553">
        <v>61509</v>
      </c>
      <c r="T104" s="552">
        <v>27559</v>
      </c>
      <c r="U104" s="552">
        <v>15727</v>
      </c>
      <c r="V104" s="552">
        <v>43286</v>
      </c>
      <c r="W104" s="553">
        <v>0</v>
      </c>
      <c r="X104" s="553">
        <v>6808</v>
      </c>
      <c r="Y104" s="553">
        <v>6808</v>
      </c>
      <c r="Z104" s="553">
        <v>0</v>
      </c>
      <c r="AA104" s="553">
        <v>0</v>
      </c>
      <c r="AB104" s="553">
        <v>0</v>
      </c>
      <c r="AC104" s="553">
        <v>0</v>
      </c>
      <c r="AD104" s="553">
        <v>0</v>
      </c>
      <c r="AE104" s="553">
        <v>0</v>
      </c>
      <c r="AF104" s="553">
        <v>0</v>
      </c>
      <c r="AG104" s="553">
        <v>0</v>
      </c>
      <c r="AH104" s="553">
        <v>0</v>
      </c>
      <c r="AI104" s="96"/>
    </row>
    <row r="105" spans="1:35" ht="14">
      <c r="A105" s="504" t="s">
        <v>1249</v>
      </c>
      <c r="B105" s="501">
        <f t="shared" si="13"/>
        <v>0</v>
      </c>
      <c r="C105" s="502">
        <f t="shared" si="14"/>
        <v>0</v>
      </c>
      <c r="D105" s="500"/>
      <c r="E105" s="500"/>
      <c r="F105" s="501">
        <f t="shared" si="15"/>
        <v>0</v>
      </c>
      <c r="G105" s="502">
        <f t="shared" si="16"/>
        <v>0</v>
      </c>
      <c r="H105" s="501">
        <f t="shared" si="17"/>
        <v>0</v>
      </c>
      <c r="I105" s="502">
        <f t="shared" si="18"/>
        <v>0</v>
      </c>
      <c r="J105" s="501">
        <f t="shared" si="19"/>
        <v>0</v>
      </c>
      <c r="K105" s="502">
        <f t="shared" si="20"/>
        <v>0</v>
      </c>
      <c r="L105" s="501">
        <f t="shared" si="21"/>
        <v>0</v>
      </c>
      <c r="M105" s="502">
        <f t="shared" si="22"/>
        <v>0</v>
      </c>
      <c r="P105" s="554" t="s">
        <v>1249</v>
      </c>
      <c r="Q105" s="553">
        <v>0</v>
      </c>
      <c r="R105" s="553">
        <v>0</v>
      </c>
      <c r="S105" s="553">
        <v>0</v>
      </c>
      <c r="T105" s="552">
        <v>598073</v>
      </c>
      <c r="U105" s="552">
        <v>0</v>
      </c>
      <c r="V105" s="552">
        <v>598073</v>
      </c>
      <c r="W105" s="553">
        <v>0</v>
      </c>
      <c r="X105" s="553">
        <v>0</v>
      </c>
      <c r="Y105" s="553">
        <v>0</v>
      </c>
      <c r="Z105" s="553">
        <v>0</v>
      </c>
      <c r="AA105" s="553">
        <v>0</v>
      </c>
      <c r="AB105" s="553">
        <v>0</v>
      </c>
      <c r="AC105" s="553">
        <v>0</v>
      </c>
      <c r="AD105" s="553">
        <v>0</v>
      </c>
      <c r="AE105" s="553">
        <v>0</v>
      </c>
      <c r="AF105" s="553">
        <v>0</v>
      </c>
      <c r="AG105" s="553">
        <v>0</v>
      </c>
      <c r="AH105" s="553">
        <v>0</v>
      </c>
      <c r="AI105" s="96"/>
    </row>
    <row r="106" spans="1:35" ht="15" customHeight="1">
      <c r="A106" s="504" t="s">
        <v>1250</v>
      </c>
      <c r="B106" s="501">
        <f t="shared" si="13"/>
        <v>0</v>
      </c>
      <c r="C106" s="502">
        <f t="shared" si="14"/>
        <v>0</v>
      </c>
      <c r="D106" s="500"/>
      <c r="E106" s="500"/>
      <c r="F106" s="501">
        <f t="shared" si="15"/>
        <v>0</v>
      </c>
      <c r="G106" s="502">
        <f t="shared" si="16"/>
        <v>0</v>
      </c>
      <c r="H106" s="501">
        <f t="shared" si="17"/>
        <v>3619.3479364680629</v>
      </c>
      <c r="I106" s="502">
        <f t="shared" si="18"/>
        <v>0</v>
      </c>
      <c r="J106" s="501">
        <f t="shared" si="19"/>
        <v>0</v>
      </c>
      <c r="K106" s="502">
        <f t="shared" si="20"/>
        <v>0</v>
      </c>
      <c r="L106" s="501">
        <f t="shared" si="21"/>
        <v>0</v>
      </c>
      <c r="M106" s="502">
        <f t="shared" si="22"/>
        <v>0</v>
      </c>
      <c r="O106" s="38"/>
      <c r="P106" s="554" t="s">
        <v>1250</v>
      </c>
      <c r="Q106" s="553">
        <v>0</v>
      </c>
      <c r="R106" s="553">
        <v>0</v>
      </c>
      <c r="S106" s="553">
        <v>0</v>
      </c>
      <c r="T106" s="552">
        <v>0</v>
      </c>
      <c r="U106" s="552">
        <v>0</v>
      </c>
      <c r="V106" s="552">
        <v>0</v>
      </c>
      <c r="W106" s="553">
        <v>0</v>
      </c>
      <c r="X106" s="553">
        <v>0</v>
      </c>
      <c r="Y106" s="553">
        <v>0</v>
      </c>
      <c r="Z106" s="553">
        <v>475</v>
      </c>
      <c r="AA106" s="553">
        <v>0</v>
      </c>
      <c r="AB106" s="553">
        <v>475</v>
      </c>
      <c r="AC106" s="553">
        <v>0</v>
      </c>
      <c r="AD106" s="553">
        <v>0</v>
      </c>
      <c r="AE106" s="553">
        <v>0</v>
      </c>
      <c r="AF106" s="553">
        <v>0</v>
      </c>
      <c r="AG106" s="553">
        <v>0</v>
      </c>
      <c r="AH106" s="553">
        <v>0</v>
      </c>
      <c r="AI106" s="96"/>
    </row>
    <row r="107" spans="1:35" ht="18" customHeight="1">
      <c r="A107" s="504" t="s">
        <v>1251</v>
      </c>
      <c r="B107" s="501">
        <f t="shared" si="13"/>
        <v>0</v>
      </c>
      <c r="C107" s="502">
        <f t="shared" si="14"/>
        <v>0</v>
      </c>
      <c r="D107" s="500"/>
      <c r="E107" s="500"/>
      <c r="F107" s="501">
        <f t="shared" si="15"/>
        <v>0</v>
      </c>
      <c r="G107" s="502">
        <f t="shared" si="16"/>
        <v>0</v>
      </c>
      <c r="H107" s="501">
        <f t="shared" si="17"/>
        <v>0</v>
      </c>
      <c r="I107" s="502">
        <f t="shared" si="18"/>
        <v>0</v>
      </c>
      <c r="J107" s="501">
        <f t="shared" si="19"/>
        <v>0</v>
      </c>
      <c r="K107" s="502">
        <f t="shared" si="20"/>
        <v>0</v>
      </c>
      <c r="L107" s="501">
        <f t="shared" si="21"/>
        <v>0</v>
      </c>
      <c r="M107" s="502">
        <f t="shared" si="22"/>
        <v>0</v>
      </c>
      <c r="P107" s="554" t="s">
        <v>1251</v>
      </c>
      <c r="Q107" s="553">
        <v>0</v>
      </c>
      <c r="R107" s="553">
        <v>0</v>
      </c>
      <c r="S107" s="553">
        <v>0</v>
      </c>
      <c r="T107" s="552">
        <v>0</v>
      </c>
      <c r="U107" s="552">
        <v>0</v>
      </c>
      <c r="V107" s="552">
        <v>0</v>
      </c>
      <c r="W107" s="553">
        <v>0</v>
      </c>
      <c r="X107" s="553">
        <v>0</v>
      </c>
      <c r="Y107" s="553">
        <v>0</v>
      </c>
      <c r="Z107" s="553">
        <v>0</v>
      </c>
      <c r="AA107" s="553">
        <v>0</v>
      </c>
      <c r="AB107" s="553">
        <v>0</v>
      </c>
      <c r="AC107" s="553">
        <v>0</v>
      </c>
      <c r="AD107" s="553">
        <v>0</v>
      </c>
      <c r="AE107" s="553">
        <v>0</v>
      </c>
      <c r="AF107" s="553">
        <v>0</v>
      </c>
      <c r="AG107" s="553">
        <v>0</v>
      </c>
      <c r="AH107" s="553">
        <v>0</v>
      </c>
      <c r="AI107" s="96"/>
    </row>
    <row r="108" spans="1:35" ht="14">
      <c r="A108" s="504" t="s">
        <v>1252</v>
      </c>
      <c r="B108" s="501">
        <f t="shared" si="13"/>
        <v>0</v>
      </c>
      <c r="C108" s="502">
        <f t="shared" si="14"/>
        <v>0</v>
      </c>
      <c r="D108" s="500"/>
      <c r="E108" s="500"/>
      <c r="F108" s="501">
        <f t="shared" si="15"/>
        <v>0</v>
      </c>
      <c r="G108" s="502">
        <f t="shared" si="16"/>
        <v>0</v>
      </c>
      <c r="H108" s="501">
        <f t="shared" si="17"/>
        <v>4117.1469683095993</v>
      </c>
      <c r="I108" s="502">
        <f t="shared" si="18"/>
        <v>0</v>
      </c>
      <c r="J108" s="501">
        <f t="shared" si="19"/>
        <v>0</v>
      </c>
      <c r="K108" s="502">
        <f t="shared" si="20"/>
        <v>0</v>
      </c>
      <c r="L108" s="501">
        <f t="shared" si="21"/>
        <v>0</v>
      </c>
      <c r="M108" s="502">
        <f t="shared" si="22"/>
        <v>0</v>
      </c>
      <c r="P108" s="554" t="s">
        <v>1252</v>
      </c>
      <c r="Q108" s="553">
        <v>0</v>
      </c>
      <c r="R108" s="553">
        <v>0</v>
      </c>
      <c r="S108" s="553">
        <v>0</v>
      </c>
      <c r="T108" s="552">
        <v>0</v>
      </c>
      <c r="U108" s="552">
        <v>0</v>
      </c>
      <c r="V108" s="552">
        <v>0</v>
      </c>
      <c r="W108" s="553">
        <v>0</v>
      </c>
      <c r="X108" s="553">
        <v>0</v>
      </c>
      <c r="Y108" s="553">
        <v>0</v>
      </c>
      <c r="Z108" s="553">
        <v>489</v>
      </c>
      <c r="AA108" s="553">
        <v>0</v>
      </c>
      <c r="AB108" s="553">
        <v>489</v>
      </c>
      <c r="AC108" s="553">
        <v>0</v>
      </c>
      <c r="AD108" s="553">
        <v>0</v>
      </c>
      <c r="AE108" s="553">
        <v>0</v>
      </c>
      <c r="AF108" s="553">
        <v>0</v>
      </c>
      <c r="AG108" s="553">
        <v>0</v>
      </c>
      <c r="AH108" s="553">
        <v>0</v>
      </c>
      <c r="AI108" s="96"/>
    </row>
    <row r="109" spans="1:35" ht="14">
      <c r="A109" s="98" t="s">
        <v>1253</v>
      </c>
      <c r="B109" s="501">
        <f t="shared" si="13"/>
        <v>0</v>
      </c>
      <c r="C109" s="502">
        <f t="shared" si="14"/>
        <v>0</v>
      </c>
      <c r="D109" s="500"/>
      <c r="E109" s="500"/>
      <c r="F109" s="501">
        <f t="shared" si="15"/>
        <v>0</v>
      </c>
      <c r="G109" s="502">
        <f t="shared" si="16"/>
        <v>0</v>
      </c>
      <c r="H109" s="501">
        <f t="shared" si="17"/>
        <v>0</v>
      </c>
      <c r="I109" s="502">
        <f t="shared" si="18"/>
        <v>0</v>
      </c>
      <c r="J109" s="501">
        <f t="shared" si="19"/>
        <v>0</v>
      </c>
      <c r="K109" s="502">
        <f t="shared" si="20"/>
        <v>0</v>
      </c>
      <c r="L109" s="501">
        <f t="shared" si="21"/>
        <v>0</v>
      </c>
      <c r="M109" s="502">
        <f t="shared" si="22"/>
        <v>0</v>
      </c>
      <c r="O109" s="635" t="s">
        <v>3946</v>
      </c>
      <c r="P109" s="704" t="s">
        <v>1253</v>
      </c>
      <c r="Q109" s="553">
        <v>0</v>
      </c>
      <c r="R109" s="553">
        <v>7542</v>
      </c>
      <c r="S109" s="553">
        <v>7542</v>
      </c>
      <c r="T109" s="625">
        <f>930619+Q52</f>
        <v>934335</v>
      </c>
      <c r="U109" s="625">
        <f>2866284+R52</f>
        <v>3104444</v>
      </c>
      <c r="V109" s="625">
        <f>T109+U109</f>
        <v>4038779</v>
      </c>
      <c r="W109" s="553">
        <v>0</v>
      </c>
      <c r="X109" s="553">
        <v>0</v>
      </c>
      <c r="Y109" s="553">
        <v>0</v>
      </c>
      <c r="Z109" s="553">
        <v>0</v>
      </c>
      <c r="AA109" s="553">
        <v>2500</v>
      </c>
      <c r="AB109" s="553">
        <v>2500</v>
      </c>
      <c r="AC109" s="553">
        <v>313</v>
      </c>
      <c r="AD109" s="553">
        <v>0</v>
      </c>
      <c r="AE109" s="553">
        <v>313</v>
      </c>
      <c r="AF109" s="553">
        <v>0</v>
      </c>
      <c r="AG109" s="553">
        <v>0</v>
      </c>
      <c r="AH109" s="553">
        <v>0</v>
      </c>
      <c r="AI109" s="96"/>
    </row>
    <row r="110" spans="1:35" ht="14">
      <c r="A110" s="504" t="s">
        <v>1254</v>
      </c>
      <c r="B110" s="501">
        <f t="shared" si="13"/>
        <v>0</v>
      </c>
      <c r="C110" s="502">
        <f t="shared" si="14"/>
        <v>0</v>
      </c>
      <c r="D110" s="500"/>
      <c r="E110" s="500"/>
      <c r="F110" s="501">
        <f t="shared" si="15"/>
        <v>1298351.5263079407</v>
      </c>
      <c r="G110" s="502">
        <f t="shared" si="16"/>
        <v>0</v>
      </c>
      <c r="H110" s="501">
        <f t="shared" si="17"/>
        <v>0</v>
      </c>
      <c r="I110" s="502">
        <f t="shared" si="18"/>
        <v>0</v>
      </c>
      <c r="J110" s="501">
        <f t="shared" si="19"/>
        <v>0</v>
      </c>
      <c r="K110" s="502">
        <f t="shared" si="20"/>
        <v>0</v>
      </c>
      <c r="L110" s="501">
        <f t="shared" si="21"/>
        <v>0</v>
      </c>
      <c r="M110" s="502">
        <f t="shared" si="22"/>
        <v>0</v>
      </c>
      <c r="O110" s="655"/>
      <c r="P110" s="554" t="s">
        <v>1254</v>
      </c>
      <c r="Q110" s="553">
        <v>0</v>
      </c>
      <c r="R110" s="553">
        <v>0</v>
      </c>
      <c r="S110" s="553">
        <v>0</v>
      </c>
      <c r="T110" s="552">
        <v>1037787</v>
      </c>
      <c r="U110" s="552">
        <v>0</v>
      </c>
      <c r="V110" s="552">
        <v>1037787</v>
      </c>
      <c r="W110" s="553">
        <v>72354</v>
      </c>
      <c r="X110" s="553">
        <v>0</v>
      </c>
      <c r="Y110" s="553">
        <v>72354</v>
      </c>
      <c r="Z110" s="553">
        <v>0</v>
      </c>
      <c r="AA110" s="553">
        <v>0</v>
      </c>
      <c r="AB110" s="553">
        <v>0</v>
      </c>
      <c r="AC110" s="553">
        <v>0</v>
      </c>
      <c r="AD110" s="553">
        <v>0</v>
      </c>
      <c r="AE110" s="553">
        <v>0</v>
      </c>
      <c r="AF110" s="553">
        <v>0</v>
      </c>
      <c r="AG110" s="553">
        <v>0</v>
      </c>
      <c r="AH110" s="553">
        <v>0</v>
      </c>
      <c r="AI110" s="96"/>
    </row>
    <row r="111" spans="1:35" ht="14">
      <c r="A111" s="504" t="s">
        <v>1255</v>
      </c>
      <c r="B111" s="501">
        <f t="shared" si="13"/>
        <v>0</v>
      </c>
      <c r="C111" s="502">
        <f t="shared" si="14"/>
        <v>0</v>
      </c>
      <c r="D111" s="500"/>
      <c r="E111" s="500"/>
      <c r="F111" s="501">
        <f t="shared" si="15"/>
        <v>0</v>
      </c>
      <c r="G111" s="502">
        <f t="shared" si="16"/>
        <v>0</v>
      </c>
      <c r="H111" s="501">
        <f t="shared" si="17"/>
        <v>0</v>
      </c>
      <c r="I111" s="502">
        <f t="shared" si="18"/>
        <v>0</v>
      </c>
      <c r="J111" s="501">
        <f t="shared" si="19"/>
        <v>0</v>
      </c>
      <c r="K111" s="502">
        <f t="shared" si="20"/>
        <v>0</v>
      </c>
      <c r="L111" s="501">
        <f t="shared" si="21"/>
        <v>0</v>
      </c>
      <c r="M111" s="502">
        <f t="shared" si="22"/>
        <v>0</v>
      </c>
      <c r="O111" s="655"/>
      <c r="P111" s="554" t="s">
        <v>1255</v>
      </c>
      <c r="Q111" s="553">
        <v>15820</v>
      </c>
      <c r="R111" s="553">
        <v>1115</v>
      </c>
      <c r="S111" s="553">
        <v>16935</v>
      </c>
      <c r="T111" s="552">
        <v>144282</v>
      </c>
      <c r="U111" s="552">
        <v>47793</v>
      </c>
      <c r="V111" s="552">
        <v>192075</v>
      </c>
      <c r="W111" s="553">
        <v>0</v>
      </c>
      <c r="X111" s="553">
        <v>0</v>
      </c>
      <c r="Y111" s="553">
        <v>0</v>
      </c>
      <c r="Z111" s="553">
        <v>54</v>
      </c>
      <c r="AA111" s="553">
        <v>0</v>
      </c>
      <c r="AB111" s="553">
        <v>54</v>
      </c>
      <c r="AC111" s="553">
        <v>12944</v>
      </c>
      <c r="AD111" s="553">
        <v>169</v>
      </c>
      <c r="AE111" s="553">
        <v>13113</v>
      </c>
      <c r="AF111" s="553">
        <v>0</v>
      </c>
      <c r="AG111" s="553">
        <v>0</v>
      </c>
      <c r="AH111" s="553">
        <v>0</v>
      </c>
      <c r="AI111" s="96"/>
    </row>
    <row r="112" spans="1:35" ht="14">
      <c r="A112" s="504" t="s">
        <v>1256</v>
      </c>
      <c r="B112" s="501">
        <f t="shared" si="13"/>
        <v>897947.88595805538</v>
      </c>
      <c r="C112" s="502">
        <f t="shared" si="14"/>
        <v>0</v>
      </c>
      <c r="D112" s="500"/>
      <c r="E112" s="500"/>
      <c r="F112" s="501">
        <f t="shared" si="15"/>
        <v>0</v>
      </c>
      <c r="G112" s="502">
        <f t="shared" si="16"/>
        <v>0</v>
      </c>
      <c r="H112" s="501">
        <f t="shared" si="17"/>
        <v>4149.6799745951657</v>
      </c>
      <c r="I112" s="502">
        <f t="shared" si="18"/>
        <v>0</v>
      </c>
      <c r="J112" s="501">
        <f t="shared" si="19"/>
        <v>0</v>
      </c>
      <c r="K112" s="502">
        <f t="shared" si="20"/>
        <v>0</v>
      </c>
      <c r="L112" s="501">
        <f t="shared" si="21"/>
        <v>0</v>
      </c>
      <c r="M112" s="502">
        <f t="shared" si="22"/>
        <v>0</v>
      </c>
      <c r="P112" s="554" t="s">
        <v>1256</v>
      </c>
      <c r="Q112" s="553">
        <v>46091</v>
      </c>
      <c r="R112" s="553">
        <v>0</v>
      </c>
      <c r="S112" s="553">
        <v>46091</v>
      </c>
      <c r="T112" s="552">
        <v>0</v>
      </c>
      <c r="U112" s="552">
        <v>1168</v>
      </c>
      <c r="V112" s="552">
        <v>1168</v>
      </c>
      <c r="W112" s="553">
        <v>0</v>
      </c>
      <c r="X112" s="553">
        <v>0</v>
      </c>
      <c r="Y112" s="553">
        <v>0</v>
      </c>
      <c r="Z112" s="553">
        <v>213</v>
      </c>
      <c r="AA112" s="553">
        <v>0</v>
      </c>
      <c r="AB112" s="553">
        <v>213</v>
      </c>
      <c r="AC112" s="553">
        <v>0</v>
      </c>
      <c r="AD112" s="553">
        <v>0</v>
      </c>
      <c r="AE112" s="553">
        <v>0</v>
      </c>
      <c r="AF112" s="553">
        <v>0</v>
      </c>
      <c r="AG112" s="553">
        <v>0</v>
      </c>
      <c r="AH112" s="553">
        <v>0</v>
      </c>
      <c r="AI112" s="96"/>
    </row>
    <row r="113" spans="1:40" ht="13">
      <c r="P113" s="705" t="s">
        <v>187</v>
      </c>
      <c r="Q113" s="697">
        <f>SUM(Q94:Q112)</f>
        <v>188794</v>
      </c>
      <c r="R113" s="697">
        <f t="shared" ref="R113:V113" si="23">SUM(R94:R112)</f>
        <v>48360</v>
      </c>
      <c r="S113" s="697">
        <f t="shared" si="23"/>
        <v>237154</v>
      </c>
      <c r="T113" s="697">
        <f t="shared" si="23"/>
        <v>3152439</v>
      </c>
      <c r="U113" s="697">
        <f>SUM(U94:U112)</f>
        <v>3323496.3333333335</v>
      </c>
      <c r="V113" s="697">
        <f t="shared" si="23"/>
        <v>6475935.333333334</v>
      </c>
      <c r="W113" s="556">
        <v>397840</v>
      </c>
      <c r="X113" s="556">
        <v>6808</v>
      </c>
      <c r="Y113" s="556">
        <v>404648</v>
      </c>
      <c r="Z113" s="556">
        <v>3730</v>
      </c>
      <c r="AA113" s="556">
        <v>2500</v>
      </c>
      <c r="AB113" s="556">
        <v>6230</v>
      </c>
      <c r="AC113" s="556">
        <v>39327</v>
      </c>
      <c r="AD113" s="556">
        <v>169</v>
      </c>
      <c r="AE113" s="556">
        <v>39496</v>
      </c>
      <c r="AF113" s="556">
        <v>34660</v>
      </c>
      <c r="AG113" s="556">
        <v>0</v>
      </c>
      <c r="AH113" s="556">
        <v>34660</v>
      </c>
      <c r="AI113" s="96">
        <f>S113+V113+Y113+AB113+AE113+AH113</f>
        <v>7198123.333333334</v>
      </c>
      <c r="AJ113" s="508"/>
    </row>
    <row r="114" spans="1:40" ht="14">
      <c r="A114" s="512"/>
      <c r="B114" s="512"/>
      <c r="C114" s="44"/>
      <c r="D114" s="44"/>
      <c r="E114" s="44"/>
      <c r="I114" s="44"/>
      <c r="J114" s="44"/>
      <c r="Q114" s="508"/>
      <c r="R114" s="508"/>
      <c r="S114" s="508"/>
      <c r="T114" s="508"/>
      <c r="U114" s="508"/>
      <c r="V114" s="508"/>
    </row>
    <row r="115" spans="1:40" ht="14.5" thickBot="1">
      <c r="A115" s="512"/>
      <c r="E115" s="44"/>
      <c r="F115" s="45"/>
      <c r="G115" s="513"/>
      <c r="H115" s="44"/>
      <c r="I115" s="44"/>
      <c r="J115" s="44"/>
    </row>
    <row r="116" spans="1:40" ht="15.75" customHeight="1" thickBot="1">
      <c r="A116" s="811" t="s">
        <v>1294</v>
      </c>
      <c r="B116" s="812"/>
      <c r="C116" s="812"/>
      <c r="D116" s="812"/>
      <c r="E116" s="812"/>
      <c r="F116" s="812"/>
      <c r="G116" s="812"/>
      <c r="H116" s="812"/>
      <c r="I116" s="812"/>
      <c r="J116" s="812"/>
      <c r="K116" s="812"/>
      <c r="L116" s="812"/>
      <c r="M116" s="813"/>
      <c r="P116" s="800" t="s">
        <v>1293</v>
      </c>
      <c r="Q116" s="811" t="s">
        <v>1294</v>
      </c>
      <c r="R116" s="812"/>
      <c r="S116" s="812"/>
      <c r="T116" s="812"/>
      <c r="U116" s="812"/>
      <c r="V116" s="812"/>
      <c r="W116" s="812"/>
      <c r="X116" s="812"/>
      <c r="Y116" s="812"/>
      <c r="Z116" s="812"/>
      <c r="AA116" s="812"/>
      <c r="AB116" s="812"/>
      <c r="AC116" s="812"/>
      <c r="AD116" s="812"/>
      <c r="AE116" s="812"/>
      <c r="AF116" s="812"/>
      <c r="AG116" s="812"/>
      <c r="AH116" s="812"/>
      <c r="AI116" s="812"/>
      <c r="AJ116" s="812"/>
      <c r="AK116" s="812"/>
      <c r="AL116" s="812"/>
      <c r="AM116" s="812"/>
      <c r="AN116" s="813"/>
    </row>
    <row r="117" spans="1:40" ht="32.25" customHeight="1" thickBot="1">
      <c r="A117" s="809" t="s">
        <v>1270</v>
      </c>
      <c r="B117" s="804" t="s">
        <v>1372</v>
      </c>
      <c r="C117" s="802" t="s">
        <v>1307</v>
      </c>
      <c r="D117" s="804" t="s">
        <v>1373</v>
      </c>
      <c r="E117" s="802" t="s">
        <v>1308</v>
      </c>
      <c r="F117" s="804" t="s">
        <v>1374</v>
      </c>
      <c r="G117" s="802" t="s">
        <v>1309</v>
      </c>
      <c r="H117" s="804" t="s">
        <v>1375</v>
      </c>
      <c r="I117" s="802" t="s">
        <v>1310</v>
      </c>
      <c r="J117" s="804" t="s">
        <v>4002</v>
      </c>
      <c r="K117" s="802" t="s">
        <v>1312</v>
      </c>
      <c r="L117" s="804" t="s">
        <v>1376</v>
      </c>
      <c r="M117" s="802" t="s">
        <v>1313</v>
      </c>
      <c r="P117" s="826" t="s">
        <v>1274</v>
      </c>
      <c r="Q117" s="827" t="s">
        <v>223</v>
      </c>
      <c r="R117" s="828"/>
      <c r="S117" s="828"/>
      <c r="T117" s="829"/>
      <c r="U117" s="811" t="s">
        <v>203</v>
      </c>
      <c r="V117" s="812"/>
      <c r="W117" s="812"/>
      <c r="X117" s="813"/>
      <c r="Y117" s="830" t="s">
        <v>219</v>
      </c>
      <c r="Z117" s="831"/>
      <c r="AA117" s="831"/>
      <c r="AB117" s="832"/>
      <c r="AC117" s="811" t="s">
        <v>220</v>
      </c>
      <c r="AD117" s="812"/>
      <c r="AE117" s="812"/>
      <c r="AF117" s="813"/>
      <c r="AG117" s="811" t="s">
        <v>222</v>
      </c>
      <c r="AH117" s="812"/>
      <c r="AI117" s="812"/>
      <c r="AJ117" s="813"/>
      <c r="AK117" s="811" t="s">
        <v>221</v>
      </c>
      <c r="AL117" s="812"/>
      <c r="AM117" s="812"/>
      <c r="AN117" s="813"/>
    </row>
    <row r="118" spans="1:40" ht="25.5" customHeight="1" thickBot="1">
      <c r="A118" s="810"/>
      <c r="B118" s="805"/>
      <c r="C118" s="803"/>
      <c r="D118" s="805"/>
      <c r="E118" s="803"/>
      <c r="F118" s="805" t="s">
        <v>1271</v>
      </c>
      <c r="G118" s="803" t="s">
        <v>1271</v>
      </c>
      <c r="H118" s="805" t="s">
        <v>1271</v>
      </c>
      <c r="I118" s="803" t="s">
        <v>1271</v>
      </c>
      <c r="J118" s="805" t="s">
        <v>1271</v>
      </c>
      <c r="K118" s="803" t="s">
        <v>1271</v>
      </c>
      <c r="L118" s="805" t="s">
        <v>1271</v>
      </c>
      <c r="M118" s="803" t="s">
        <v>1271</v>
      </c>
      <c r="P118" s="801">
        <v>6235455</v>
      </c>
      <c r="Q118" s="153" t="s">
        <v>1271</v>
      </c>
      <c r="R118" s="47" t="s">
        <v>1272</v>
      </c>
      <c r="S118" s="47" t="s">
        <v>1295</v>
      </c>
      <c r="T118" s="154" t="s">
        <v>1273</v>
      </c>
      <c r="U118" s="153" t="s">
        <v>1271</v>
      </c>
      <c r="V118" s="47" t="s">
        <v>1272</v>
      </c>
      <c r="W118" s="47" t="s">
        <v>1295</v>
      </c>
      <c r="X118" s="155" t="s">
        <v>1273</v>
      </c>
      <c r="Y118" s="557" t="s">
        <v>1271</v>
      </c>
      <c r="Z118" s="558" t="s">
        <v>1272</v>
      </c>
      <c r="AA118" s="558" t="s">
        <v>1295</v>
      </c>
      <c r="AB118" s="559" t="s">
        <v>1273</v>
      </c>
      <c r="AC118" s="153" t="s">
        <v>1271</v>
      </c>
      <c r="AD118" s="47" t="s">
        <v>1272</v>
      </c>
      <c r="AE118" s="47" t="s">
        <v>1295</v>
      </c>
      <c r="AF118" s="155" t="s">
        <v>1273</v>
      </c>
      <c r="AG118" s="153" t="s">
        <v>1271</v>
      </c>
      <c r="AH118" s="47" t="s">
        <v>1272</v>
      </c>
      <c r="AI118" s="47" t="s">
        <v>1295</v>
      </c>
      <c r="AJ118" s="155" t="s">
        <v>1273</v>
      </c>
      <c r="AK118" s="153" t="s">
        <v>1271</v>
      </c>
      <c r="AL118" s="47" t="s">
        <v>1272</v>
      </c>
      <c r="AM118" s="47" t="s">
        <v>1295</v>
      </c>
      <c r="AN118" s="154" t="s">
        <v>1273</v>
      </c>
    </row>
    <row r="119" spans="1:40" ht="22.5" customHeight="1">
      <c r="A119" s="97" t="s">
        <v>2238</v>
      </c>
      <c r="B119" s="501">
        <f t="shared" ref="B119:B137" si="24">(Q119+S119)*$D36</f>
        <v>0</v>
      </c>
      <c r="C119" s="502">
        <f t="shared" ref="C119:C137" si="25">R119*$D36</f>
        <v>0</v>
      </c>
      <c r="D119" s="501">
        <f t="shared" ref="D119:D137" si="26">(U119+W119)*$D36</f>
        <v>0</v>
      </c>
      <c r="E119" s="502">
        <f t="shared" ref="E119:E137" si="27">V119*$D36</f>
        <v>0</v>
      </c>
      <c r="F119" s="500"/>
      <c r="G119" s="500"/>
      <c r="H119" s="514">
        <f t="shared" ref="H119:H137" si="28">(AC119+AE119)*$D36</f>
        <v>0</v>
      </c>
      <c r="I119" s="515">
        <f t="shared" ref="I119:I137" si="29">AD119*$D36</f>
        <v>0</v>
      </c>
      <c r="J119" s="514">
        <f t="shared" ref="J119:J137" si="30">(AG119+AI119)*$D36</f>
        <v>0</v>
      </c>
      <c r="K119" s="502">
        <f t="shared" ref="K119:K137" si="31">AH119*$D36</f>
        <v>0</v>
      </c>
      <c r="L119" s="501">
        <f t="shared" ref="L119:L137" si="32">(AK119+AM119)*$D36</f>
        <v>0</v>
      </c>
      <c r="M119" s="502">
        <f t="shared" ref="M119:M137" si="33">AL119*$D36</f>
        <v>0</v>
      </c>
      <c r="P119" s="98" t="s">
        <v>2238</v>
      </c>
      <c r="Q119" s="560">
        <v>0</v>
      </c>
      <c r="R119" s="560">
        <v>0</v>
      </c>
      <c r="S119" s="560">
        <v>0</v>
      </c>
      <c r="T119" s="560">
        <v>0</v>
      </c>
      <c r="U119" s="560">
        <v>0</v>
      </c>
      <c r="V119" s="560">
        <v>0</v>
      </c>
      <c r="W119" s="560">
        <v>0</v>
      </c>
      <c r="X119" s="560">
        <v>0</v>
      </c>
      <c r="Y119" s="561">
        <v>0</v>
      </c>
      <c r="Z119" s="561">
        <v>0</v>
      </c>
      <c r="AA119" s="561">
        <v>0</v>
      </c>
      <c r="AB119" s="561">
        <v>0</v>
      </c>
      <c r="AC119" s="560">
        <v>0</v>
      </c>
      <c r="AD119" s="560">
        <v>0</v>
      </c>
      <c r="AE119" s="560">
        <v>0</v>
      </c>
      <c r="AF119" s="560">
        <v>0</v>
      </c>
      <c r="AG119" s="560">
        <v>0</v>
      </c>
      <c r="AH119" s="560">
        <v>0</v>
      </c>
      <c r="AI119" s="560">
        <v>0</v>
      </c>
      <c r="AJ119" s="560">
        <v>0</v>
      </c>
      <c r="AK119" s="560">
        <v>0</v>
      </c>
      <c r="AL119" s="560">
        <v>0</v>
      </c>
      <c r="AM119" s="560">
        <v>0</v>
      </c>
      <c r="AN119" s="560">
        <v>0</v>
      </c>
    </row>
    <row r="120" spans="1:40" ht="14">
      <c r="A120" s="504" t="s">
        <v>1239</v>
      </c>
      <c r="B120" s="501">
        <f t="shared" si="24"/>
        <v>0</v>
      </c>
      <c r="C120" s="502">
        <f t="shared" si="25"/>
        <v>0</v>
      </c>
      <c r="D120" s="501">
        <f t="shared" si="26"/>
        <v>0</v>
      </c>
      <c r="E120" s="502">
        <f t="shared" si="27"/>
        <v>0</v>
      </c>
      <c r="F120" s="500"/>
      <c r="G120" s="500"/>
      <c r="H120" s="514">
        <f t="shared" si="28"/>
        <v>0</v>
      </c>
      <c r="I120" s="515">
        <f t="shared" si="29"/>
        <v>0</v>
      </c>
      <c r="J120" s="514">
        <f t="shared" si="30"/>
        <v>1545186.0705698598</v>
      </c>
      <c r="K120" s="502">
        <f t="shared" si="31"/>
        <v>0</v>
      </c>
      <c r="L120" s="501">
        <f t="shared" si="32"/>
        <v>0</v>
      </c>
      <c r="M120" s="502">
        <f t="shared" si="33"/>
        <v>0</v>
      </c>
      <c r="P120" s="554" t="s">
        <v>1239</v>
      </c>
      <c r="Q120" s="560">
        <v>0</v>
      </c>
      <c r="R120" s="560">
        <v>0</v>
      </c>
      <c r="S120" s="560">
        <v>0</v>
      </c>
      <c r="T120" s="560">
        <v>0</v>
      </c>
      <c r="U120" s="560">
        <v>0</v>
      </c>
      <c r="V120" s="560">
        <v>0</v>
      </c>
      <c r="W120" s="560">
        <v>0</v>
      </c>
      <c r="X120" s="560">
        <v>0</v>
      </c>
      <c r="Y120" s="561">
        <v>21465</v>
      </c>
      <c r="Z120" s="561">
        <v>641192</v>
      </c>
      <c r="AA120" s="561">
        <v>0</v>
      </c>
      <c r="AB120" s="561">
        <v>662657</v>
      </c>
      <c r="AC120" s="560">
        <v>0</v>
      </c>
      <c r="AD120" s="560">
        <v>0</v>
      </c>
      <c r="AE120" s="560">
        <v>0</v>
      </c>
      <c r="AF120" s="560">
        <v>0</v>
      </c>
      <c r="AG120" s="560">
        <v>117736</v>
      </c>
      <c r="AH120" s="560">
        <v>0</v>
      </c>
      <c r="AI120" s="560">
        <v>0</v>
      </c>
      <c r="AJ120" s="560">
        <v>117736</v>
      </c>
      <c r="AK120" s="560">
        <v>0</v>
      </c>
      <c r="AL120" s="560">
        <v>0</v>
      </c>
      <c r="AM120" s="560">
        <v>0</v>
      </c>
      <c r="AN120" s="560">
        <v>0</v>
      </c>
    </row>
    <row r="121" spans="1:40" ht="14">
      <c r="A121" s="504" t="s">
        <v>1240</v>
      </c>
      <c r="B121" s="501">
        <f t="shared" si="24"/>
        <v>0</v>
      </c>
      <c r="C121" s="502">
        <f t="shared" si="25"/>
        <v>0</v>
      </c>
      <c r="D121" s="501">
        <f t="shared" si="26"/>
        <v>0</v>
      </c>
      <c r="E121" s="502">
        <f t="shared" si="27"/>
        <v>0</v>
      </c>
      <c r="F121" s="500"/>
      <c r="G121" s="500"/>
      <c r="H121" s="514">
        <f t="shared" si="28"/>
        <v>0</v>
      </c>
      <c r="I121" s="515">
        <f t="shared" si="29"/>
        <v>0</v>
      </c>
      <c r="J121" s="514">
        <f t="shared" si="30"/>
        <v>0</v>
      </c>
      <c r="K121" s="502">
        <f t="shared" si="31"/>
        <v>0</v>
      </c>
      <c r="L121" s="501">
        <f t="shared" si="32"/>
        <v>0</v>
      </c>
      <c r="M121" s="502">
        <f t="shared" si="33"/>
        <v>0</v>
      </c>
      <c r="P121" s="554" t="s">
        <v>1240</v>
      </c>
      <c r="Q121" s="560">
        <v>0</v>
      </c>
      <c r="R121" s="560">
        <v>0</v>
      </c>
      <c r="S121" s="560">
        <v>0</v>
      </c>
      <c r="T121" s="560">
        <v>0</v>
      </c>
      <c r="U121" s="560">
        <v>0</v>
      </c>
      <c r="V121" s="560">
        <v>0</v>
      </c>
      <c r="W121" s="560">
        <v>0</v>
      </c>
      <c r="X121" s="560">
        <v>0</v>
      </c>
      <c r="Y121" s="561">
        <v>0</v>
      </c>
      <c r="Z121" s="561">
        <v>59893</v>
      </c>
      <c r="AA121" s="561">
        <v>0</v>
      </c>
      <c r="AB121" s="561">
        <v>59893</v>
      </c>
      <c r="AC121" s="560">
        <v>0</v>
      </c>
      <c r="AD121" s="560">
        <v>0</v>
      </c>
      <c r="AE121" s="560">
        <v>0</v>
      </c>
      <c r="AF121" s="560">
        <v>0</v>
      </c>
      <c r="AG121" s="560">
        <v>0</v>
      </c>
      <c r="AH121" s="560">
        <v>0</v>
      </c>
      <c r="AI121" s="560">
        <v>0</v>
      </c>
      <c r="AJ121" s="560">
        <v>0</v>
      </c>
      <c r="AK121" s="560">
        <v>0</v>
      </c>
      <c r="AL121" s="560">
        <v>0</v>
      </c>
      <c r="AM121" s="560">
        <v>0</v>
      </c>
      <c r="AN121" s="560">
        <v>0</v>
      </c>
    </row>
    <row r="122" spans="1:40" ht="14">
      <c r="A122" s="504" t="s">
        <v>1241</v>
      </c>
      <c r="B122" s="501">
        <f t="shared" si="24"/>
        <v>0</v>
      </c>
      <c r="C122" s="502">
        <f t="shared" si="25"/>
        <v>0</v>
      </c>
      <c r="D122" s="501">
        <f t="shared" si="26"/>
        <v>0</v>
      </c>
      <c r="E122" s="502">
        <f t="shared" si="27"/>
        <v>0</v>
      </c>
      <c r="F122" s="500"/>
      <c r="G122" s="500"/>
      <c r="H122" s="514">
        <f t="shared" si="28"/>
        <v>0</v>
      </c>
      <c r="I122" s="515">
        <f t="shared" si="29"/>
        <v>0</v>
      </c>
      <c r="J122" s="514">
        <f t="shared" si="30"/>
        <v>0</v>
      </c>
      <c r="K122" s="502">
        <f t="shared" si="31"/>
        <v>0</v>
      </c>
      <c r="L122" s="501">
        <f t="shared" si="32"/>
        <v>0</v>
      </c>
      <c r="M122" s="502">
        <f t="shared" si="33"/>
        <v>0</v>
      </c>
      <c r="P122" s="554" t="s">
        <v>1241</v>
      </c>
      <c r="Q122" s="560">
        <v>0</v>
      </c>
      <c r="R122" s="560">
        <v>0</v>
      </c>
      <c r="S122" s="560">
        <v>0</v>
      </c>
      <c r="T122" s="560">
        <v>0</v>
      </c>
      <c r="U122" s="560">
        <v>0</v>
      </c>
      <c r="V122" s="560">
        <v>0</v>
      </c>
      <c r="W122" s="560">
        <v>0</v>
      </c>
      <c r="X122" s="560">
        <v>0</v>
      </c>
      <c r="Y122" s="561">
        <v>0</v>
      </c>
      <c r="Z122" s="561">
        <v>0</v>
      </c>
      <c r="AA122" s="561">
        <v>0</v>
      </c>
      <c r="AB122" s="561">
        <v>0</v>
      </c>
      <c r="AC122" s="560">
        <v>0</v>
      </c>
      <c r="AD122" s="560">
        <v>0</v>
      </c>
      <c r="AE122" s="560">
        <v>0</v>
      </c>
      <c r="AF122" s="560">
        <v>0</v>
      </c>
      <c r="AG122" s="560">
        <v>0</v>
      </c>
      <c r="AH122" s="560">
        <v>0</v>
      </c>
      <c r="AI122" s="560">
        <v>0</v>
      </c>
      <c r="AJ122" s="560">
        <v>0</v>
      </c>
      <c r="AK122" s="560">
        <v>0</v>
      </c>
      <c r="AL122" s="560">
        <v>0</v>
      </c>
      <c r="AM122" s="560">
        <v>0</v>
      </c>
      <c r="AN122" s="560">
        <v>0</v>
      </c>
    </row>
    <row r="123" spans="1:40" ht="14">
      <c r="A123" s="504" t="s">
        <v>1242</v>
      </c>
      <c r="B123" s="501">
        <f t="shared" si="24"/>
        <v>0</v>
      </c>
      <c r="C123" s="502">
        <f t="shared" si="25"/>
        <v>0</v>
      </c>
      <c r="D123" s="501">
        <f t="shared" si="26"/>
        <v>142389.55871499892</v>
      </c>
      <c r="E123" s="502">
        <f t="shared" si="27"/>
        <v>18293.97473410028</v>
      </c>
      <c r="F123" s="500"/>
      <c r="G123" s="500"/>
      <c r="H123" s="514">
        <f t="shared" si="28"/>
        <v>0</v>
      </c>
      <c r="I123" s="515">
        <f t="shared" si="29"/>
        <v>0</v>
      </c>
      <c r="J123" s="514">
        <f t="shared" si="30"/>
        <v>0</v>
      </c>
      <c r="K123" s="502">
        <f t="shared" si="31"/>
        <v>0</v>
      </c>
      <c r="L123" s="501">
        <f t="shared" si="32"/>
        <v>0</v>
      </c>
      <c r="M123" s="502">
        <f t="shared" si="33"/>
        <v>0</v>
      </c>
      <c r="P123" s="554" t="s">
        <v>1242</v>
      </c>
      <c r="Q123" s="560">
        <v>0</v>
      </c>
      <c r="R123" s="560">
        <v>0</v>
      </c>
      <c r="S123" s="560">
        <v>0</v>
      </c>
      <c r="T123" s="560">
        <v>0</v>
      </c>
      <c r="U123" s="560">
        <v>13045</v>
      </c>
      <c r="V123" s="560">
        <v>1676</v>
      </c>
      <c r="W123" s="560">
        <v>0</v>
      </c>
      <c r="X123" s="560">
        <v>14721</v>
      </c>
      <c r="Y123" s="561">
        <v>0</v>
      </c>
      <c r="Z123" s="561">
        <v>0</v>
      </c>
      <c r="AA123" s="561">
        <v>0</v>
      </c>
      <c r="AB123" s="561">
        <v>0</v>
      </c>
      <c r="AC123" s="560">
        <v>0</v>
      </c>
      <c r="AD123" s="560">
        <v>0</v>
      </c>
      <c r="AE123" s="560">
        <v>0</v>
      </c>
      <c r="AF123" s="560">
        <v>0</v>
      </c>
      <c r="AG123" s="560">
        <v>0</v>
      </c>
      <c r="AH123" s="560">
        <v>0</v>
      </c>
      <c r="AI123" s="560">
        <v>0</v>
      </c>
      <c r="AJ123" s="560">
        <v>0</v>
      </c>
      <c r="AK123" s="560">
        <v>0</v>
      </c>
      <c r="AL123" s="560">
        <v>0</v>
      </c>
      <c r="AM123" s="560">
        <v>0</v>
      </c>
      <c r="AN123" s="560">
        <v>0</v>
      </c>
    </row>
    <row r="124" spans="1:40" ht="14">
      <c r="A124" s="504" t="s">
        <v>1243</v>
      </c>
      <c r="B124" s="501">
        <f t="shared" si="24"/>
        <v>0</v>
      </c>
      <c r="C124" s="502">
        <f t="shared" si="25"/>
        <v>0</v>
      </c>
      <c r="D124" s="501">
        <f t="shared" si="26"/>
        <v>0</v>
      </c>
      <c r="E124" s="502">
        <f t="shared" si="27"/>
        <v>0</v>
      </c>
      <c r="F124" s="500"/>
      <c r="G124" s="500"/>
      <c r="H124" s="514">
        <f t="shared" si="28"/>
        <v>0</v>
      </c>
      <c r="I124" s="515">
        <f t="shared" si="29"/>
        <v>0</v>
      </c>
      <c r="J124" s="514">
        <f t="shared" si="30"/>
        <v>0</v>
      </c>
      <c r="K124" s="502">
        <f t="shared" si="31"/>
        <v>0</v>
      </c>
      <c r="L124" s="501">
        <f t="shared" si="32"/>
        <v>0</v>
      </c>
      <c r="M124" s="502">
        <f t="shared" si="33"/>
        <v>0</v>
      </c>
      <c r="P124" s="554" t="s">
        <v>1243</v>
      </c>
      <c r="Q124" s="560">
        <v>0</v>
      </c>
      <c r="R124" s="560">
        <v>0</v>
      </c>
      <c r="S124" s="560">
        <v>0</v>
      </c>
      <c r="T124" s="560">
        <v>0</v>
      </c>
      <c r="U124" s="560">
        <v>0</v>
      </c>
      <c r="V124" s="560">
        <v>0</v>
      </c>
      <c r="W124" s="560">
        <v>0</v>
      </c>
      <c r="X124" s="560">
        <v>0</v>
      </c>
      <c r="Y124" s="561">
        <v>0</v>
      </c>
      <c r="Z124" s="561">
        <v>0</v>
      </c>
      <c r="AA124" s="561">
        <v>0</v>
      </c>
      <c r="AB124" s="561">
        <v>0</v>
      </c>
      <c r="AC124" s="560">
        <v>0</v>
      </c>
      <c r="AD124" s="560">
        <v>0</v>
      </c>
      <c r="AE124" s="560">
        <v>0</v>
      </c>
      <c r="AF124" s="560">
        <v>0</v>
      </c>
      <c r="AG124" s="560">
        <v>0</v>
      </c>
      <c r="AH124" s="560">
        <v>0</v>
      </c>
      <c r="AI124" s="560">
        <v>0</v>
      </c>
      <c r="AJ124" s="560">
        <v>0</v>
      </c>
      <c r="AK124" s="560">
        <v>0</v>
      </c>
      <c r="AL124" s="560">
        <v>0</v>
      </c>
      <c r="AM124" s="560">
        <v>0</v>
      </c>
      <c r="AN124" s="560">
        <v>0</v>
      </c>
    </row>
    <row r="125" spans="1:40" ht="14">
      <c r="A125" s="504" t="s">
        <v>1244</v>
      </c>
      <c r="B125" s="501">
        <f t="shared" si="24"/>
        <v>0</v>
      </c>
      <c r="C125" s="502">
        <f t="shared" si="25"/>
        <v>0</v>
      </c>
      <c r="D125" s="501">
        <f t="shared" si="26"/>
        <v>0</v>
      </c>
      <c r="E125" s="502">
        <f t="shared" si="27"/>
        <v>0</v>
      </c>
      <c r="F125" s="500"/>
      <c r="G125" s="500"/>
      <c r="H125" s="514">
        <f t="shared" si="28"/>
        <v>0</v>
      </c>
      <c r="I125" s="515">
        <f t="shared" si="29"/>
        <v>0</v>
      </c>
      <c r="J125" s="514">
        <f t="shared" si="30"/>
        <v>0</v>
      </c>
      <c r="K125" s="502">
        <f t="shared" si="31"/>
        <v>0</v>
      </c>
      <c r="L125" s="501">
        <f t="shared" si="32"/>
        <v>0</v>
      </c>
      <c r="M125" s="502">
        <f t="shared" si="33"/>
        <v>0</v>
      </c>
      <c r="O125" s="655"/>
      <c r="P125" s="554" t="s">
        <v>1244</v>
      </c>
      <c r="Q125" s="560">
        <v>0</v>
      </c>
      <c r="R125" s="560">
        <v>0</v>
      </c>
      <c r="S125" s="560">
        <v>0</v>
      </c>
      <c r="T125" s="560">
        <v>0</v>
      </c>
      <c r="U125" s="560">
        <v>0</v>
      </c>
      <c r="V125" s="560">
        <v>0</v>
      </c>
      <c r="W125" s="560">
        <v>0</v>
      </c>
      <c r="X125" s="560">
        <v>0</v>
      </c>
      <c r="Y125" s="561">
        <v>0</v>
      </c>
      <c r="Z125" s="561">
        <v>0</v>
      </c>
      <c r="AA125" s="561">
        <v>0</v>
      </c>
      <c r="AB125" s="561">
        <v>0</v>
      </c>
      <c r="AC125" s="560">
        <v>0</v>
      </c>
      <c r="AD125" s="560">
        <v>0</v>
      </c>
      <c r="AE125" s="560">
        <v>0</v>
      </c>
      <c r="AF125" s="560">
        <v>0</v>
      </c>
      <c r="AG125" s="560">
        <v>0</v>
      </c>
      <c r="AH125" s="560">
        <v>0</v>
      </c>
      <c r="AI125" s="560">
        <v>0</v>
      </c>
      <c r="AJ125" s="560">
        <v>0</v>
      </c>
      <c r="AK125" s="560">
        <v>0</v>
      </c>
      <c r="AL125" s="560">
        <v>0</v>
      </c>
      <c r="AM125" s="560">
        <v>0</v>
      </c>
      <c r="AN125" s="560">
        <v>0</v>
      </c>
    </row>
    <row r="126" spans="1:40" ht="14">
      <c r="A126" s="506" t="s">
        <v>1245</v>
      </c>
      <c r="B126" s="501">
        <f t="shared" si="24"/>
        <v>0</v>
      </c>
      <c r="C126" s="502">
        <f t="shared" si="25"/>
        <v>0</v>
      </c>
      <c r="D126" s="501">
        <f t="shared" si="26"/>
        <v>0</v>
      </c>
      <c r="E126" s="502">
        <f t="shared" si="27"/>
        <v>0</v>
      </c>
      <c r="F126" s="500"/>
      <c r="G126" s="500"/>
      <c r="H126" s="514">
        <f t="shared" si="28"/>
        <v>0</v>
      </c>
      <c r="I126" s="515">
        <f t="shared" si="29"/>
        <v>0</v>
      </c>
      <c r="J126" s="514">
        <f t="shared" si="30"/>
        <v>0</v>
      </c>
      <c r="K126" s="502">
        <f t="shared" si="31"/>
        <v>0</v>
      </c>
      <c r="L126" s="501">
        <f t="shared" si="32"/>
        <v>0</v>
      </c>
      <c r="M126" s="502">
        <f t="shared" si="33"/>
        <v>0</v>
      </c>
      <c r="P126" s="98" t="s">
        <v>1245</v>
      </c>
      <c r="Q126" s="560">
        <v>90293</v>
      </c>
      <c r="R126" s="560">
        <v>1797</v>
      </c>
      <c r="S126" s="560">
        <v>0</v>
      </c>
      <c r="T126" s="560">
        <v>92090</v>
      </c>
      <c r="U126" s="560">
        <v>526631</v>
      </c>
      <c r="V126" s="560">
        <v>51908</v>
      </c>
      <c r="W126" s="560">
        <v>0</v>
      </c>
      <c r="X126" s="560">
        <v>578539</v>
      </c>
      <c r="Y126" s="561">
        <v>1593824</v>
      </c>
      <c r="Z126" s="561">
        <v>57564</v>
      </c>
      <c r="AA126" s="561">
        <v>0</v>
      </c>
      <c r="AB126" s="561">
        <v>1651388</v>
      </c>
      <c r="AC126" s="560">
        <v>18004</v>
      </c>
      <c r="AD126" s="560">
        <v>0</v>
      </c>
      <c r="AE126" s="560">
        <v>0</v>
      </c>
      <c r="AF126" s="560">
        <v>18004</v>
      </c>
      <c r="AG126" s="560">
        <v>222704</v>
      </c>
      <c r="AH126" s="560">
        <v>0</v>
      </c>
      <c r="AI126" s="560">
        <v>0</v>
      </c>
      <c r="AJ126" s="560">
        <v>222704</v>
      </c>
      <c r="AK126" s="560">
        <v>90624</v>
      </c>
      <c r="AL126" s="560">
        <v>0</v>
      </c>
      <c r="AM126" s="560">
        <v>0</v>
      </c>
      <c r="AN126" s="560">
        <v>90624</v>
      </c>
    </row>
    <row r="127" spans="1:40" ht="14">
      <c r="A127" s="506" t="s">
        <v>1246</v>
      </c>
      <c r="B127" s="501">
        <f t="shared" si="24"/>
        <v>0</v>
      </c>
      <c r="C127" s="502">
        <f t="shared" si="25"/>
        <v>0</v>
      </c>
      <c r="D127" s="501">
        <f t="shared" si="26"/>
        <v>0</v>
      </c>
      <c r="E127" s="502">
        <f t="shared" si="27"/>
        <v>0</v>
      </c>
      <c r="F127" s="500"/>
      <c r="G127" s="500"/>
      <c r="H127" s="514">
        <f t="shared" si="28"/>
        <v>0</v>
      </c>
      <c r="I127" s="515">
        <f t="shared" si="29"/>
        <v>0</v>
      </c>
      <c r="J127" s="514">
        <f t="shared" si="30"/>
        <v>0</v>
      </c>
      <c r="K127" s="502">
        <f t="shared" si="31"/>
        <v>0</v>
      </c>
      <c r="L127" s="501">
        <f t="shared" si="32"/>
        <v>0</v>
      </c>
      <c r="M127" s="502">
        <f t="shared" si="33"/>
        <v>0</v>
      </c>
      <c r="O127" s="655"/>
      <c r="P127" s="98" t="s">
        <v>1246</v>
      </c>
      <c r="Q127" s="560">
        <v>0</v>
      </c>
      <c r="R127" s="560">
        <v>0</v>
      </c>
      <c r="S127" s="560">
        <v>0</v>
      </c>
      <c r="T127" s="560">
        <v>0</v>
      </c>
      <c r="U127" s="560">
        <v>0</v>
      </c>
      <c r="V127" s="560">
        <v>0</v>
      </c>
      <c r="W127" s="560">
        <v>0</v>
      </c>
      <c r="X127" s="560">
        <v>0</v>
      </c>
      <c r="Y127" s="561">
        <v>0</v>
      </c>
      <c r="Z127" s="561">
        <v>0</v>
      </c>
      <c r="AA127" s="561">
        <v>0</v>
      </c>
      <c r="AB127" s="561">
        <v>0</v>
      </c>
      <c r="AC127" s="560">
        <v>0</v>
      </c>
      <c r="AD127" s="560">
        <v>0</v>
      </c>
      <c r="AE127" s="560">
        <v>0</v>
      </c>
      <c r="AF127" s="560">
        <v>0</v>
      </c>
      <c r="AG127" s="560">
        <v>0</v>
      </c>
      <c r="AH127" s="560">
        <v>0</v>
      </c>
      <c r="AI127" s="560">
        <v>0</v>
      </c>
      <c r="AJ127" s="560">
        <v>0</v>
      </c>
      <c r="AK127" s="560">
        <v>0</v>
      </c>
      <c r="AL127" s="560">
        <v>0</v>
      </c>
      <c r="AM127" s="560">
        <v>0</v>
      </c>
      <c r="AN127" s="560">
        <v>0</v>
      </c>
    </row>
    <row r="128" spans="1:40" ht="14">
      <c r="A128" s="504" t="s">
        <v>1247</v>
      </c>
      <c r="B128" s="501">
        <f t="shared" si="24"/>
        <v>0</v>
      </c>
      <c r="C128" s="502">
        <f t="shared" si="25"/>
        <v>0</v>
      </c>
      <c r="D128" s="501">
        <f t="shared" si="26"/>
        <v>0</v>
      </c>
      <c r="E128" s="502">
        <f t="shared" si="27"/>
        <v>0</v>
      </c>
      <c r="F128" s="500"/>
      <c r="G128" s="500"/>
      <c r="H128" s="514">
        <f t="shared" si="28"/>
        <v>0</v>
      </c>
      <c r="I128" s="515">
        <f t="shared" si="29"/>
        <v>0</v>
      </c>
      <c r="J128" s="514">
        <f t="shared" si="30"/>
        <v>0</v>
      </c>
      <c r="K128" s="502">
        <f t="shared" si="31"/>
        <v>0</v>
      </c>
      <c r="L128" s="501">
        <f t="shared" si="32"/>
        <v>0</v>
      </c>
      <c r="M128" s="502">
        <f t="shared" si="33"/>
        <v>0</v>
      </c>
      <c r="O128" s="655"/>
      <c r="P128" s="554" t="s">
        <v>1247</v>
      </c>
      <c r="Q128" s="560">
        <v>0</v>
      </c>
      <c r="R128" s="560">
        <v>0</v>
      </c>
      <c r="S128" s="560">
        <v>0</v>
      </c>
      <c r="T128" s="560">
        <v>0</v>
      </c>
      <c r="U128" s="560">
        <v>0</v>
      </c>
      <c r="V128" s="560">
        <v>0</v>
      </c>
      <c r="W128" s="560">
        <v>0</v>
      </c>
      <c r="X128" s="560">
        <v>0</v>
      </c>
      <c r="Y128" s="561">
        <v>0</v>
      </c>
      <c r="Z128" s="561">
        <v>0</v>
      </c>
      <c r="AA128" s="561">
        <v>0</v>
      </c>
      <c r="AB128" s="561">
        <v>0</v>
      </c>
      <c r="AC128" s="560">
        <v>0</v>
      </c>
      <c r="AD128" s="560">
        <v>0</v>
      </c>
      <c r="AE128" s="560">
        <v>0</v>
      </c>
      <c r="AF128" s="560">
        <v>0</v>
      </c>
      <c r="AG128" s="560">
        <v>0</v>
      </c>
      <c r="AH128" s="560">
        <v>0</v>
      </c>
      <c r="AI128" s="560">
        <v>0</v>
      </c>
      <c r="AJ128" s="560">
        <v>0</v>
      </c>
      <c r="AK128" s="560">
        <v>0</v>
      </c>
      <c r="AL128" s="560">
        <v>0</v>
      </c>
      <c r="AM128" s="560">
        <v>0</v>
      </c>
      <c r="AN128" s="560">
        <v>0</v>
      </c>
    </row>
    <row r="129" spans="1:41" ht="14">
      <c r="A129" s="504" t="s">
        <v>1248</v>
      </c>
      <c r="B129" s="501">
        <f t="shared" si="24"/>
        <v>100977.06459735185</v>
      </c>
      <c r="C129" s="502">
        <f t="shared" si="25"/>
        <v>0</v>
      </c>
      <c r="D129" s="501">
        <f t="shared" si="26"/>
        <v>147345.08647710006</v>
      </c>
      <c r="E129" s="502">
        <f t="shared" si="27"/>
        <v>0</v>
      </c>
      <c r="F129" s="500"/>
      <c r="G129" s="500"/>
      <c r="H129" s="514">
        <f t="shared" si="28"/>
        <v>0</v>
      </c>
      <c r="I129" s="515">
        <f t="shared" si="29"/>
        <v>0</v>
      </c>
      <c r="J129" s="514">
        <f t="shared" si="30"/>
        <v>0</v>
      </c>
      <c r="K129" s="502">
        <f t="shared" si="31"/>
        <v>0</v>
      </c>
      <c r="L129" s="501">
        <f t="shared" si="32"/>
        <v>0</v>
      </c>
      <c r="M129" s="502">
        <f t="shared" si="33"/>
        <v>0</v>
      </c>
      <c r="O129" s="126"/>
      <c r="P129" s="554" t="s">
        <v>1248</v>
      </c>
      <c r="Q129" s="560">
        <v>9251</v>
      </c>
      <c r="R129" s="560">
        <v>0</v>
      </c>
      <c r="S129" s="560">
        <v>0</v>
      </c>
      <c r="T129" s="560">
        <v>9251</v>
      </c>
      <c r="U129" s="560">
        <v>13499</v>
      </c>
      <c r="V129" s="560">
        <v>0</v>
      </c>
      <c r="W129" s="560">
        <v>0</v>
      </c>
      <c r="X129" s="560">
        <v>13499</v>
      </c>
      <c r="Y129" s="561">
        <v>0</v>
      </c>
      <c r="Z129" s="561">
        <v>0</v>
      </c>
      <c r="AA129" s="561">
        <v>0</v>
      </c>
      <c r="AB129" s="561">
        <v>0</v>
      </c>
      <c r="AC129" s="560">
        <v>0</v>
      </c>
      <c r="AD129" s="560">
        <v>0</v>
      </c>
      <c r="AE129" s="560">
        <v>0</v>
      </c>
      <c r="AF129" s="560">
        <v>0</v>
      </c>
      <c r="AG129" s="560">
        <v>0</v>
      </c>
      <c r="AH129" s="560">
        <v>0</v>
      </c>
      <c r="AI129" s="560">
        <v>0</v>
      </c>
      <c r="AJ129" s="560">
        <v>0</v>
      </c>
      <c r="AK129" s="560">
        <v>0</v>
      </c>
      <c r="AL129" s="560">
        <v>0</v>
      </c>
      <c r="AM129" s="560">
        <v>0</v>
      </c>
      <c r="AN129" s="560">
        <v>0</v>
      </c>
    </row>
    <row r="130" spans="1:41" ht="14">
      <c r="A130" s="504" t="s">
        <v>1249</v>
      </c>
      <c r="B130" s="501">
        <f t="shared" si="24"/>
        <v>0</v>
      </c>
      <c r="C130" s="502">
        <f t="shared" si="25"/>
        <v>0</v>
      </c>
      <c r="D130" s="501">
        <f>(U130+W130)*$D47</f>
        <v>0</v>
      </c>
      <c r="E130" s="502">
        <f t="shared" si="27"/>
        <v>0</v>
      </c>
      <c r="F130" s="500"/>
      <c r="G130" s="500"/>
      <c r="H130" s="514">
        <f t="shared" si="28"/>
        <v>0</v>
      </c>
      <c r="I130" s="515">
        <f t="shared" si="29"/>
        <v>0</v>
      </c>
      <c r="J130" s="514">
        <f t="shared" si="30"/>
        <v>0</v>
      </c>
      <c r="K130" s="502">
        <f t="shared" si="31"/>
        <v>0</v>
      </c>
      <c r="L130" s="501">
        <f t="shared" si="32"/>
        <v>0</v>
      </c>
      <c r="M130" s="502">
        <f t="shared" si="33"/>
        <v>0</v>
      </c>
      <c r="O130" s="655"/>
      <c r="P130" s="554" t="s">
        <v>1249</v>
      </c>
      <c r="Q130" s="560">
        <v>0</v>
      </c>
      <c r="R130" s="560">
        <v>0</v>
      </c>
      <c r="S130" s="560">
        <v>0</v>
      </c>
      <c r="T130" s="560">
        <v>0</v>
      </c>
      <c r="U130" s="560">
        <v>0</v>
      </c>
      <c r="V130" s="560">
        <v>0</v>
      </c>
      <c r="W130" s="560">
        <v>0</v>
      </c>
      <c r="X130" s="560">
        <v>0</v>
      </c>
      <c r="Y130" s="561">
        <v>14023</v>
      </c>
      <c r="Z130" s="561">
        <v>0</v>
      </c>
      <c r="AA130" s="561">
        <v>0</v>
      </c>
      <c r="AB130" s="561">
        <v>14023</v>
      </c>
      <c r="AC130" s="560">
        <v>0</v>
      </c>
      <c r="AD130" s="560">
        <v>0</v>
      </c>
      <c r="AE130" s="560">
        <v>0</v>
      </c>
      <c r="AF130" s="560">
        <v>0</v>
      </c>
      <c r="AG130" s="560">
        <v>0</v>
      </c>
      <c r="AH130" s="560">
        <v>0</v>
      </c>
      <c r="AI130" s="560">
        <v>0</v>
      </c>
      <c r="AJ130" s="560">
        <v>0</v>
      </c>
      <c r="AK130" s="560">
        <v>0</v>
      </c>
      <c r="AL130" s="560">
        <v>0</v>
      </c>
      <c r="AM130" s="560">
        <v>0</v>
      </c>
      <c r="AN130" s="560">
        <v>0</v>
      </c>
    </row>
    <row r="131" spans="1:41" ht="14">
      <c r="A131" s="504" t="s">
        <v>1250</v>
      </c>
      <c r="B131" s="501">
        <f t="shared" si="24"/>
        <v>0</v>
      </c>
      <c r="C131" s="502">
        <f t="shared" si="25"/>
        <v>0</v>
      </c>
      <c r="D131" s="501">
        <f t="shared" si="26"/>
        <v>0</v>
      </c>
      <c r="E131" s="502">
        <f t="shared" si="27"/>
        <v>0</v>
      </c>
      <c r="F131" s="500"/>
      <c r="G131" s="500"/>
      <c r="H131" s="514">
        <f t="shared" si="28"/>
        <v>0</v>
      </c>
      <c r="I131" s="515">
        <f t="shared" si="29"/>
        <v>0</v>
      </c>
      <c r="J131" s="514">
        <f t="shared" si="30"/>
        <v>0</v>
      </c>
      <c r="K131" s="502">
        <f t="shared" si="31"/>
        <v>0</v>
      </c>
      <c r="L131" s="501">
        <f t="shared" si="32"/>
        <v>0</v>
      </c>
      <c r="M131" s="502">
        <f t="shared" si="33"/>
        <v>0</v>
      </c>
      <c r="O131" s="655"/>
      <c r="P131" s="554" t="s">
        <v>1250</v>
      </c>
      <c r="Q131" s="560">
        <v>0</v>
      </c>
      <c r="R131" s="560">
        <v>0</v>
      </c>
      <c r="S131" s="560">
        <v>0</v>
      </c>
      <c r="T131" s="560">
        <v>0</v>
      </c>
      <c r="U131" s="560">
        <v>0</v>
      </c>
      <c r="V131" s="560">
        <v>0</v>
      </c>
      <c r="W131" s="560">
        <v>0</v>
      </c>
      <c r="X131" s="560">
        <v>0</v>
      </c>
      <c r="Y131" s="561">
        <v>0</v>
      </c>
      <c r="Z131" s="561">
        <v>6500</v>
      </c>
      <c r="AA131" s="561">
        <v>0</v>
      </c>
      <c r="AB131" s="561">
        <v>6500</v>
      </c>
      <c r="AC131" s="560">
        <v>0</v>
      </c>
      <c r="AD131" s="560">
        <v>0</v>
      </c>
      <c r="AE131" s="560">
        <v>0</v>
      </c>
      <c r="AF131" s="560">
        <v>0</v>
      </c>
      <c r="AG131" s="560">
        <v>0</v>
      </c>
      <c r="AH131" s="560">
        <v>0</v>
      </c>
      <c r="AI131" s="560">
        <v>0</v>
      </c>
      <c r="AJ131" s="560">
        <v>0</v>
      </c>
      <c r="AK131" s="560">
        <v>0</v>
      </c>
      <c r="AL131" s="560">
        <v>0</v>
      </c>
      <c r="AM131" s="560">
        <v>0</v>
      </c>
      <c r="AN131" s="560">
        <v>0</v>
      </c>
    </row>
    <row r="132" spans="1:41" ht="14">
      <c r="A132" s="504" t="s">
        <v>1251</v>
      </c>
      <c r="B132" s="501">
        <f t="shared" si="24"/>
        <v>0</v>
      </c>
      <c r="C132" s="502">
        <f t="shared" si="25"/>
        <v>0</v>
      </c>
      <c r="D132" s="501">
        <f t="shared" si="26"/>
        <v>0</v>
      </c>
      <c r="E132" s="502">
        <f t="shared" si="27"/>
        <v>0</v>
      </c>
      <c r="F132" s="500"/>
      <c r="G132" s="500"/>
      <c r="H132" s="514">
        <f t="shared" si="28"/>
        <v>0</v>
      </c>
      <c r="I132" s="515">
        <f t="shared" si="29"/>
        <v>0</v>
      </c>
      <c r="J132" s="514">
        <f t="shared" si="30"/>
        <v>0</v>
      </c>
      <c r="K132" s="502">
        <f t="shared" si="31"/>
        <v>0</v>
      </c>
      <c r="L132" s="501">
        <f t="shared" si="32"/>
        <v>0</v>
      </c>
      <c r="M132" s="502">
        <f t="shared" si="33"/>
        <v>0</v>
      </c>
      <c r="O132" s="25"/>
      <c r="P132" s="554" t="s">
        <v>1251</v>
      </c>
      <c r="Q132" s="560">
        <v>0</v>
      </c>
      <c r="R132" s="560">
        <v>0</v>
      </c>
      <c r="S132" s="560">
        <v>0</v>
      </c>
      <c r="T132" s="560">
        <v>0</v>
      </c>
      <c r="U132" s="560">
        <v>0</v>
      </c>
      <c r="V132" s="560">
        <v>0</v>
      </c>
      <c r="W132" s="560">
        <v>0</v>
      </c>
      <c r="X132" s="560">
        <v>0</v>
      </c>
      <c r="Y132" s="561">
        <v>0</v>
      </c>
      <c r="Z132" s="561">
        <v>0</v>
      </c>
      <c r="AA132" s="561">
        <v>0</v>
      </c>
      <c r="AB132" s="561">
        <v>0</v>
      </c>
      <c r="AC132" s="560">
        <v>0</v>
      </c>
      <c r="AD132" s="560">
        <v>0</v>
      </c>
      <c r="AE132" s="560">
        <v>0</v>
      </c>
      <c r="AF132" s="560">
        <v>0</v>
      </c>
      <c r="AG132" s="560">
        <v>0</v>
      </c>
      <c r="AH132" s="560">
        <v>0</v>
      </c>
      <c r="AI132" s="560">
        <v>0</v>
      </c>
      <c r="AJ132" s="560">
        <v>0</v>
      </c>
      <c r="AK132" s="560">
        <v>0</v>
      </c>
      <c r="AL132" s="560">
        <v>0</v>
      </c>
      <c r="AM132" s="560">
        <v>0</v>
      </c>
      <c r="AN132" s="560">
        <v>0</v>
      </c>
    </row>
    <row r="133" spans="1:41" ht="14">
      <c r="A133" s="504" t="s">
        <v>1252</v>
      </c>
      <c r="B133" s="501">
        <f t="shared" si="24"/>
        <v>0</v>
      </c>
      <c r="C133" s="502">
        <f t="shared" si="25"/>
        <v>0</v>
      </c>
      <c r="D133" s="501">
        <f t="shared" si="26"/>
        <v>0</v>
      </c>
      <c r="E133" s="502">
        <f t="shared" si="27"/>
        <v>0</v>
      </c>
      <c r="F133" s="500"/>
      <c r="G133" s="500"/>
      <c r="H133" s="514">
        <f t="shared" si="28"/>
        <v>0</v>
      </c>
      <c r="I133" s="515">
        <f t="shared" si="29"/>
        <v>0</v>
      </c>
      <c r="J133" s="514">
        <f t="shared" si="30"/>
        <v>0</v>
      </c>
      <c r="K133" s="502">
        <f t="shared" si="31"/>
        <v>0</v>
      </c>
      <c r="L133" s="501">
        <f t="shared" si="32"/>
        <v>0</v>
      </c>
      <c r="M133" s="502">
        <f t="shared" si="33"/>
        <v>0</v>
      </c>
      <c r="O133" s="25"/>
      <c r="P133" s="554" t="s">
        <v>1252</v>
      </c>
      <c r="Q133" s="560">
        <v>0</v>
      </c>
      <c r="R133" s="560">
        <v>0</v>
      </c>
      <c r="S133" s="560">
        <v>0</v>
      </c>
      <c r="T133" s="560">
        <v>0</v>
      </c>
      <c r="U133" s="560">
        <v>0</v>
      </c>
      <c r="V133" s="560">
        <v>0</v>
      </c>
      <c r="W133" s="560">
        <v>0</v>
      </c>
      <c r="X133" s="560">
        <v>0</v>
      </c>
      <c r="Y133" s="561">
        <v>0</v>
      </c>
      <c r="Z133" s="561">
        <v>18187</v>
      </c>
      <c r="AA133" s="561">
        <v>0</v>
      </c>
      <c r="AB133" s="561">
        <v>18187</v>
      </c>
      <c r="AC133" s="560">
        <v>0</v>
      </c>
      <c r="AD133" s="560">
        <v>0</v>
      </c>
      <c r="AE133" s="560">
        <v>0</v>
      </c>
      <c r="AF133" s="560">
        <v>0</v>
      </c>
      <c r="AG133" s="560">
        <v>0</v>
      </c>
      <c r="AH133" s="560">
        <v>0</v>
      </c>
      <c r="AI133" s="560">
        <v>0</v>
      </c>
      <c r="AJ133" s="560">
        <v>0</v>
      </c>
      <c r="AK133" s="560">
        <v>0</v>
      </c>
      <c r="AL133" s="560">
        <v>0</v>
      </c>
      <c r="AM133" s="560">
        <v>0</v>
      </c>
      <c r="AN133" s="560">
        <v>0</v>
      </c>
    </row>
    <row r="134" spans="1:41" ht="14">
      <c r="A134" s="98" t="s">
        <v>1253</v>
      </c>
      <c r="B134" s="501">
        <f t="shared" si="24"/>
        <v>0</v>
      </c>
      <c r="C134" s="502">
        <f t="shared" si="25"/>
        <v>0</v>
      </c>
      <c r="D134" s="501">
        <f t="shared" si="26"/>
        <v>0</v>
      </c>
      <c r="E134" s="502">
        <f t="shared" si="27"/>
        <v>0</v>
      </c>
      <c r="F134" s="500"/>
      <c r="G134" s="500"/>
      <c r="H134" s="514">
        <f t="shared" si="28"/>
        <v>0</v>
      </c>
      <c r="I134" s="515">
        <f t="shared" si="29"/>
        <v>0</v>
      </c>
      <c r="J134" s="514">
        <f t="shared" si="30"/>
        <v>0</v>
      </c>
      <c r="K134" s="502">
        <f t="shared" si="31"/>
        <v>0</v>
      </c>
      <c r="L134" s="501">
        <f t="shared" si="32"/>
        <v>0</v>
      </c>
      <c r="M134" s="502">
        <f t="shared" si="33"/>
        <v>0</v>
      </c>
      <c r="O134" s="695"/>
      <c r="P134" s="98" t="s">
        <v>1253</v>
      </c>
      <c r="Q134" s="560">
        <v>117831</v>
      </c>
      <c r="R134" s="560">
        <v>1023</v>
      </c>
      <c r="S134" s="560">
        <v>0</v>
      </c>
      <c r="T134" s="560">
        <v>118854</v>
      </c>
      <c r="U134" s="560">
        <v>298015</v>
      </c>
      <c r="V134" s="560">
        <v>125967</v>
      </c>
      <c r="W134" s="560">
        <v>0</v>
      </c>
      <c r="X134" s="560">
        <v>423982</v>
      </c>
      <c r="Y134" s="561">
        <v>10149</v>
      </c>
      <c r="Z134" s="561">
        <v>12998</v>
      </c>
      <c r="AA134" s="561">
        <v>0</v>
      </c>
      <c r="AB134" s="561">
        <v>23147</v>
      </c>
      <c r="AC134" s="560">
        <v>0</v>
      </c>
      <c r="AD134" s="560">
        <v>0</v>
      </c>
      <c r="AE134" s="560">
        <v>0</v>
      </c>
      <c r="AF134" s="560">
        <v>0</v>
      </c>
      <c r="AG134" s="560">
        <v>32859</v>
      </c>
      <c r="AH134" s="560">
        <v>0</v>
      </c>
      <c r="AI134" s="560">
        <v>0</v>
      </c>
      <c r="AJ134" s="560">
        <v>32859</v>
      </c>
      <c r="AK134" s="560">
        <v>0</v>
      </c>
      <c r="AL134" s="560">
        <v>0</v>
      </c>
      <c r="AM134" s="560">
        <v>0</v>
      </c>
      <c r="AN134" s="560">
        <v>0</v>
      </c>
    </row>
    <row r="135" spans="1:41" ht="14">
      <c r="A135" s="504" t="s">
        <v>1254</v>
      </c>
      <c r="B135" s="501">
        <f t="shared" si="24"/>
        <v>0</v>
      </c>
      <c r="C135" s="502">
        <f t="shared" si="25"/>
        <v>0</v>
      </c>
      <c r="D135" s="501">
        <f>(U135+W135)*$D52</f>
        <v>136820.49784878275</v>
      </c>
      <c r="E135" s="502">
        <f t="shared" si="27"/>
        <v>0</v>
      </c>
      <c r="F135" s="500"/>
      <c r="G135" s="500"/>
      <c r="H135" s="514">
        <f t="shared" si="28"/>
        <v>0</v>
      </c>
      <c r="I135" s="515">
        <f t="shared" si="29"/>
        <v>0</v>
      </c>
      <c r="J135" s="514">
        <f t="shared" si="30"/>
        <v>0</v>
      </c>
      <c r="K135" s="502">
        <f t="shared" si="31"/>
        <v>0</v>
      </c>
      <c r="L135" s="501">
        <f t="shared" si="32"/>
        <v>0</v>
      </c>
      <c r="M135" s="502">
        <f t="shared" si="33"/>
        <v>0</v>
      </c>
      <c r="O135" s="655"/>
      <c r="P135" s="554" t="s">
        <v>1254</v>
      </c>
      <c r="Q135" s="560">
        <v>0</v>
      </c>
      <c r="R135" s="560">
        <v>0</v>
      </c>
      <c r="S135" s="560">
        <v>0</v>
      </c>
      <c r="T135" s="560">
        <v>0</v>
      </c>
      <c r="U135" s="560">
        <v>5666</v>
      </c>
      <c r="V135" s="560">
        <v>0</v>
      </c>
      <c r="W135" s="560">
        <v>0</v>
      </c>
      <c r="X135" s="560">
        <v>5666</v>
      </c>
      <c r="Y135" s="561">
        <v>86870</v>
      </c>
      <c r="Z135" s="561">
        <v>94443</v>
      </c>
      <c r="AA135" s="561">
        <v>0</v>
      </c>
      <c r="AB135" s="561">
        <v>181313</v>
      </c>
      <c r="AC135" s="560">
        <v>0</v>
      </c>
      <c r="AD135" s="560">
        <v>0</v>
      </c>
      <c r="AE135" s="560">
        <v>0</v>
      </c>
      <c r="AF135" s="560">
        <v>0</v>
      </c>
      <c r="AG135" s="560">
        <v>0</v>
      </c>
      <c r="AH135" s="560">
        <v>0</v>
      </c>
      <c r="AI135" s="560">
        <v>0</v>
      </c>
      <c r="AJ135" s="560">
        <v>0</v>
      </c>
      <c r="AK135" s="560">
        <v>0</v>
      </c>
      <c r="AL135" s="560">
        <v>0</v>
      </c>
      <c r="AM135" s="560">
        <v>0</v>
      </c>
      <c r="AN135" s="560">
        <v>0</v>
      </c>
    </row>
    <row r="136" spans="1:41" ht="14">
      <c r="A136" s="504" t="s">
        <v>1255</v>
      </c>
      <c r="B136" s="501">
        <f t="shared" si="24"/>
        <v>0</v>
      </c>
      <c r="C136" s="502">
        <f t="shared" si="25"/>
        <v>0</v>
      </c>
      <c r="D136" s="501">
        <f t="shared" si="26"/>
        <v>0</v>
      </c>
      <c r="E136" s="502">
        <f t="shared" si="27"/>
        <v>0</v>
      </c>
      <c r="F136" s="500"/>
      <c r="G136" s="500"/>
      <c r="H136" s="514">
        <f t="shared" si="28"/>
        <v>0</v>
      </c>
      <c r="I136" s="515">
        <f t="shared" si="29"/>
        <v>0</v>
      </c>
      <c r="J136" s="514">
        <f t="shared" si="30"/>
        <v>0</v>
      </c>
      <c r="K136" s="502">
        <f t="shared" si="31"/>
        <v>0</v>
      </c>
      <c r="L136" s="501">
        <f t="shared" si="32"/>
        <v>0</v>
      </c>
      <c r="M136" s="502">
        <f t="shared" si="33"/>
        <v>0</v>
      </c>
      <c r="O136" s="655"/>
      <c r="P136" s="554" t="s">
        <v>1255</v>
      </c>
      <c r="Q136" s="560">
        <v>294675</v>
      </c>
      <c r="R136" s="560">
        <v>0</v>
      </c>
      <c r="S136" s="560">
        <v>29586</v>
      </c>
      <c r="T136" s="560">
        <v>324261</v>
      </c>
      <c r="U136" s="560">
        <v>1994926</v>
      </c>
      <c r="V136" s="560">
        <v>5754</v>
      </c>
      <c r="W136" s="560">
        <v>84588</v>
      </c>
      <c r="X136" s="560">
        <v>2085268</v>
      </c>
      <c r="Y136" s="561">
        <v>7661</v>
      </c>
      <c r="Z136" s="561">
        <v>396</v>
      </c>
      <c r="AA136" s="561">
        <v>56</v>
      </c>
      <c r="AB136" s="561">
        <v>8113</v>
      </c>
      <c r="AC136" s="560">
        <v>206925</v>
      </c>
      <c r="AD136" s="560">
        <v>0</v>
      </c>
      <c r="AE136" s="560">
        <v>0</v>
      </c>
      <c r="AF136" s="560">
        <v>206925</v>
      </c>
      <c r="AG136" s="560">
        <v>80897</v>
      </c>
      <c r="AH136" s="560">
        <v>0</v>
      </c>
      <c r="AI136" s="560">
        <v>0</v>
      </c>
      <c r="AJ136" s="560">
        <v>80897</v>
      </c>
      <c r="AK136" s="560">
        <v>0</v>
      </c>
      <c r="AL136" s="560">
        <v>0</v>
      </c>
      <c r="AM136" s="560">
        <v>0</v>
      </c>
      <c r="AN136" s="560">
        <v>0</v>
      </c>
    </row>
    <row r="137" spans="1:41" ht="14">
      <c r="A137" s="516" t="s">
        <v>1256</v>
      </c>
      <c r="B137" s="501">
        <f t="shared" si="24"/>
        <v>6708230.5103519391</v>
      </c>
      <c r="C137" s="502">
        <f t="shared" si="25"/>
        <v>97538.755151144913</v>
      </c>
      <c r="D137" s="501">
        <f t="shared" si="26"/>
        <v>0</v>
      </c>
      <c r="E137" s="502">
        <f t="shared" si="27"/>
        <v>0</v>
      </c>
      <c r="F137" s="500"/>
      <c r="G137" s="500"/>
      <c r="H137" s="514">
        <f t="shared" si="28"/>
        <v>0</v>
      </c>
      <c r="I137" s="515">
        <f t="shared" si="29"/>
        <v>0</v>
      </c>
      <c r="J137" s="514">
        <f t="shared" si="30"/>
        <v>0</v>
      </c>
      <c r="K137" s="502">
        <f t="shared" si="31"/>
        <v>0</v>
      </c>
      <c r="L137" s="501">
        <f t="shared" si="32"/>
        <v>0</v>
      </c>
      <c r="M137" s="502">
        <f t="shared" si="33"/>
        <v>0</v>
      </c>
      <c r="O137" s="453"/>
      <c r="P137" s="554" t="s">
        <v>1256</v>
      </c>
      <c r="Q137" s="560">
        <v>511136</v>
      </c>
      <c r="R137" s="560">
        <v>7432</v>
      </c>
      <c r="S137" s="560">
        <v>0</v>
      </c>
      <c r="T137" s="560">
        <v>518568</v>
      </c>
      <c r="U137" s="560">
        <v>0</v>
      </c>
      <c r="V137" s="560">
        <v>0</v>
      </c>
      <c r="W137" s="560">
        <v>0</v>
      </c>
      <c r="X137" s="560">
        <v>0</v>
      </c>
      <c r="Y137" s="561">
        <v>153</v>
      </c>
      <c r="Z137" s="561">
        <v>116600</v>
      </c>
      <c r="AA137" s="561">
        <v>0</v>
      </c>
      <c r="AB137" s="561">
        <v>116753</v>
      </c>
      <c r="AC137" s="560">
        <v>0</v>
      </c>
      <c r="AD137" s="560">
        <v>0</v>
      </c>
      <c r="AE137" s="560">
        <v>0</v>
      </c>
      <c r="AF137" s="560">
        <v>0</v>
      </c>
      <c r="AG137" s="560">
        <v>0</v>
      </c>
      <c r="AH137" s="560">
        <v>0</v>
      </c>
      <c r="AI137" s="560">
        <v>0</v>
      </c>
      <c r="AJ137" s="560">
        <v>0</v>
      </c>
      <c r="AK137" s="560">
        <v>0</v>
      </c>
      <c r="AL137" s="560">
        <v>0</v>
      </c>
      <c r="AM137" s="560">
        <v>0</v>
      </c>
      <c r="AN137" s="560">
        <v>0</v>
      </c>
    </row>
    <row r="138" spans="1:41" ht="14">
      <c r="A138" s="509"/>
      <c r="B138" s="517"/>
      <c r="C138" s="517"/>
      <c r="D138" s="517"/>
      <c r="E138" s="517"/>
      <c r="F138" s="518"/>
      <c r="G138" s="518"/>
      <c r="H138" s="517"/>
      <c r="I138" s="517"/>
      <c r="J138" s="517"/>
      <c r="K138" s="517"/>
      <c r="L138" s="517"/>
      <c r="M138" s="510"/>
      <c r="O138" s="655"/>
      <c r="P138" s="555" t="s">
        <v>187</v>
      </c>
      <c r="Q138" s="556">
        <v>1023186</v>
      </c>
      <c r="R138" s="556">
        <v>10252</v>
      </c>
      <c r="S138" s="556">
        <v>29586</v>
      </c>
      <c r="T138" s="556">
        <v>1063024</v>
      </c>
      <c r="U138" s="556">
        <v>2851782</v>
      </c>
      <c r="V138" s="556">
        <v>185305</v>
      </c>
      <c r="W138" s="556">
        <v>84588</v>
      </c>
      <c r="X138" s="556">
        <v>3121675</v>
      </c>
      <c r="Y138" s="556">
        <v>1734145</v>
      </c>
      <c r="Z138" s="556">
        <v>1007773</v>
      </c>
      <c r="AA138" s="556">
        <v>56</v>
      </c>
      <c r="AB138" s="556">
        <v>2741974</v>
      </c>
      <c r="AC138" s="556">
        <v>224929</v>
      </c>
      <c r="AD138" s="556">
        <v>0</v>
      </c>
      <c r="AE138" s="556">
        <v>0</v>
      </c>
      <c r="AF138" s="556">
        <v>224929</v>
      </c>
      <c r="AG138" s="556">
        <v>192</v>
      </c>
      <c r="AH138" s="556">
        <v>0</v>
      </c>
      <c r="AI138" s="556">
        <v>0</v>
      </c>
      <c r="AJ138" s="556">
        <v>192</v>
      </c>
      <c r="AK138" s="556">
        <v>90624</v>
      </c>
      <c r="AL138" s="556">
        <v>0</v>
      </c>
      <c r="AM138" s="556">
        <v>0</v>
      </c>
      <c r="AN138" s="556">
        <v>90624</v>
      </c>
      <c r="AO138" s="96">
        <f>T138+X138+AB138+AF138+AJ138+AN138</f>
        <v>7242418</v>
      </c>
    </row>
    <row r="139" spans="1:41" ht="14">
      <c r="A139" s="519"/>
      <c r="B139" s="520"/>
      <c r="C139" s="520"/>
      <c r="D139" s="520"/>
      <c r="E139" s="520"/>
      <c r="I139" s="520"/>
      <c r="J139" s="520"/>
      <c r="K139" s="520"/>
      <c r="L139" s="520"/>
      <c r="M139" s="520"/>
      <c r="N139" s="520"/>
      <c r="O139" s="655"/>
      <c r="P139" s="696"/>
      <c r="Q139" s="563"/>
      <c r="R139" s="655"/>
      <c r="T139" s="562"/>
      <c r="U139" s="562"/>
      <c r="V139" s="562"/>
      <c r="W139" s="562"/>
      <c r="X139" s="562"/>
      <c r="Y139" s="562"/>
      <c r="Z139" s="563"/>
      <c r="AA139" s="562"/>
      <c r="AB139" s="562"/>
      <c r="AC139" s="562"/>
      <c r="AD139" s="562"/>
      <c r="AE139" s="562"/>
      <c r="AF139" s="562"/>
      <c r="AG139" s="562"/>
      <c r="AH139" s="562"/>
      <c r="AI139" s="562"/>
      <c r="AJ139" s="562"/>
      <c r="AK139" s="562"/>
      <c r="AL139" s="562"/>
      <c r="AM139" s="562"/>
      <c r="AN139" s="562"/>
    </row>
    <row r="140" spans="1:41" ht="14.5" thickBot="1">
      <c r="A140" s="512"/>
      <c r="B140" s="512"/>
      <c r="C140" s="44"/>
      <c r="D140" s="44"/>
      <c r="E140" s="44"/>
      <c r="I140" s="44"/>
      <c r="J140" s="44"/>
      <c r="O140" s="655"/>
      <c r="P140" s="696"/>
      <c r="Q140" s="655"/>
    </row>
    <row r="141" spans="1:41" ht="13" thickBot="1">
      <c r="A141" s="833" t="s">
        <v>1314</v>
      </c>
      <c r="B141" s="807"/>
      <c r="C141" s="807"/>
      <c r="D141" s="807"/>
      <c r="E141" s="807"/>
      <c r="F141" s="807"/>
      <c r="G141" s="807"/>
      <c r="H141" s="807"/>
      <c r="I141" s="807"/>
      <c r="J141" s="807"/>
      <c r="K141" s="807"/>
      <c r="L141" s="807"/>
      <c r="M141" s="808"/>
      <c r="N141" s="95"/>
      <c r="O141" s="655"/>
      <c r="P141" s="800" t="s">
        <v>1315</v>
      </c>
      <c r="Q141" s="811" t="s">
        <v>1314</v>
      </c>
      <c r="R141" s="812"/>
      <c r="S141" s="812"/>
      <c r="T141" s="812"/>
      <c r="U141" s="812"/>
      <c r="V141" s="812"/>
      <c r="W141" s="812"/>
      <c r="X141" s="812"/>
      <c r="Y141" s="812"/>
      <c r="Z141" s="812"/>
      <c r="AA141" s="812"/>
      <c r="AB141" s="812"/>
      <c r="AC141" s="812"/>
      <c r="AD141" s="812"/>
      <c r="AE141" s="814"/>
      <c r="AF141" s="814"/>
      <c r="AG141" s="814"/>
      <c r="AH141" s="815"/>
    </row>
    <row r="142" spans="1:41" ht="57.75" customHeight="1" thickBot="1">
      <c r="A142" s="809" t="s">
        <v>1270</v>
      </c>
      <c r="B142" s="804" t="s">
        <v>1268</v>
      </c>
      <c r="C142" s="802" t="s">
        <v>1269</v>
      </c>
      <c r="D142" s="804" t="s">
        <v>1316</v>
      </c>
      <c r="E142" s="802" t="s">
        <v>1317</v>
      </c>
      <c r="F142" s="804" t="s">
        <v>1318</v>
      </c>
      <c r="G142" s="802" t="s">
        <v>1319</v>
      </c>
      <c r="H142" s="804" t="s">
        <v>1320</v>
      </c>
      <c r="I142" s="802" t="s">
        <v>1321</v>
      </c>
      <c r="J142" s="804" t="s">
        <v>1322</v>
      </c>
      <c r="K142" s="802" t="s">
        <v>1323</v>
      </c>
      <c r="L142" s="804" t="s">
        <v>1324</v>
      </c>
      <c r="M142" s="802" t="s">
        <v>1325</v>
      </c>
      <c r="P142" s="826" t="s">
        <v>1274</v>
      </c>
      <c r="Q142" s="811" t="s">
        <v>223</v>
      </c>
      <c r="R142" s="812"/>
      <c r="S142" s="813"/>
      <c r="T142" s="811" t="s">
        <v>203</v>
      </c>
      <c r="U142" s="812"/>
      <c r="V142" s="813"/>
      <c r="W142" s="811" t="s">
        <v>219</v>
      </c>
      <c r="X142" s="812"/>
      <c r="Y142" s="813"/>
      <c r="Z142" s="816" t="s">
        <v>220</v>
      </c>
      <c r="AA142" s="817"/>
      <c r="AB142" s="818"/>
      <c r="AC142" s="811" t="s">
        <v>222</v>
      </c>
      <c r="AD142" s="812"/>
      <c r="AE142" s="813"/>
      <c r="AF142" s="812" t="s">
        <v>221</v>
      </c>
      <c r="AG142" s="812"/>
      <c r="AH142" s="813"/>
    </row>
    <row r="143" spans="1:41" ht="13" thickBot="1">
      <c r="A143" s="810"/>
      <c r="B143" s="805"/>
      <c r="C143" s="803"/>
      <c r="D143" s="805"/>
      <c r="E143" s="803"/>
      <c r="F143" s="805" t="s">
        <v>1271</v>
      </c>
      <c r="G143" s="803" t="s">
        <v>1271</v>
      </c>
      <c r="H143" s="805" t="s">
        <v>1271</v>
      </c>
      <c r="I143" s="803" t="s">
        <v>1271</v>
      </c>
      <c r="J143" s="805" t="s">
        <v>1271</v>
      </c>
      <c r="K143" s="803" t="s">
        <v>1271</v>
      </c>
      <c r="L143" s="805" t="s">
        <v>1271</v>
      </c>
      <c r="M143" s="803" t="s">
        <v>1271</v>
      </c>
      <c r="P143" s="801">
        <v>8189294</v>
      </c>
      <c r="Q143" s="153" t="s">
        <v>1271</v>
      </c>
      <c r="R143" s="47" t="s">
        <v>1272</v>
      </c>
      <c r="S143" s="47" t="s">
        <v>1273</v>
      </c>
      <c r="T143" s="153" t="s">
        <v>1271</v>
      </c>
      <c r="U143" s="47" t="s">
        <v>1272</v>
      </c>
      <c r="V143" s="47" t="s">
        <v>1273</v>
      </c>
      <c r="W143" s="153" t="s">
        <v>1271</v>
      </c>
      <c r="X143" s="47" t="s">
        <v>1272</v>
      </c>
      <c r="Y143" s="47" t="s">
        <v>1273</v>
      </c>
      <c r="Z143" s="549" t="s">
        <v>1271</v>
      </c>
      <c r="AA143" s="550" t="s">
        <v>1272</v>
      </c>
      <c r="AB143" s="550" t="s">
        <v>1273</v>
      </c>
      <c r="AC143" s="153" t="s">
        <v>1271</v>
      </c>
      <c r="AD143" s="47" t="s">
        <v>1272</v>
      </c>
      <c r="AE143" s="47" t="s">
        <v>1273</v>
      </c>
      <c r="AF143" s="511" t="s">
        <v>1271</v>
      </c>
      <c r="AG143" s="47" t="s">
        <v>1272</v>
      </c>
      <c r="AH143" s="47" t="s">
        <v>1273</v>
      </c>
    </row>
    <row r="144" spans="1:41" ht="14">
      <c r="A144" s="97" t="s">
        <v>2238</v>
      </c>
      <c r="B144" s="522">
        <f t="shared" ref="B144:B162" si="34">Q144*$E36</f>
        <v>0</v>
      </c>
      <c r="C144" s="523">
        <f t="shared" ref="C144:C162" si="35">R144*$E36</f>
        <v>0</v>
      </c>
      <c r="D144" s="522">
        <f t="shared" ref="D144:D162" si="36">T144*$E36</f>
        <v>0</v>
      </c>
      <c r="E144" s="523">
        <f t="shared" ref="E144:E162" si="37">U144*$E36</f>
        <v>0</v>
      </c>
      <c r="F144" s="522">
        <f t="shared" ref="F144:F162" si="38">W144*$E36</f>
        <v>0</v>
      </c>
      <c r="G144" s="523">
        <f t="shared" ref="G144:G162" si="39">X144*$E36</f>
        <v>0</v>
      </c>
      <c r="H144" s="524"/>
      <c r="I144" s="524"/>
      <c r="J144" s="522">
        <f t="shared" ref="J144:J162" si="40">AC144*$E36</f>
        <v>0</v>
      </c>
      <c r="K144" s="523">
        <f t="shared" ref="K144:K162" si="41">AD144*$E36</f>
        <v>0</v>
      </c>
      <c r="L144" s="522">
        <f t="shared" ref="L144:L162" si="42">AF144*$E36</f>
        <v>0</v>
      </c>
      <c r="M144" s="502">
        <f t="shared" ref="M144:M162" si="43">AG144*$E36</f>
        <v>0</v>
      </c>
      <c r="P144" s="98" t="s">
        <v>2238</v>
      </c>
      <c r="Q144" s="553">
        <v>0</v>
      </c>
      <c r="R144" s="553">
        <v>0</v>
      </c>
      <c r="S144" s="553">
        <v>0</v>
      </c>
      <c r="T144" s="553">
        <v>0</v>
      </c>
      <c r="U144" s="553">
        <v>0</v>
      </c>
      <c r="V144" s="553">
        <v>0</v>
      </c>
      <c r="W144" s="553">
        <v>0</v>
      </c>
      <c r="X144" s="553">
        <v>0</v>
      </c>
      <c r="Y144" s="553">
        <v>0</v>
      </c>
      <c r="Z144" s="552">
        <v>0</v>
      </c>
      <c r="AA144" s="552">
        <v>0</v>
      </c>
      <c r="AB144" s="552">
        <v>0</v>
      </c>
      <c r="AC144" s="553">
        <v>0</v>
      </c>
      <c r="AD144" s="553">
        <v>0</v>
      </c>
      <c r="AE144" s="553">
        <v>0</v>
      </c>
      <c r="AF144" s="553">
        <v>0</v>
      </c>
      <c r="AG144" s="553">
        <v>0</v>
      </c>
      <c r="AH144" s="553">
        <v>0</v>
      </c>
    </row>
    <row r="145" spans="1:34" ht="14">
      <c r="A145" s="504" t="s">
        <v>1239</v>
      </c>
      <c r="B145" s="522">
        <f t="shared" si="34"/>
        <v>2132375.4850052954</v>
      </c>
      <c r="C145" s="523">
        <f t="shared" si="35"/>
        <v>0</v>
      </c>
      <c r="D145" s="522">
        <f t="shared" si="36"/>
        <v>0</v>
      </c>
      <c r="E145" s="523">
        <f t="shared" si="37"/>
        <v>0</v>
      </c>
      <c r="F145" s="522">
        <f t="shared" si="38"/>
        <v>14180.479903475969</v>
      </c>
      <c r="G145" s="523">
        <f t="shared" si="39"/>
        <v>0</v>
      </c>
      <c r="H145" s="524"/>
      <c r="I145" s="524"/>
      <c r="J145" s="522">
        <f t="shared" si="40"/>
        <v>163075.51888997364</v>
      </c>
      <c r="K145" s="523">
        <f t="shared" si="41"/>
        <v>0</v>
      </c>
      <c r="L145" s="522">
        <f t="shared" si="42"/>
        <v>0</v>
      </c>
      <c r="M145" s="502">
        <f t="shared" si="43"/>
        <v>0</v>
      </c>
      <c r="P145" s="554" t="s">
        <v>1239</v>
      </c>
      <c r="Q145" s="553">
        <v>150374</v>
      </c>
      <c r="R145" s="553">
        <v>0</v>
      </c>
      <c r="S145" s="553">
        <v>150374</v>
      </c>
      <c r="T145" s="553">
        <v>0</v>
      </c>
      <c r="U145" s="553">
        <v>0</v>
      </c>
      <c r="V145" s="553">
        <v>0</v>
      </c>
      <c r="W145" s="553">
        <v>1000</v>
      </c>
      <c r="X145" s="553">
        <v>0</v>
      </c>
      <c r="Y145" s="553">
        <v>1000</v>
      </c>
      <c r="Z145" s="552">
        <v>493152</v>
      </c>
      <c r="AA145" s="552">
        <v>0</v>
      </c>
      <c r="AB145" s="552">
        <v>493152</v>
      </c>
      <c r="AC145" s="553">
        <v>11500</v>
      </c>
      <c r="AD145" s="553">
        <v>0</v>
      </c>
      <c r="AE145" s="553">
        <v>11500</v>
      </c>
      <c r="AF145" s="553">
        <v>0</v>
      </c>
      <c r="AG145" s="553">
        <v>0</v>
      </c>
      <c r="AH145" s="553">
        <v>0</v>
      </c>
    </row>
    <row r="146" spans="1:34" ht="14">
      <c r="A146" s="504" t="s">
        <v>1240</v>
      </c>
      <c r="B146" s="522">
        <f t="shared" si="34"/>
        <v>0</v>
      </c>
      <c r="C146" s="523">
        <f t="shared" si="35"/>
        <v>0</v>
      </c>
      <c r="D146" s="522">
        <f t="shared" si="36"/>
        <v>0</v>
      </c>
      <c r="E146" s="523">
        <f t="shared" si="37"/>
        <v>0</v>
      </c>
      <c r="F146" s="522">
        <f t="shared" si="38"/>
        <v>0</v>
      </c>
      <c r="G146" s="523">
        <f t="shared" si="39"/>
        <v>0</v>
      </c>
      <c r="H146" s="524"/>
      <c r="I146" s="524"/>
      <c r="J146" s="522">
        <f t="shared" si="40"/>
        <v>0</v>
      </c>
      <c r="K146" s="523">
        <f t="shared" si="41"/>
        <v>0</v>
      </c>
      <c r="L146" s="522">
        <f t="shared" si="42"/>
        <v>0</v>
      </c>
      <c r="M146" s="502">
        <f t="shared" si="43"/>
        <v>0</v>
      </c>
      <c r="P146" s="554" t="s">
        <v>1240</v>
      </c>
      <c r="Q146" s="553">
        <v>0</v>
      </c>
      <c r="R146" s="553">
        <v>0</v>
      </c>
      <c r="S146" s="553">
        <v>0</v>
      </c>
      <c r="T146" s="553">
        <v>0</v>
      </c>
      <c r="U146" s="553">
        <v>0</v>
      </c>
      <c r="V146" s="553">
        <v>0</v>
      </c>
      <c r="W146" s="553">
        <v>0</v>
      </c>
      <c r="X146" s="553">
        <v>0</v>
      </c>
      <c r="Y146" s="553">
        <v>0</v>
      </c>
      <c r="Z146" s="552">
        <v>0</v>
      </c>
      <c r="AA146" s="552">
        <v>0</v>
      </c>
      <c r="AB146" s="552">
        <v>0</v>
      </c>
      <c r="AC146" s="553">
        <v>0</v>
      </c>
      <c r="AD146" s="553">
        <v>0</v>
      </c>
      <c r="AE146" s="553">
        <v>0</v>
      </c>
      <c r="AF146" s="553">
        <v>0</v>
      </c>
      <c r="AG146" s="553">
        <v>0</v>
      </c>
      <c r="AH146" s="553">
        <v>0</v>
      </c>
    </row>
    <row r="147" spans="1:34" ht="14">
      <c r="A147" s="504" t="s">
        <v>1241</v>
      </c>
      <c r="B147" s="522">
        <f t="shared" si="34"/>
        <v>0</v>
      </c>
      <c r="C147" s="523">
        <f t="shared" si="35"/>
        <v>0</v>
      </c>
      <c r="D147" s="522">
        <f t="shared" si="36"/>
        <v>0</v>
      </c>
      <c r="E147" s="523">
        <f t="shared" si="37"/>
        <v>0</v>
      </c>
      <c r="F147" s="522">
        <f t="shared" si="38"/>
        <v>0</v>
      </c>
      <c r="G147" s="523">
        <f t="shared" si="39"/>
        <v>0</v>
      </c>
      <c r="H147" s="524"/>
      <c r="I147" s="524"/>
      <c r="J147" s="522">
        <f t="shared" si="40"/>
        <v>0</v>
      </c>
      <c r="K147" s="523">
        <f t="shared" si="41"/>
        <v>0</v>
      </c>
      <c r="L147" s="522">
        <f t="shared" si="42"/>
        <v>0</v>
      </c>
      <c r="M147" s="502">
        <f t="shared" si="43"/>
        <v>0</v>
      </c>
      <c r="P147" s="554" t="s">
        <v>1241</v>
      </c>
      <c r="Q147" s="553">
        <v>0</v>
      </c>
      <c r="R147" s="553">
        <v>0</v>
      </c>
      <c r="S147" s="553">
        <v>0</v>
      </c>
      <c r="T147" s="553">
        <v>0</v>
      </c>
      <c r="U147" s="553">
        <v>0</v>
      </c>
      <c r="V147" s="553">
        <v>0</v>
      </c>
      <c r="W147" s="553">
        <v>0</v>
      </c>
      <c r="X147" s="553">
        <v>0</v>
      </c>
      <c r="Y147" s="553">
        <v>0</v>
      </c>
      <c r="Z147" s="552">
        <v>0</v>
      </c>
      <c r="AA147" s="552">
        <v>0</v>
      </c>
      <c r="AB147" s="552">
        <v>0</v>
      </c>
      <c r="AC147" s="553">
        <v>0</v>
      </c>
      <c r="AD147" s="553">
        <v>0</v>
      </c>
      <c r="AE147" s="553">
        <v>0</v>
      </c>
      <c r="AF147" s="553">
        <v>0</v>
      </c>
      <c r="AG147" s="553">
        <v>0</v>
      </c>
      <c r="AH147" s="553">
        <v>0</v>
      </c>
    </row>
    <row r="148" spans="1:34" ht="14">
      <c r="A148" s="504" t="s">
        <v>1242</v>
      </c>
      <c r="B148" s="522">
        <f t="shared" si="34"/>
        <v>0</v>
      </c>
      <c r="C148" s="523">
        <f t="shared" si="35"/>
        <v>0</v>
      </c>
      <c r="D148" s="522">
        <f t="shared" si="36"/>
        <v>0</v>
      </c>
      <c r="E148" s="523">
        <f t="shared" si="37"/>
        <v>0</v>
      </c>
      <c r="F148" s="522">
        <f t="shared" si="38"/>
        <v>0</v>
      </c>
      <c r="G148" s="523">
        <f t="shared" si="39"/>
        <v>0</v>
      </c>
      <c r="H148" s="524"/>
      <c r="I148" s="524"/>
      <c r="J148" s="522">
        <f t="shared" si="40"/>
        <v>0</v>
      </c>
      <c r="K148" s="523">
        <f t="shared" si="41"/>
        <v>0</v>
      </c>
      <c r="L148" s="522">
        <f t="shared" si="42"/>
        <v>0</v>
      </c>
      <c r="M148" s="502">
        <f t="shared" si="43"/>
        <v>0</v>
      </c>
      <c r="P148" s="554" t="s">
        <v>1242</v>
      </c>
      <c r="Q148" s="553">
        <v>0</v>
      </c>
      <c r="R148" s="553">
        <v>0</v>
      </c>
      <c r="S148" s="553">
        <v>0</v>
      </c>
      <c r="T148" s="553">
        <v>0</v>
      </c>
      <c r="U148" s="553">
        <v>0</v>
      </c>
      <c r="V148" s="553">
        <v>0</v>
      </c>
      <c r="W148" s="553">
        <v>0</v>
      </c>
      <c r="X148" s="553">
        <v>0</v>
      </c>
      <c r="Y148" s="553">
        <v>0</v>
      </c>
      <c r="Z148" s="552">
        <v>0</v>
      </c>
      <c r="AA148" s="552">
        <v>0</v>
      </c>
      <c r="AB148" s="552">
        <v>0</v>
      </c>
      <c r="AC148" s="553">
        <v>0</v>
      </c>
      <c r="AD148" s="553">
        <v>0</v>
      </c>
      <c r="AE148" s="553">
        <v>0</v>
      </c>
      <c r="AF148" s="553">
        <v>0</v>
      </c>
      <c r="AG148" s="553">
        <v>0</v>
      </c>
      <c r="AH148" s="553">
        <v>0</v>
      </c>
    </row>
    <row r="149" spans="1:34" ht="14">
      <c r="A149" s="504" t="s">
        <v>1243</v>
      </c>
      <c r="B149" s="522">
        <f t="shared" si="34"/>
        <v>0</v>
      </c>
      <c r="C149" s="523">
        <f t="shared" si="35"/>
        <v>0</v>
      </c>
      <c r="D149" s="522">
        <f t="shared" si="36"/>
        <v>0</v>
      </c>
      <c r="E149" s="523">
        <f t="shared" si="37"/>
        <v>0</v>
      </c>
      <c r="F149" s="522">
        <f t="shared" si="38"/>
        <v>0</v>
      </c>
      <c r="G149" s="523">
        <f t="shared" si="39"/>
        <v>0</v>
      </c>
      <c r="H149" s="524"/>
      <c r="I149" s="524"/>
      <c r="J149" s="522">
        <f t="shared" si="40"/>
        <v>0</v>
      </c>
      <c r="K149" s="523">
        <f t="shared" si="41"/>
        <v>0</v>
      </c>
      <c r="L149" s="522">
        <f t="shared" si="42"/>
        <v>0</v>
      </c>
      <c r="M149" s="502">
        <f t="shared" si="43"/>
        <v>0</v>
      </c>
      <c r="P149" s="554" t="s">
        <v>1243</v>
      </c>
      <c r="Q149" s="553">
        <v>0</v>
      </c>
      <c r="R149" s="553">
        <v>0</v>
      </c>
      <c r="S149" s="553">
        <v>0</v>
      </c>
      <c r="T149" s="553">
        <v>0</v>
      </c>
      <c r="U149" s="553">
        <v>0</v>
      </c>
      <c r="V149" s="553">
        <v>0</v>
      </c>
      <c r="W149" s="553">
        <v>0</v>
      </c>
      <c r="X149" s="553">
        <v>0</v>
      </c>
      <c r="Y149" s="553">
        <v>0</v>
      </c>
      <c r="Z149" s="552">
        <v>0</v>
      </c>
      <c r="AA149" s="552">
        <v>0</v>
      </c>
      <c r="AB149" s="552">
        <v>0</v>
      </c>
      <c r="AC149" s="553">
        <v>0</v>
      </c>
      <c r="AD149" s="553">
        <v>0</v>
      </c>
      <c r="AE149" s="553">
        <v>0</v>
      </c>
      <c r="AF149" s="553">
        <v>0</v>
      </c>
      <c r="AG149" s="553">
        <v>0</v>
      </c>
      <c r="AH149" s="553">
        <v>0</v>
      </c>
    </row>
    <row r="150" spans="1:34" ht="14">
      <c r="A150" s="504" t="s">
        <v>1244</v>
      </c>
      <c r="B150" s="522">
        <f t="shared" si="34"/>
        <v>0</v>
      </c>
      <c r="C150" s="523">
        <f t="shared" si="35"/>
        <v>0</v>
      </c>
      <c r="D150" s="522">
        <f t="shared" si="36"/>
        <v>0</v>
      </c>
      <c r="E150" s="523">
        <f t="shared" si="37"/>
        <v>0</v>
      </c>
      <c r="F150" s="522">
        <f t="shared" si="38"/>
        <v>0</v>
      </c>
      <c r="G150" s="523">
        <f t="shared" si="39"/>
        <v>0</v>
      </c>
      <c r="H150" s="524"/>
      <c r="I150" s="524"/>
      <c r="J150" s="522">
        <f t="shared" si="40"/>
        <v>0</v>
      </c>
      <c r="K150" s="523">
        <f t="shared" si="41"/>
        <v>0</v>
      </c>
      <c r="L150" s="522">
        <f t="shared" si="42"/>
        <v>0</v>
      </c>
      <c r="M150" s="502">
        <f t="shared" si="43"/>
        <v>0</v>
      </c>
      <c r="P150" s="554" t="s">
        <v>1244</v>
      </c>
      <c r="Q150" s="553">
        <v>0</v>
      </c>
      <c r="R150" s="553">
        <v>0</v>
      </c>
      <c r="S150" s="553">
        <v>0</v>
      </c>
      <c r="T150" s="553">
        <v>0</v>
      </c>
      <c r="U150" s="553">
        <v>0</v>
      </c>
      <c r="V150" s="553">
        <v>0</v>
      </c>
      <c r="W150" s="553">
        <v>0</v>
      </c>
      <c r="X150" s="553">
        <v>0</v>
      </c>
      <c r="Y150" s="553">
        <v>0</v>
      </c>
      <c r="Z150" s="552">
        <v>0</v>
      </c>
      <c r="AA150" s="552">
        <v>0</v>
      </c>
      <c r="AB150" s="552">
        <v>0</v>
      </c>
      <c r="AC150" s="553">
        <v>0</v>
      </c>
      <c r="AD150" s="553">
        <v>0</v>
      </c>
      <c r="AE150" s="553">
        <v>0</v>
      </c>
      <c r="AF150" s="553">
        <v>0</v>
      </c>
      <c r="AG150" s="553">
        <v>0</v>
      </c>
      <c r="AH150" s="553">
        <v>0</v>
      </c>
    </row>
    <row r="151" spans="1:34" ht="14">
      <c r="A151" s="506" t="s">
        <v>1245</v>
      </c>
      <c r="B151" s="522">
        <f t="shared" si="34"/>
        <v>0</v>
      </c>
      <c r="C151" s="523">
        <f t="shared" si="35"/>
        <v>0</v>
      </c>
      <c r="D151" s="522">
        <f t="shared" si="36"/>
        <v>0</v>
      </c>
      <c r="E151" s="523">
        <f t="shared" si="37"/>
        <v>0</v>
      </c>
      <c r="F151" s="522">
        <f t="shared" si="38"/>
        <v>0</v>
      </c>
      <c r="G151" s="523">
        <f t="shared" si="39"/>
        <v>0</v>
      </c>
      <c r="H151" s="524"/>
      <c r="I151" s="524"/>
      <c r="J151" s="522">
        <f t="shared" si="40"/>
        <v>0</v>
      </c>
      <c r="K151" s="523">
        <f t="shared" si="41"/>
        <v>0</v>
      </c>
      <c r="L151" s="522">
        <f t="shared" si="42"/>
        <v>0</v>
      </c>
      <c r="M151" s="502">
        <f t="shared" si="43"/>
        <v>0</v>
      </c>
      <c r="P151" s="98" t="s">
        <v>1245</v>
      </c>
      <c r="Q151" s="553">
        <v>241940</v>
      </c>
      <c r="R151" s="553">
        <v>1359</v>
      </c>
      <c r="S151" s="553">
        <v>243299</v>
      </c>
      <c r="T151" s="553">
        <v>383733</v>
      </c>
      <c r="U151" s="553">
        <v>78512</v>
      </c>
      <c r="V151" s="553">
        <v>462245</v>
      </c>
      <c r="W151" s="553">
        <v>281345</v>
      </c>
      <c r="X151" s="553">
        <v>49344</v>
      </c>
      <c r="Y151" s="553">
        <v>330689</v>
      </c>
      <c r="Z151" s="552">
        <v>77946</v>
      </c>
      <c r="AA151" s="552">
        <v>7078</v>
      </c>
      <c r="AB151" s="552">
        <v>85024</v>
      </c>
      <c r="AC151" s="553">
        <v>43739</v>
      </c>
      <c r="AD151" s="553">
        <v>140</v>
      </c>
      <c r="AE151" s="553">
        <v>43879</v>
      </c>
      <c r="AF151" s="553">
        <v>113147</v>
      </c>
      <c r="AG151" s="553">
        <v>0</v>
      </c>
      <c r="AH151" s="553">
        <v>113147</v>
      </c>
    </row>
    <row r="152" spans="1:34" ht="14">
      <c r="A152" s="506" t="s">
        <v>1246</v>
      </c>
      <c r="B152" s="522">
        <f t="shared" si="34"/>
        <v>0</v>
      </c>
      <c r="C152" s="523">
        <f t="shared" si="35"/>
        <v>0</v>
      </c>
      <c r="D152" s="522">
        <f t="shared" si="36"/>
        <v>0</v>
      </c>
      <c r="E152" s="523">
        <f t="shared" si="37"/>
        <v>0</v>
      </c>
      <c r="F152" s="522">
        <f t="shared" si="38"/>
        <v>0</v>
      </c>
      <c r="G152" s="523">
        <f t="shared" si="39"/>
        <v>0</v>
      </c>
      <c r="H152" s="524"/>
      <c r="I152" s="524"/>
      <c r="J152" s="522">
        <f t="shared" si="40"/>
        <v>0</v>
      </c>
      <c r="K152" s="523">
        <f t="shared" si="41"/>
        <v>0</v>
      </c>
      <c r="L152" s="522">
        <f t="shared" si="42"/>
        <v>0</v>
      </c>
      <c r="M152" s="502">
        <f t="shared" si="43"/>
        <v>0</v>
      </c>
      <c r="P152" s="98" t="s">
        <v>1246</v>
      </c>
      <c r="Q152" s="553">
        <v>0</v>
      </c>
      <c r="R152" s="553">
        <v>0</v>
      </c>
      <c r="S152" s="553">
        <v>0</v>
      </c>
      <c r="T152" s="553">
        <v>0</v>
      </c>
      <c r="U152" s="553">
        <v>0</v>
      </c>
      <c r="V152" s="553">
        <v>0</v>
      </c>
      <c r="W152" s="553">
        <v>0</v>
      </c>
      <c r="X152" s="553">
        <v>0</v>
      </c>
      <c r="Y152" s="553">
        <v>0</v>
      </c>
      <c r="Z152" s="552">
        <v>0</v>
      </c>
      <c r="AA152" s="552">
        <v>0</v>
      </c>
      <c r="AB152" s="552">
        <v>0</v>
      </c>
      <c r="AC152" s="553">
        <v>0</v>
      </c>
      <c r="AD152" s="553">
        <v>0</v>
      </c>
      <c r="AE152" s="553">
        <v>0</v>
      </c>
      <c r="AF152" s="553">
        <v>0</v>
      </c>
      <c r="AG152" s="553">
        <v>0</v>
      </c>
      <c r="AH152" s="553">
        <v>0</v>
      </c>
    </row>
    <row r="153" spans="1:34" ht="14">
      <c r="A153" s="504" t="s">
        <v>1247</v>
      </c>
      <c r="B153" s="522">
        <f t="shared" si="34"/>
        <v>0</v>
      </c>
      <c r="C153" s="523">
        <f t="shared" si="35"/>
        <v>0</v>
      </c>
      <c r="D153" s="522">
        <f t="shared" si="36"/>
        <v>0</v>
      </c>
      <c r="E153" s="523">
        <f t="shared" si="37"/>
        <v>0</v>
      </c>
      <c r="F153" s="522">
        <f t="shared" si="38"/>
        <v>0</v>
      </c>
      <c r="G153" s="523">
        <f t="shared" si="39"/>
        <v>0</v>
      </c>
      <c r="H153" s="524"/>
      <c r="I153" s="524"/>
      <c r="J153" s="522">
        <f t="shared" si="40"/>
        <v>0</v>
      </c>
      <c r="K153" s="523">
        <f t="shared" si="41"/>
        <v>0</v>
      </c>
      <c r="L153" s="522">
        <f t="shared" si="42"/>
        <v>0</v>
      </c>
      <c r="M153" s="502">
        <f t="shared" si="43"/>
        <v>0</v>
      </c>
      <c r="O153" s="508"/>
      <c r="P153" s="554" t="s">
        <v>1247</v>
      </c>
      <c r="Q153" s="553">
        <v>0</v>
      </c>
      <c r="R153" s="553">
        <v>0</v>
      </c>
      <c r="S153" s="553">
        <v>0</v>
      </c>
      <c r="T153" s="553">
        <v>0</v>
      </c>
      <c r="U153" s="553">
        <v>0</v>
      </c>
      <c r="V153" s="553">
        <v>0</v>
      </c>
      <c r="W153" s="553">
        <v>0</v>
      </c>
      <c r="X153" s="553">
        <v>0</v>
      </c>
      <c r="Y153" s="553">
        <v>0</v>
      </c>
      <c r="Z153" s="552">
        <v>0</v>
      </c>
      <c r="AA153" s="552">
        <v>0</v>
      </c>
      <c r="AB153" s="552">
        <v>0</v>
      </c>
      <c r="AC153" s="553">
        <v>0</v>
      </c>
      <c r="AD153" s="553">
        <v>0</v>
      </c>
      <c r="AE153" s="553">
        <v>0</v>
      </c>
      <c r="AF153" s="553">
        <v>0</v>
      </c>
      <c r="AG153" s="553">
        <v>0</v>
      </c>
      <c r="AH153" s="553">
        <v>0</v>
      </c>
    </row>
    <row r="154" spans="1:34" ht="14">
      <c r="A154" s="504" t="s">
        <v>1248</v>
      </c>
      <c r="B154" s="522">
        <f t="shared" si="34"/>
        <v>361850.61377272644</v>
      </c>
      <c r="C154" s="523">
        <f t="shared" si="35"/>
        <v>851487.3393514239</v>
      </c>
      <c r="D154" s="522">
        <f t="shared" si="36"/>
        <v>479605.3897801222</v>
      </c>
      <c r="E154" s="523">
        <f t="shared" si="37"/>
        <v>56054.499537767144</v>
      </c>
      <c r="F154" s="522">
        <f t="shared" si="38"/>
        <v>0</v>
      </c>
      <c r="G154" s="523">
        <f t="shared" si="39"/>
        <v>0</v>
      </c>
      <c r="H154" s="524"/>
      <c r="I154" s="524"/>
      <c r="J154" s="522">
        <f t="shared" si="40"/>
        <v>0</v>
      </c>
      <c r="K154" s="523">
        <f t="shared" si="41"/>
        <v>0</v>
      </c>
      <c r="L154" s="522">
        <f t="shared" si="42"/>
        <v>0</v>
      </c>
      <c r="M154" s="502">
        <f t="shared" si="43"/>
        <v>0</v>
      </c>
      <c r="P154" s="554" t="s">
        <v>1248</v>
      </c>
      <c r="Q154" s="553">
        <v>21535</v>
      </c>
      <c r="R154" s="553">
        <v>50675</v>
      </c>
      <c r="S154" s="553">
        <v>72210</v>
      </c>
      <c r="T154" s="553">
        <v>28543</v>
      </c>
      <c r="U154" s="553">
        <v>3336</v>
      </c>
      <c r="V154" s="553">
        <v>31879</v>
      </c>
      <c r="W154" s="553">
        <v>0</v>
      </c>
      <c r="X154" s="553">
        <v>0</v>
      </c>
      <c r="Y154" s="553">
        <v>0</v>
      </c>
      <c r="Z154" s="552">
        <v>420</v>
      </c>
      <c r="AA154" s="552">
        <v>199</v>
      </c>
      <c r="AB154" s="552">
        <v>619</v>
      </c>
      <c r="AC154" s="553">
        <v>0</v>
      </c>
      <c r="AD154" s="553">
        <v>0</v>
      </c>
      <c r="AE154" s="553">
        <v>0</v>
      </c>
      <c r="AF154" s="553">
        <v>0</v>
      </c>
      <c r="AG154" s="553">
        <v>0</v>
      </c>
      <c r="AH154" s="553">
        <v>0</v>
      </c>
    </row>
    <row r="155" spans="1:34" ht="14">
      <c r="A155" s="504" t="s">
        <v>1249</v>
      </c>
      <c r="B155" s="522">
        <f t="shared" si="34"/>
        <v>0</v>
      </c>
      <c r="C155" s="523">
        <f t="shared" si="35"/>
        <v>0</v>
      </c>
      <c r="D155" s="522">
        <f t="shared" si="36"/>
        <v>0</v>
      </c>
      <c r="E155" s="523">
        <f t="shared" si="37"/>
        <v>0</v>
      </c>
      <c r="F155" s="522">
        <f t="shared" si="38"/>
        <v>0</v>
      </c>
      <c r="G155" s="523">
        <f t="shared" si="39"/>
        <v>0</v>
      </c>
      <c r="H155" s="524"/>
      <c r="I155" s="524"/>
      <c r="J155" s="522">
        <f t="shared" si="40"/>
        <v>0</v>
      </c>
      <c r="K155" s="523">
        <f t="shared" si="41"/>
        <v>0</v>
      </c>
      <c r="L155" s="522">
        <f t="shared" si="42"/>
        <v>0</v>
      </c>
      <c r="M155" s="502">
        <f t="shared" si="43"/>
        <v>0</v>
      </c>
      <c r="P155" s="554" t="s">
        <v>1249</v>
      </c>
      <c r="Q155" s="553">
        <v>0</v>
      </c>
      <c r="R155" s="553">
        <v>0</v>
      </c>
      <c r="S155" s="553">
        <v>0</v>
      </c>
      <c r="T155" s="553">
        <v>0</v>
      </c>
      <c r="U155" s="553">
        <v>0</v>
      </c>
      <c r="V155" s="553">
        <v>0</v>
      </c>
      <c r="W155" s="553">
        <v>0</v>
      </c>
      <c r="X155" s="553">
        <v>0</v>
      </c>
      <c r="Y155" s="553">
        <v>0</v>
      </c>
      <c r="Z155" s="552">
        <v>0</v>
      </c>
      <c r="AA155" s="552">
        <v>0</v>
      </c>
      <c r="AB155" s="552">
        <v>0</v>
      </c>
      <c r="AC155" s="553">
        <v>0</v>
      </c>
      <c r="AD155" s="553">
        <v>0</v>
      </c>
      <c r="AE155" s="553">
        <v>0</v>
      </c>
      <c r="AF155" s="553">
        <v>0</v>
      </c>
      <c r="AG155" s="553">
        <v>0</v>
      </c>
      <c r="AH155" s="553">
        <v>0</v>
      </c>
    </row>
    <row r="156" spans="1:34" ht="14">
      <c r="A156" s="504" t="s">
        <v>1250</v>
      </c>
      <c r="B156" s="522">
        <f t="shared" si="34"/>
        <v>0</v>
      </c>
      <c r="C156" s="523">
        <f t="shared" si="35"/>
        <v>0</v>
      </c>
      <c r="D156" s="522">
        <f t="shared" si="36"/>
        <v>0</v>
      </c>
      <c r="E156" s="523">
        <f t="shared" si="37"/>
        <v>0</v>
      </c>
      <c r="F156" s="522">
        <f t="shared" si="38"/>
        <v>0</v>
      </c>
      <c r="G156" s="523">
        <f t="shared" si="39"/>
        <v>0</v>
      </c>
      <c r="H156" s="524"/>
      <c r="I156" s="524"/>
      <c r="J156" s="522">
        <f t="shared" si="40"/>
        <v>0</v>
      </c>
      <c r="K156" s="523">
        <f t="shared" si="41"/>
        <v>0</v>
      </c>
      <c r="L156" s="522">
        <f t="shared" si="42"/>
        <v>0</v>
      </c>
      <c r="M156" s="502">
        <f t="shared" si="43"/>
        <v>0</v>
      </c>
      <c r="P156" s="554" t="s">
        <v>1250</v>
      </c>
      <c r="Q156" s="553">
        <v>0</v>
      </c>
      <c r="R156" s="553">
        <v>0</v>
      </c>
      <c r="S156" s="553">
        <v>0</v>
      </c>
      <c r="T156" s="553">
        <v>0</v>
      </c>
      <c r="U156" s="553">
        <v>0</v>
      </c>
      <c r="V156" s="553">
        <v>0</v>
      </c>
      <c r="W156" s="553">
        <v>0</v>
      </c>
      <c r="X156" s="553">
        <v>0</v>
      </c>
      <c r="Y156" s="553">
        <v>0</v>
      </c>
      <c r="Z156" s="552">
        <v>0</v>
      </c>
      <c r="AA156" s="552">
        <v>0</v>
      </c>
      <c r="AB156" s="552">
        <v>0</v>
      </c>
      <c r="AC156" s="553">
        <v>0</v>
      </c>
      <c r="AD156" s="553">
        <v>0</v>
      </c>
      <c r="AE156" s="553">
        <v>0</v>
      </c>
      <c r="AF156" s="553">
        <v>0</v>
      </c>
      <c r="AG156" s="553">
        <v>0</v>
      </c>
      <c r="AH156" s="553">
        <v>0</v>
      </c>
    </row>
    <row r="157" spans="1:34" ht="14">
      <c r="A157" s="504" t="s">
        <v>1251</v>
      </c>
      <c r="B157" s="522">
        <f t="shared" si="34"/>
        <v>0</v>
      </c>
      <c r="C157" s="523">
        <f t="shared" si="35"/>
        <v>0</v>
      </c>
      <c r="D157" s="522">
        <f t="shared" si="36"/>
        <v>0</v>
      </c>
      <c r="E157" s="523">
        <f t="shared" si="37"/>
        <v>0</v>
      </c>
      <c r="F157" s="522">
        <f t="shared" si="38"/>
        <v>0</v>
      </c>
      <c r="G157" s="523">
        <f t="shared" si="39"/>
        <v>0</v>
      </c>
      <c r="H157" s="524"/>
      <c r="I157" s="524"/>
      <c r="J157" s="522">
        <f t="shared" si="40"/>
        <v>0</v>
      </c>
      <c r="K157" s="523">
        <f t="shared" si="41"/>
        <v>0</v>
      </c>
      <c r="L157" s="522">
        <f t="shared" si="42"/>
        <v>0</v>
      </c>
      <c r="M157" s="502">
        <f t="shared" si="43"/>
        <v>0</v>
      </c>
      <c r="O157" s="508"/>
      <c r="P157" s="554" t="s">
        <v>1251</v>
      </c>
      <c r="Q157" s="553">
        <v>1466247</v>
      </c>
      <c r="R157" s="553">
        <v>0</v>
      </c>
      <c r="S157" s="553">
        <v>1466247</v>
      </c>
      <c r="T157" s="553">
        <v>3587006</v>
      </c>
      <c r="U157" s="553">
        <v>0</v>
      </c>
      <c r="V157" s="553">
        <v>3587006</v>
      </c>
      <c r="W157" s="553">
        <v>127620</v>
      </c>
      <c r="X157" s="553">
        <v>0</v>
      </c>
      <c r="Y157" s="553">
        <v>127620</v>
      </c>
      <c r="Z157" s="552">
        <v>4286968</v>
      </c>
      <c r="AA157" s="552">
        <v>0</v>
      </c>
      <c r="AB157" s="552">
        <v>4286968</v>
      </c>
      <c r="AC157" s="553">
        <v>20716</v>
      </c>
      <c r="AD157" s="553">
        <v>0</v>
      </c>
      <c r="AE157" s="553">
        <v>20716</v>
      </c>
      <c r="AF157" s="553">
        <v>980384</v>
      </c>
      <c r="AG157" s="553">
        <v>0</v>
      </c>
      <c r="AH157" s="553">
        <v>980384</v>
      </c>
    </row>
    <row r="158" spans="1:34" ht="14">
      <c r="A158" s="504" t="s">
        <v>1252</v>
      </c>
      <c r="B158" s="522">
        <f t="shared" si="34"/>
        <v>0</v>
      </c>
      <c r="C158" s="523">
        <f t="shared" si="35"/>
        <v>0</v>
      </c>
      <c r="D158" s="522">
        <f t="shared" si="36"/>
        <v>0</v>
      </c>
      <c r="E158" s="523">
        <f t="shared" si="37"/>
        <v>0</v>
      </c>
      <c r="F158" s="522">
        <f t="shared" si="38"/>
        <v>0</v>
      </c>
      <c r="G158" s="523">
        <f t="shared" si="39"/>
        <v>0</v>
      </c>
      <c r="H158" s="524"/>
      <c r="I158" s="524"/>
      <c r="J158" s="522">
        <f t="shared" si="40"/>
        <v>0</v>
      </c>
      <c r="K158" s="523">
        <f t="shared" si="41"/>
        <v>0</v>
      </c>
      <c r="L158" s="522">
        <f t="shared" si="42"/>
        <v>0</v>
      </c>
      <c r="M158" s="502">
        <f t="shared" si="43"/>
        <v>0</v>
      </c>
      <c r="P158" s="554" t="s">
        <v>1252</v>
      </c>
      <c r="Q158" s="553">
        <v>0</v>
      </c>
      <c r="R158" s="553">
        <v>0</v>
      </c>
      <c r="S158" s="553">
        <v>0</v>
      </c>
      <c r="T158" s="553">
        <v>0</v>
      </c>
      <c r="U158" s="553">
        <v>0</v>
      </c>
      <c r="V158" s="553">
        <v>0</v>
      </c>
      <c r="W158" s="553">
        <v>0</v>
      </c>
      <c r="X158" s="553">
        <v>0</v>
      </c>
      <c r="Y158" s="553">
        <v>0</v>
      </c>
      <c r="Z158" s="552">
        <v>0</v>
      </c>
      <c r="AA158" s="552">
        <v>0</v>
      </c>
      <c r="AB158" s="552">
        <v>0</v>
      </c>
      <c r="AC158" s="553">
        <v>0</v>
      </c>
      <c r="AD158" s="553">
        <v>0</v>
      </c>
      <c r="AE158" s="553">
        <v>0</v>
      </c>
      <c r="AF158" s="553">
        <v>0</v>
      </c>
      <c r="AG158" s="553">
        <v>0</v>
      </c>
      <c r="AH158" s="553">
        <v>0</v>
      </c>
    </row>
    <row r="159" spans="1:34" ht="14">
      <c r="A159" s="98" t="s">
        <v>1253</v>
      </c>
      <c r="B159" s="522">
        <f t="shared" si="34"/>
        <v>0</v>
      </c>
      <c r="C159" s="523">
        <f t="shared" si="35"/>
        <v>0</v>
      </c>
      <c r="D159" s="522">
        <f t="shared" si="36"/>
        <v>0</v>
      </c>
      <c r="E159" s="523">
        <f t="shared" si="37"/>
        <v>0</v>
      </c>
      <c r="F159" s="522">
        <f t="shared" si="38"/>
        <v>0</v>
      </c>
      <c r="G159" s="523">
        <f t="shared" si="39"/>
        <v>0</v>
      </c>
      <c r="H159" s="524"/>
      <c r="I159" s="524"/>
      <c r="J159" s="522">
        <f t="shared" si="40"/>
        <v>0</v>
      </c>
      <c r="K159" s="523">
        <f t="shared" si="41"/>
        <v>0</v>
      </c>
      <c r="L159" s="522">
        <f t="shared" si="42"/>
        <v>0</v>
      </c>
      <c r="M159" s="502">
        <f t="shared" si="43"/>
        <v>0</v>
      </c>
      <c r="P159" s="98" t="s">
        <v>1253</v>
      </c>
      <c r="Q159" s="553">
        <v>0</v>
      </c>
      <c r="R159" s="553">
        <v>1621</v>
      </c>
      <c r="S159" s="553">
        <v>1621</v>
      </c>
      <c r="T159" s="553">
        <v>904</v>
      </c>
      <c r="U159" s="553">
        <v>104761</v>
      </c>
      <c r="V159" s="553">
        <v>105665</v>
      </c>
      <c r="W159" s="553">
        <v>0</v>
      </c>
      <c r="X159" s="553">
        <v>485</v>
      </c>
      <c r="Y159" s="553">
        <v>485</v>
      </c>
      <c r="Z159" s="552">
        <v>0</v>
      </c>
      <c r="AA159" s="552">
        <v>31686</v>
      </c>
      <c r="AB159" s="552">
        <v>31686</v>
      </c>
      <c r="AC159" s="553">
        <v>0</v>
      </c>
      <c r="AD159" s="553">
        <v>0</v>
      </c>
      <c r="AE159" s="553">
        <v>0</v>
      </c>
      <c r="AF159" s="553">
        <v>0</v>
      </c>
      <c r="AG159" s="553">
        <v>883</v>
      </c>
      <c r="AH159" s="553">
        <v>883</v>
      </c>
    </row>
    <row r="160" spans="1:34" ht="14">
      <c r="A160" s="504" t="s">
        <v>1254</v>
      </c>
      <c r="B160" s="522">
        <f t="shared" si="34"/>
        <v>0</v>
      </c>
      <c r="C160" s="523">
        <f t="shared" si="35"/>
        <v>0</v>
      </c>
      <c r="D160" s="522">
        <f t="shared" si="36"/>
        <v>0</v>
      </c>
      <c r="E160" s="523">
        <f t="shared" si="37"/>
        <v>0</v>
      </c>
      <c r="F160" s="522">
        <f t="shared" si="38"/>
        <v>1674804.0598009373</v>
      </c>
      <c r="G160" s="523">
        <f t="shared" si="39"/>
        <v>0</v>
      </c>
      <c r="H160" s="524"/>
      <c r="I160" s="524"/>
      <c r="J160" s="522">
        <f t="shared" si="40"/>
        <v>0</v>
      </c>
      <c r="K160" s="523">
        <f t="shared" si="41"/>
        <v>0</v>
      </c>
      <c r="L160" s="522">
        <f t="shared" si="42"/>
        <v>0</v>
      </c>
      <c r="M160" s="502">
        <f t="shared" si="43"/>
        <v>0</v>
      </c>
      <c r="O160" s="508"/>
      <c r="P160" s="554" t="s">
        <v>1254</v>
      </c>
      <c r="Q160" s="553">
        <v>0</v>
      </c>
      <c r="R160" s="553">
        <v>0</v>
      </c>
      <c r="S160" s="553">
        <v>0</v>
      </c>
      <c r="T160" s="553">
        <v>0</v>
      </c>
      <c r="U160" s="553">
        <v>0</v>
      </c>
      <c r="V160" s="553">
        <v>0</v>
      </c>
      <c r="W160" s="553">
        <v>85650</v>
      </c>
      <c r="X160" s="553">
        <v>0</v>
      </c>
      <c r="Y160" s="553">
        <v>85650</v>
      </c>
      <c r="Z160" s="552">
        <v>0</v>
      </c>
      <c r="AA160" s="552">
        <v>0</v>
      </c>
      <c r="AB160" s="552">
        <v>0</v>
      </c>
      <c r="AC160" s="553">
        <v>0</v>
      </c>
      <c r="AD160" s="553">
        <v>0</v>
      </c>
      <c r="AE160" s="553">
        <v>0</v>
      </c>
      <c r="AF160" s="553">
        <v>0</v>
      </c>
      <c r="AG160" s="553">
        <v>0</v>
      </c>
      <c r="AH160" s="553">
        <v>0</v>
      </c>
    </row>
    <row r="161" spans="1:36" ht="14">
      <c r="A161" s="504" t="s">
        <v>1255</v>
      </c>
      <c r="B161" s="522">
        <f t="shared" si="34"/>
        <v>0</v>
      </c>
      <c r="C161" s="523">
        <f t="shared" si="35"/>
        <v>0</v>
      </c>
      <c r="D161" s="522">
        <f t="shared" si="36"/>
        <v>0</v>
      </c>
      <c r="E161" s="523">
        <f t="shared" si="37"/>
        <v>0</v>
      </c>
      <c r="F161" s="522">
        <f t="shared" si="38"/>
        <v>0</v>
      </c>
      <c r="G161" s="523">
        <f t="shared" si="39"/>
        <v>0</v>
      </c>
      <c r="H161" s="524"/>
      <c r="I161" s="524"/>
      <c r="J161" s="522">
        <f t="shared" si="40"/>
        <v>0</v>
      </c>
      <c r="K161" s="523">
        <f t="shared" si="41"/>
        <v>0</v>
      </c>
      <c r="L161" s="522">
        <f t="shared" si="42"/>
        <v>0</v>
      </c>
      <c r="M161" s="502">
        <f t="shared" si="43"/>
        <v>0</v>
      </c>
      <c r="P161" s="554" t="s">
        <v>1255</v>
      </c>
      <c r="Q161" s="553">
        <v>61365</v>
      </c>
      <c r="R161" s="553">
        <v>0</v>
      </c>
      <c r="S161" s="553">
        <v>61365</v>
      </c>
      <c r="T161" s="553">
        <v>331524</v>
      </c>
      <c r="U161" s="553">
        <v>13</v>
      </c>
      <c r="V161" s="553">
        <v>331537</v>
      </c>
      <c r="W161" s="553">
        <v>0</v>
      </c>
      <c r="X161" s="553">
        <v>0</v>
      </c>
      <c r="Y161" s="553">
        <v>0</v>
      </c>
      <c r="Z161" s="552">
        <v>86809</v>
      </c>
      <c r="AA161" s="552">
        <v>18</v>
      </c>
      <c r="AB161" s="552">
        <v>86827</v>
      </c>
      <c r="AC161" s="553">
        <v>3793</v>
      </c>
      <c r="AD161" s="553">
        <v>0</v>
      </c>
      <c r="AE161" s="553">
        <v>3793</v>
      </c>
      <c r="AF161" s="553">
        <v>0</v>
      </c>
      <c r="AG161" s="553">
        <v>0</v>
      </c>
      <c r="AH161" s="553">
        <v>0</v>
      </c>
    </row>
    <row r="162" spans="1:36" ht="14">
      <c r="A162" s="516" t="s">
        <v>1256</v>
      </c>
      <c r="B162" s="522">
        <f t="shared" si="34"/>
        <v>754741.86238260497</v>
      </c>
      <c r="C162" s="523">
        <f t="shared" si="35"/>
        <v>0</v>
      </c>
      <c r="D162" s="522">
        <f t="shared" si="36"/>
        <v>0</v>
      </c>
      <c r="E162" s="523">
        <f t="shared" si="37"/>
        <v>0</v>
      </c>
      <c r="F162" s="522">
        <f t="shared" si="38"/>
        <v>0</v>
      </c>
      <c r="G162" s="523">
        <f t="shared" si="39"/>
        <v>0</v>
      </c>
      <c r="H162" s="524"/>
      <c r="I162" s="524"/>
      <c r="J162" s="522">
        <f t="shared" si="40"/>
        <v>0</v>
      </c>
      <c r="K162" s="523">
        <f t="shared" si="41"/>
        <v>0</v>
      </c>
      <c r="L162" s="522">
        <f t="shared" si="42"/>
        <v>0</v>
      </c>
      <c r="M162" s="502">
        <f t="shared" si="43"/>
        <v>0</v>
      </c>
      <c r="P162" s="554" t="s">
        <v>1256</v>
      </c>
      <c r="Q162" s="553">
        <v>53224</v>
      </c>
      <c r="R162" s="553">
        <v>0</v>
      </c>
      <c r="S162" s="553">
        <v>53224</v>
      </c>
      <c r="T162" s="553">
        <v>0</v>
      </c>
      <c r="U162" s="553">
        <v>0</v>
      </c>
      <c r="V162" s="553">
        <v>0</v>
      </c>
      <c r="W162" s="553">
        <v>0</v>
      </c>
      <c r="X162" s="553">
        <v>0</v>
      </c>
      <c r="Y162" s="553">
        <v>0</v>
      </c>
      <c r="Z162" s="552">
        <v>0</v>
      </c>
      <c r="AA162" s="552">
        <v>0</v>
      </c>
      <c r="AB162" s="552">
        <v>0</v>
      </c>
      <c r="AC162" s="553">
        <v>0</v>
      </c>
      <c r="AD162" s="553">
        <v>0</v>
      </c>
      <c r="AE162" s="553">
        <v>0</v>
      </c>
      <c r="AF162" s="553">
        <v>0</v>
      </c>
      <c r="AG162" s="553">
        <v>0</v>
      </c>
      <c r="AH162" s="553">
        <v>0</v>
      </c>
    </row>
    <row r="163" spans="1:36" ht="14">
      <c r="A163" s="509"/>
      <c r="B163" s="525"/>
      <c r="C163" s="525"/>
      <c r="D163" s="525"/>
      <c r="E163" s="525"/>
      <c r="F163" s="525"/>
      <c r="G163" s="525"/>
      <c r="H163" s="524"/>
      <c r="I163" s="524"/>
      <c r="J163" s="525"/>
      <c r="K163" s="525"/>
      <c r="L163" s="525"/>
      <c r="M163" s="510"/>
      <c r="P163" s="555" t="s">
        <v>187</v>
      </c>
      <c r="Q163" s="556">
        <v>1994685</v>
      </c>
      <c r="R163" s="556">
        <v>53655</v>
      </c>
      <c r="S163" s="556">
        <v>2048340</v>
      </c>
      <c r="T163" s="556">
        <v>4331710</v>
      </c>
      <c r="U163" s="556">
        <v>186622</v>
      </c>
      <c r="V163" s="556">
        <v>4518332</v>
      </c>
      <c r="W163" s="556">
        <v>495615</v>
      </c>
      <c r="X163" s="556">
        <v>49829</v>
      </c>
      <c r="Y163" s="556">
        <v>545444</v>
      </c>
      <c r="Z163" s="556">
        <v>4945295</v>
      </c>
      <c r="AA163" s="556">
        <v>38981</v>
      </c>
      <c r="AB163" s="556">
        <v>4984276</v>
      </c>
      <c r="AC163" s="556">
        <v>79748</v>
      </c>
      <c r="AD163" s="556">
        <v>140</v>
      </c>
      <c r="AE163" s="556">
        <v>79888</v>
      </c>
      <c r="AF163" s="556">
        <v>1093531</v>
      </c>
      <c r="AG163" s="556">
        <v>883</v>
      </c>
      <c r="AH163" s="556">
        <v>1094414</v>
      </c>
      <c r="AI163" s="96">
        <f>S163+V163+Y163+AB163+AE163+AH163</f>
        <v>13270694</v>
      </c>
      <c r="AJ163" s="508"/>
    </row>
    <row r="164" spans="1:36">
      <c r="T164" s="508"/>
      <c r="V164" s="508"/>
    </row>
    <row r="165" spans="1:36" ht="14.5" thickBot="1">
      <c r="A165" s="512"/>
      <c r="B165" s="512"/>
      <c r="C165" s="44"/>
      <c r="D165" s="44"/>
      <c r="E165" s="44"/>
      <c r="I165" s="44"/>
      <c r="J165" s="44"/>
    </row>
    <row r="166" spans="1:36" ht="13" thickBot="1">
      <c r="A166" s="833" t="s">
        <v>1326</v>
      </c>
      <c r="B166" s="807"/>
      <c r="C166" s="807"/>
      <c r="D166" s="807"/>
      <c r="E166" s="807"/>
      <c r="F166" s="807"/>
      <c r="G166" s="807"/>
      <c r="H166" s="807"/>
      <c r="I166" s="807"/>
      <c r="J166" s="807"/>
      <c r="K166" s="807"/>
      <c r="L166" s="807"/>
      <c r="M166" s="808"/>
      <c r="N166" s="95"/>
      <c r="P166" s="800" t="s">
        <v>1327</v>
      </c>
      <c r="Q166" s="811" t="s">
        <v>1326</v>
      </c>
      <c r="R166" s="812"/>
      <c r="S166" s="812"/>
      <c r="T166" s="812"/>
      <c r="U166" s="812"/>
      <c r="V166" s="812"/>
      <c r="W166" s="812"/>
      <c r="X166" s="812"/>
      <c r="Y166" s="812"/>
      <c r="Z166" s="812"/>
      <c r="AA166" s="812"/>
      <c r="AB166" s="812"/>
      <c r="AC166" s="812"/>
      <c r="AD166" s="812"/>
      <c r="AE166" s="814"/>
      <c r="AF166" s="814"/>
      <c r="AG166" s="814"/>
      <c r="AH166" s="815"/>
    </row>
    <row r="167" spans="1:36" ht="42" customHeight="1" thickBot="1">
      <c r="A167" s="809" t="s">
        <v>1270</v>
      </c>
      <c r="B167" s="804" t="s">
        <v>1275</v>
      </c>
      <c r="C167" s="802" t="s">
        <v>1276</v>
      </c>
      <c r="D167" s="804" t="s">
        <v>1328</v>
      </c>
      <c r="E167" s="802" t="s">
        <v>1329</v>
      </c>
      <c r="F167" s="804" t="s">
        <v>1330</v>
      </c>
      <c r="G167" s="802" t="s">
        <v>1331</v>
      </c>
      <c r="H167" s="804" t="s">
        <v>1332</v>
      </c>
      <c r="I167" s="802" t="s">
        <v>1333</v>
      </c>
      <c r="J167" s="804" t="s">
        <v>1334</v>
      </c>
      <c r="K167" s="802" t="s">
        <v>1335</v>
      </c>
      <c r="L167" s="804" t="s">
        <v>1334</v>
      </c>
      <c r="M167" s="802" t="s">
        <v>1335</v>
      </c>
      <c r="P167" s="826" t="s">
        <v>1274</v>
      </c>
      <c r="Q167" s="811" t="s">
        <v>223</v>
      </c>
      <c r="R167" s="812"/>
      <c r="S167" s="813"/>
      <c r="T167" s="811" t="s">
        <v>203</v>
      </c>
      <c r="U167" s="812"/>
      <c r="V167" s="813"/>
      <c r="W167" s="811" t="s">
        <v>219</v>
      </c>
      <c r="X167" s="812"/>
      <c r="Y167" s="813"/>
      <c r="Z167" s="811" t="s">
        <v>220</v>
      </c>
      <c r="AA167" s="812"/>
      <c r="AB167" s="813"/>
      <c r="AC167" s="816" t="s">
        <v>222</v>
      </c>
      <c r="AD167" s="817"/>
      <c r="AE167" s="818"/>
      <c r="AF167" s="812" t="s">
        <v>221</v>
      </c>
      <c r="AG167" s="812"/>
      <c r="AH167" s="813"/>
    </row>
    <row r="168" spans="1:36" ht="13" thickBot="1">
      <c r="A168" s="810"/>
      <c r="B168" s="805"/>
      <c r="C168" s="803"/>
      <c r="D168" s="805"/>
      <c r="E168" s="803"/>
      <c r="F168" s="805" t="s">
        <v>1271</v>
      </c>
      <c r="G168" s="803" t="s">
        <v>1271</v>
      </c>
      <c r="H168" s="805" t="s">
        <v>1271</v>
      </c>
      <c r="I168" s="803" t="s">
        <v>1271</v>
      </c>
      <c r="J168" s="805" t="s">
        <v>1271</v>
      </c>
      <c r="K168" s="803" t="s">
        <v>1271</v>
      </c>
      <c r="L168" s="805" t="s">
        <v>1271</v>
      </c>
      <c r="M168" s="803" t="s">
        <v>1271</v>
      </c>
      <c r="P168" s="801">
        <v>7160324</v>
      </c>
      <c r="Q168" s="153" t="s">
        <v>1271</v>
      </c>
      <c r="R168" s="47" t="s">
        <v>1272</v>
      </c>
      <c r="S168" s="47" t="s">
        <v>1273</v>
      </c>
      <c r="T168" s="153" t="s">
        <v>1271</v>
      </c>
      <c r="U168" s="47" t="s">
        <v>1272</v>
      </c>
      <c r="V168" s="47" t="s">
        <v>1273</v>
      </c>
      <c r="W168" s="153" t="s">
        <v>1271</v>
      </c>
      <c r="X168" s="47" t="s">
        <v>1272</v>
      </c>
      <c r="Y168" s="47" t="s">
        <v>1273</v>
      </c>
      <c r="Z168" s="153" t="s">
        <v>1271</v>
      </c>
      <c r="AA168" s="47" t="s">
        <v>1272</v>
      </c>
      <c r="AB168" s="47" t="s">
        <v>1273</v>
      </c>
      <c r="AC168" s="549" t="s">
        <v>1271</v>
      </c>
      <c r="AD168" s="550" t="s">
        <v>1272</v>
      </c>
      <c r="AE168" s="550" t="s">
        <v>1273</v>
      </c>
      <c r="AF168" s="511" t="s">
        <v>1271</v>
      </c>
      <c r="AG168" s="47" t="s">
        <v>1272</v>
      </c>
      <c r="AH168" s="47" t="s">
        <v>1273</v>
      </c>
    </row>
    <row r="169" spans="1:36" ht="14.5">
      <c r="A169" s="97" t="s">
        <v>2238</v>
      </c>
      <c r="B169" s="522">
        <f t="shared" ref="B169:B187" si="44">Q169*$F36</f>
        <v>0</v>
      </c>
      <c r="C169" s="523">
        <f t="shared" ref="C169:C187" si="45">R169*$F36</f>
        <v>0</v>
      </c>
      <c r="D169" s="522">
        <f t="shared" ref="D169:D187" si="46">T169*$F36</f>
        <v>0</v>
      </c>
      <c r="E169" s="523">
        <f t="shared" ref="E169:E187" si="47">U169*$F36</f>
        <v>0</v>
      </c>
      <c r="F169" s="522">
        <f t="shared" ref="F169:F187" si="48">W169*$F36</f>
        <v>0</v>
      </c>
      <c r="G169" s="523">
        <f t="shared" ref="G169:G187" si="49">X169*$F36</f>
        <v>0</v>
      </c>
      <c r="H169" s="522">
        <f t="shared" ref="H169:H187" si="50">Z169*$F36</f>
        <v>0</v>
      </c>
      <c r="I169" s="523">
        <f t="shared" ref="I169:I187" si="51">AA169*$F36</f>
        <v>0</v>
      </c>
      <c r="J169" s="524"/>
      <c r="K169" s="524"/>
      <c r="L169" s="522">
        <f t="shared" ref="L169:L187" si="52">AF169*$F36</f>
        <v>0</v>
      </c>
      <c r="M169" s="502">
        <f t="shared" ref="M169:M187" si="53">AG169*$F36</f>
        <v>0</v>
      </c>
      <c r="P169" s="98" t="s">
        <v>2238</v>
      </c>
      <c r="Q169" s="669">
        <v>0</v>
      </c>
      <c r="R169" s="670">
        <v>0</v>
      </c>
      <c r="S169" s="671">
        <v>0</v>
      </c>
      <c r="T169" s="669">
        <v>0</v>
      </c>
      <c r="U169" s="670">
        <v>0</v>
      </c>
      <c r="V169" s="671">
        <v>0</v>
      </c>
      <c r="W169" s="669">
        <v>0</v>
      </c>
      <c r="X169" s="670">
        <v>0</v>
      </c>
      <c r="Y169" s="671">
        <v>0</v>
      </c>
      <c r="Z169" s="669">
        <v>0</v>
      </c>
      <c r="AA169" s="670">
        <v>0</v>
      </c>
      <c r="AB169" s="671">
        <v>0</v>
      </c>
      <c r="AC169" s="669">
        <v>3316</v>
      </c>
      <c r="AD169" s="670">
        <v>0</v>
      </c>
      <c r="AE169" s="671">
        <v>3316</v>
      </c>
      <c r="AF169" s="669">
        <v>0</v>
      </c>
      <c r="AG169" s="670">
        <v>0</v>
      </c>
      <c r="AH169" s="671">
        <v>0</v>
      </c>
    </row>
    <row r="170" spans="1:36" ht="14.5">
      <c r="A170" s="504" t="s">
        <v>1239</v>
      </c>
      <c r="B170" s="522">
        <f t="shared" si="44"/>
        <v>0</v>
      </c>
      <c r="C170" s="523">
        <f t="shared" si="45"/>
        <v>0</v>
      </c>
      <c r="D170" s="522">
        <f t="shared" si="46"/>
        <v>0</v>
      </c>
      <c r="E170" s="523">
        <f t="shared" si="47"/>
        <v>0</v>
      </c>
      <c r="F170" s="522">
        <f t="shared" si="48"/>
        <v>0</v>
      </c>
      <c r="G170" s="523">
        <f t="shared" si="49"/>
        <v>0</v>
      </c>
      <c r="H170" s="522">
        <f t="shared" si="50"/>
        <v>0</v>
      </c>
      <c r="I170" s="523">
        <f t="shared" si="51"/>
        <v>0</v>
      </c>
      <c r="J170" s="524"/>
      <c r="K170" s="524"/>
      <c r="L170" s="522">
        <f t="shared" si="52"/>
        <v>0</v>
      </c>
      <c r="M170" s="502">
        <f t="shared" si="53"/>
        <v>0</v>
      </c>
      <c r="P170" s="554" t="s">
        <v>1239</v>
      </c>
      <c r="Q170" s="672">
        <v>0</v>
      </c>
      <c r="R170" s="673">
        <v>0</v>
      </c>
      <c r="S170" s="674">
        <v>0</v>
      </c>
      <c r="T170" s="672">
        <v>0</v>
      </c>
      <c r="U170" s="673">
        <v>0</v>
      </c>
      <c r="V170" s="674">
        <v>0</v>
      </c>
      <c r="W170" s="672">
        <v>0</v>
      </c>
      <c r="X170" s="673">
        <v>0</v>
      </c>
      <c r="Y170" s="674">
        <v>0</v>
      </c>
      <c r="Z170" s="672">
        <v>0</v>
      </c>
      <c r="AA170" s="673">
        <v>0</v>
      </c>
      <c r="AB170" s="674">
        <v>0</v>
      </c>
      <c r="AC170" s="672">
        <v>0</v>
      </c>
      <c r="AD170" s="673">
        <v>0</v>
      </c>
      <c r="AE170" s="674">
        <v>0</v>
      </c>
      <c r="AF170" s="672">
        <v>0</v>
      </c>
      <c r="AG170" s="673">
        <v>0</v>
      </c>
      <c r="AH170" s="674">
        <v>0</v>
      </c>
    </row>
    <row r="171" spans="1:36" ht="14.5">
      <c r="A171" s="504" t="s">
        <v>1240</v>
      </c>
      <c r="B171" s="522">
        <f t="shared" si="44"/>
        <v>0</v>
      </c>
      <c r="C171" s="523">
        <f t="shared" si="45"/>
        <v>0</v>
      </c>
      <c r="D171" s="522">
        <f t="shared" si="46"/>
        <v>0</v>
      </c>
      <c r="E171" s="523">
        <f t="shared" si="47"/>
        <v>0</v>
      </c>
      <c r="F171" s="522">
        <f t="shared" si="48"/>
        <v>0</v>
      </c>
      <c r="G171" s="523">
        <f t="shared" si="49"/>
        <v>0</v>
      </c>
      <c r="H171" s="522">
        <f t="shared" si="50"/>
        <v>0</v>
      </c>
      <c r="I171" s="523">
        <f t="shared" si="51"/>
        <v>0</v>
      </c>
      <c r="J171" s="524"/>
      <c r="K171" s="524"/>
      <c r="L171" s="522">
        <f t="shared" si="52"/>
        <v>0</v>
      </c>
      <c r="M171" s="502">
        <f t="shared" si="53"/>
        <v>0</v>
      </c>
      <c r="P171" s="554" t="s">
        <v>1240</v>
      </c>
      <c r="Q171" s="672">
        <v>0</v>
      </c>
      <c r="R171" s="673">
        <v>0</v>
      </c>
      <c r="S171" s="674">
        <v>0</v>
      </c>
      <c r="T171" s="672">
        <v>0</v>
      </c>
      <c r="U171" s="673">
        <v>0</v>
      </c>
      <c r="V171" s="674">
        <v>0</v>
      </c>
      <c r="W171" s="672">
        <v>0</v>
      </c>
      <c r="X171" s="673">
        <v>0</v>
      </c>
      <c r="Y171" s="674">
        <v>0</v>
      </c>
      <c r="Z171" s="672">
        <v>0</v>
      </c>
      <c r="AA171" s="673">
        <v>0</v>
      </c>
      <c r="AB171" s="674">
        <v>0</v>
      </c>
      <c r="AC171" s="672">
        <v>0</v>
      </c>
      <c r="AD171" s="673">
        <v>0</v>
      </c>
      <c r="AE171" s="674">
        <v>0</v>
      </c>
      <c r="AF171" s="672">
        <v>0</v>
      </c>
      <c r="AG171" s="673">
        <v>0</v>
      </c>
      <c r="AH171" s="674">
        <v>0</v>
      </c>
    </row>
    <row r="172" spans="1:36" ht="14.5">
      <c r="A172" s="504" t="s">
        <v>1241</v>
      </c>
      <c r="B172" s="522">
        <f t="shared" si="44"/>
        <v>0</v>
      </c>
      <c r="C172" s="523">
        <f t="shared" si="45"/>
        <v>0</v>
      </c>
      <c r="D172" s="522">
        <f t="shared" si="46"/>
        <v>0</v>
      </c>
      <c r="E172" s="523">
        <f t="shared" si="47"/>
        <v>0</v>
      </c>
      <c r="F172" s="522">
        <f t="shared" si="48"/>
        <v>0</v>
      </c>
      <c r="G172" s="523">
        <f t="shared" si="49"/>
        <v>0</v>
      </c>
      <c r="H172" s="522">
        <f t="shared" si="50"/>
        <v>0</v>
      </c>
      <c r="I172" s="523">
        <f t="shared" si="51"/>
        <v>0</v>
      </c>
      <c r="J172" s="524"/>
      <c r="K172" s="524"/>
      <c r="L172" s="522">
        <f t="shared" si="52"/>
        <v>0</v>
      </c>
      <c r="M172" s="502">
        <f t="shared" si="53"/>
        <v>0</v>
      </c>
      <c r="P172" s="554" t="s">
        <v>1241</v>
      </c>
      <c r="Q172" s="672">
        <v>0</v>
      </c>
      <c r="R172" s="673">
        <v>0</v>
      </c>
      <c r="S172" s="674">
        <v>0</v>
      </c>
      <c r="T172" s="672">
        <v>0</v>
      </c>
      <c r="U172" s="673">
        <v>0</v>
      </c>
      <c r="V172" s="674">
        <v>0</v>
      </c>
      <c r="W172" s="672">
        <v>0</v>
      </c>
      <c r="X172" s="673">
        <v>0</v>
      </c>
      <c r="Y172" s="674">
        <v>0</v>
      </c>
      <c r="Z172" s="672">
        <v>0</v>
      </c>
      <c r="AA172" s="673">
        <v>0</v>
      </c>
      <c r="AB172" s="674">
        <v>0</v>
      </c>
      <c r="AC172" s="672">
        <v>0</v>
      </c>
      <c r="AD172" s="673">
        <v>0</v>
      </c>
      <c r="AE172" s="674">
        <v>0</v>
      </c>
      <c r="AF172" s="672">
        <v>0</v>
      </c>
      <c r="AG172" s="673">
        <v>0</v>
      </c>
      <c r="AH172" s="674">
        <v>0</v>
      </c>
    </row>
    <row r="173" spans="1:36" ht="14.5">
      <c r="A173" s="504" t="s">
        <v>1242</v>
      </c>
      <c r="B173" s="522">
        <f t="shared" si="44"/>
        <v>0</v>
      </c>
      <c r="C173" s="523">
        <f t="shared" si="45"/>
        <v>0</v>
      </c>
      <c r="D173" s="522">
        <f t="shared" si="46"/>
        <v>0</v>
      </c>
      <c r="E173" s="523">
        <f t="shared" si="47"/>
        <v>9.8249554506295578</v>
      </c>
      <c r="F173" s="522">
        <f t="shared" si="48"/>
        <v>0</v>
      </c>
      <c r="G173" s="523">
        <f t="shared" si="49"/>
        <v>0</v>
      </c>
      <c r="H173" s="522">
        <f t="shared" si="50"/>
        <v>0</v>
      </c>
      <c r="I173" s="523">
        <f t="shared" si="51"/>
        <v>0</v>
      </c>
      <c r="J173" s="524"/>
      <c r="K173" s="524"/>
      <c r="L173" s="522">
        <f t="shared" si="52"/>
        <v>0</v>
      </c>
      <c r="M173" s="502">
        <f t="shared" si="53"/>
        <v>0</v>
      </c>
      <c r="P173" s="554" t="s">
        <v>1242</v>
      </c>
      <c r="Q173" s="672">
        <v>0</v>
      </c>
      <c r="R173" s="673">
        <v>0</v>
      </c>
      <c r="S173" s="674">
        <v>0</v>
      </c>
      <c r="T173" s="672">
        <v>0</v>
      </c>
      <c r="U173" s="673">
        <v>1</v>
      </c>
      <c r="V173" s="674">
        <v>1</v>
      </c>
      <c r="W173" s="672">
        <v>0</v>
      </c>
      <c r="X173" s="673">
        <v>0</v>
      </c>
      <c r="Y173" s="674">
        <v>0</v>
      </c>
      <c r="Z173" s="672">
        <v>0</v>
      </c>
      <c r="AA173" s="673">
        <v>0</v>
      </c>
      <c r="AB173" s="674">
        <v>0</v>
      </c>
      <c r="AC173" s="672">
        <v>0</v>
      </c>
      <c r="AD173" s="673">
        <v>0</v>
      </c>
      <c r="AE173" s="674">
        <v>0</v>
      </c>
      <c r="AF173" s="672">
        <v>0</v>
      </c>
      <c r="AG173" s="673">
        <v>0</v>
      </c>
      <c r="AH173" s="674">
        <v>0</v>
      </c>
    </row>
    <row r="174" spans="1:36" ht="14.5">
      <c r="A174" s="504" t="s">
        <v>1243</v>
      </c>
      <c r="B174" s="522">
        <f t="shared" si="44"/>
        <v>0</v>
      </c>
      <c r="C174" s="523">
        <f t="shared" si="45"/>
        <v>0</v>
      </c>
      <c r="D174" s="522">
        <f t="shared" si="46"/>
        <v>0</v>
      </c>
      <c r="E174" s="523">
        <f t="shared" si="47"/>
        <v>0</v>
      </c>
      <c r="F174" s="522">
        <f t="shared" si="48"/>
        <v>0</v>
      </c>
      <c r="G174" s="523">
        <f t="shared" si="49"/>
        <v>0</v>
      </c>
      <c r="H174" s="522">
        <f t="shared" si="50"/>
        <v>0</v>
      </c>
      <c r="I174" s="523">
        <f t="shared" si="51"/>
        <v>0</v>
      </c>
      <c r="J174" s="524"/>
      <c r="K174" s="524"/>
      <c r="L174" s="522">
        <f t="shared" si="52"/>
        <v>0</v>
      </c>
      <c r="M174" s="502">
        <f t="shared" si="53"/>
        <v>0</v>
      </c>
      <c r="P174" s="554" t="s">
        <v>1243</v>
      </c>
      <c r="Q174" s="672">
        <v>0</v>
      </c>
      <c r="R174" s="673">
        <v>0</v>
      </c>
      <c r="S174" s="674">
        <v>0</v>
      </c>
      <c r="T174" s="672">
        <v>0</v>
      </c>
      <c r="U174" s="673">
        <v>0</v>
      </c>
      <c r="V174" s="674">
        <v>0</v>
      </c>
      <c r="W174" s="672">
        <v>0</v>
      </c>
      <c r="X174" s="673">
        <v>0</v>
      </c>
      <c r="Y174" s="674">
        <v>0</v>
      </c>
      <c r="Z174" s="672">
        <v>0</v>
      </c>
      <c r="AA174" s="673">
        <v>0</v>
      </c>
      <c r="AB174" s="674">
        <v>0</v>
      </c>
      <c r="AC174" s="672">
        <v>0</v>
      </c>
      <c r="AD174" s="673">
        <v>0</v>
      </c>
      <c r="AE174" s="674">
        <v>0</v>
      </c>
      <c r="AF174" s="672">
        <v>0</v>
      </c>
      <c r="AG174" s="673">
        <v>0</v>
      </c>
      <c r="AH174" s="674">
        <v>0</v>
      </c>
    </row>
    <row r="175" spans="1:36" ht="14.5">
      <c r="A175" s="504" t="s">
        <v>1244</v>
      </c>
      <c r="B175" s="522">
        <f t="shared" si="44"/>
        <v>0</v>
      </c>
      <c r="C175" s="523">
        <f t="shared" si="45"/>
        <v>0</v>
      </c>
      <c r="D175" s="522">
        <f t="shared" si="46"/>
        <v>0</v>
      </c>
      <c r="E175" s="523">
        <f t="shared" si="47"/>
        <v>0</v>
      </c>
      <c r="F175" s="522">
        <f t="shared" si="48"/>
        <v>0</v>
      </c>
      <c r="G175" s="523">
        <f t="shared" si="49"/>
        <v>0</v>
      </c>
      <c r="H175" s="522">
        <f t="shared" si="50"/>
        <v>0</v>
      </c>
      <c r="I175" s="523">
        <f t="shared" si="51"/>
        <v>0</v>
      </c>
      <c r="J175" s="524"/>
      <c r="K175" s="524"/>
      <c r="L175" s="522">
        <f t="shared" si="52"/>
        <v>0</v>
      </c>
      <c r="M175" s="502">
        <f t="shared" si="53"/>
        <v>0</v>
      </c>
      <c r="P175" s="554" t="s">
        <v>1244</v>
      </c>
      <c r="Q175" s="672">
        <v>0</v>
      </c>
      <c r="R175" s="673">
        <v>0</v>
      </c>
      <c r="S175" s="674">
        <v>0</v>
      </c>
      <c r="T175" s="672">
        <v>0</v>
      </c>
      <c r="U175" s="673">
        <v>0</v>
      </c>
      <c r="V175" s="674">
        <v>0</v>
      </c>
      <c r="W175" s="672">
        <v>0</v>
      </c>
      <c r="X175" s="673">
        <v>0</v>
      </c>
      <c r="Y175" s="674">
        <v>0</v>
      </c>
      <c r="Z175" s="672">
        <v>0</v>
      </c>
      <c r="AA175" s="673">
        <v>0</v>
      </c>
      <c r="AB175" s="674">
        <v>0</v>
      </c>
      <c r="AC175" s="672">
        <v>0</v>
      </c>
      <c r="AD175" s="673">
        <v>0</v>
      </c>
      <c r="AE175" s="674">
        <v>0</v>
      </c>
      <c r="AF175" s="672">
        <v>0</v>
      </c>
      <c r="AG175" s="673">
        <v>0</v>
      </c>
      <c r="AH175" s="674">
        <v>0</v>
      </c>
    </row>
    <row r="176" spans="1:36" ht="14.5">
      <c r="A176" s="506" t="s">
        <v>1245</v>
      </c>
      <c r="B176" s="522">
        <f t="shared" si="44"/>
        <v>0</v>
      </c>
      <c r="C176" s="523">
        <f t="shared" si="45"/>
        <v>0</v>
      </c>
      <c r="D176" s="522">
        <f t="shared" si="46"/>
        <v>0</v>
      </c>
      <c r="E176" s="523">
        <f t="shared" si="47"/>
        <v>0</v>
      </c>
      <c r="F176" s="522">
        <f t="shared" si="48"/>
        <v>0</v>
      </c>
      <c r="G176" s="523">
        <f t="shared" si="49"/>
        <v>0</v>
      </c>
      <c r="H176" s="522">
        <f t="shared" si="50"/>
        <v>0</v>
      </c>
      <c r="I176" s="523">
        <f t="shared" si="51"/>
        <v>0</v>
      </c>
      <c r="J176" s="524"/>
      <c r="K176" s="524"/>
      <c r="L176" s="522">
        <f t="shared" si="52"/>
        <v>0</v>
      </c>
      <c r="M176" s="502">
        <f t="shared" si="53"/>
        <v>0</v>
      </c>
      <c r="P176" s="98" t="s">
        <v>1245</v>
      </c>
      <c r="Q176" s="672">
        <v>1613</v>
      </c>
      <c r="R176" s="673">
        <v>0</v>
      </c>
      <c r="S176" s="674">
        <v>1613</v>
      </c>
      <c r="T176" s="672">
        <v>3079</v>
      </c>
      <c r="U176" s="673">
        <v>0</v>
      </c>
      <c r="V176" s="674">
        <v>3079</v>
      </c>
      <c r="W176" s="672">
        <v>4961</v>
      </c>
      <c r="X176" s="673">
        <v>0</v>
      </c>
      <c r="Y176" s="674">
        <v>4961</v>
      </c>
      <c r="Z176" s="672">
        <v>0</v>
      </c>
      <c r="AA176" s="673">
        <v>0</v>
      </c>
      <c r="AB176" s="674">
        <v>0</v>
      </c>
      <c r="AC176" s="672">
        <v>1486</v>
      </c>
      <c r="AD176" s="673">
        <v>0</v>
      </c>
      <c r="AE176" s="674">
        <v>1486</v>
      </c>
      <c r="AF176" s="672">
        <v>0</v>
      </c>
      <c r="AG176" s="673">
        <v>0</v>
      </c>
      <c r="AH176" s="674">
        <v>0</v>
      </c>
    </row>
    <row r="177" spans="1:36" ht="14.5">
      <c r="A177" s="506" t="s">
        <v>1246</v>
      </c>
      <c r="B177" s="522">
        <f t="shared" si="44"/>
        <v>0</v>
      </c>
      <c r="C177" s="523">
        <f t="shared" si="45"/>
        <v>0</v>
      </c>
      <c r="D177" s="522">
        <f t="shared" si="46"/>
        <v>0</v>
      </c>
      <c r="E177" s="523">
        <f t="shared" si="47"/>
        <v>0</v>
      </c>
      <c r="F177" s="522">
        <f t="shared" si="48"/>
        <v>0</v>
      </c>
      <c r="G177" s="523">
        <f t="shared" si="49"/>
        <v>0</v>
      </c>
      <c r="H177" s="522">
        <f t="shared" si="50"/>
        <v>0</v>
      </c>
      <c r="I177" s="523">
        <f t="shared" si="51"/>
        <v>0</v>
      </c>
      <c r="J177" s="524"/>
      <c r="K177" s="524"/>
      <c r="L177" s="522">
        <f t="shared" si="52"/>
        <v>0</v>
      </c>
      <c r="M177" s="502">
        <f t="shared" si="53"/>
        <v>0</v>
      </c>
      <c r="P177" s="98" t="s">
        <v>1246</v>
      </c>
      <c r="Q177" s="672">
        <v>0</v>
      </c>
      <c r="R177" s="673">
        <v>0</v>
      </c>
      <c r="S177" s="674">
        <v>0</v>
      </c>
      <c r="T177" s="672">
        <v>0</v>
      </c>
      <c r="U177" s="673">
        <v>0</v>
      </c>
      <c r="V177" s="674">
        <v>0</v>
      </c>
      <c r="W177" s="672">
        <v>0</v>
      </c>
      <c r="X177" s="673">
        <v>0</v>
      </c>
      <c r="Y177" s="674">
        <v>0</v>
      </c>
      <c r="Z177" s="672">
        <v>0</v>
      </c>
      <c r="AA177" s="673">
        <v>0</v>
      </c>
      <c r="AB177" s="674">
        <v>0</v>
      </c>
      <c r="AC177" s="672">
        <v>0</v>
      </c>
      <c r="AD177" s="673">
        <v>0</v>
      </c>
      <c r="AE177" s="674">
        <v>0</v>
      </c>
      <c r="AF177" s="672">
        <v>0</v>
      </c>
      <c r="AG177" s="673">
        <v>0</v>
      </c>
      <c r="AH177" s="674">
        <v>0</v>
      </c>
    </row>
    <row r="178" spans="1:36" ht="14.5">
      <c r="A178" s="504" t="s">
        <v>1247</v>
      </c>
      <c r="B178" s="522">
        <f t="shared" si="44"/>
        <v>0</v>
      </c>
      <c r="C178" s="523">
        <f t="shared" si="45"/>
        <v>0</v>
      </c>
      <c r="D178" s="522">
        <f t="shared" si="46"/>
        <v>0</v>
      </c>
      <c r="E178" s="523">
        <f t="shared" si="47"/>
        <v>0</v>
      </c>
      <c r="F178" s="522">
        <f t="shared" si="48"/>
        <v>0</v>
      </c>
      <c r="G178" s="523">
        <f t="shared" si="49"/>
        <v>0</v>
      </c>
      <c r="H178" s="522">
        <f t="shared" si="50"/>
        <v>0</v>
      </c>
      <c r="I178" s="523">
        <f t="shared" si="51"/>
        <v>0</v>
      </c>
      <c r="J178" s="524"/>
      <c r="K178" s="524"/>
      <c r="L178" s="522">
        <f t="shared" si="52"/>
        <v>0</v>
      </c>
      <c r="M178" s="502">
        <f t="shared" si="53"/>
        <v>0</v>
      </c>
      <c r="P178" s="554" t="s">
        <v>1247</v>
      </c>
      <c r="Q178" s="672">
        <v>0</v>
      </c>
      <c r="R178" s="673">
        <v>0</v>
      </c>
      <c r="S178" s="674">
        <v>0</v>
      </c>
      <c r="T178" s="672">
        <v>0</v>
      </c>
      <c r="U178" s="673">
        <v>0</v>
      </c>
      <c r="V178" s="674">
        <v>0</v>
      </c>
      <c r="W178" s="672">
        <v>0</v>
      </c>
      <c r="X178" s="673">
        <v>0</v>
      </c>
      <c r="Y178" s="674">
        <v>0</v>
      </c>
      <c r="Z178" s="672">
        <v>0</v>
      </c>
      <c r="AA178" s="673">
        <v>0</v>
      </c>
      <c r="AB178" s="674">
        <v>0</v>
      </c>
      <c r="AC178" s="672">
        <v>0</v>
      </c>
      <c r="AD178" s="673">
        <v>0</v>
      </c>
      <c r="AE178" s="674">
        <v>0</v>
      </c>
      <c r="AF178" s="672">
        <v>0</v>
      </c>
      <c r="AG178" s="673">
        <v>0</v>
      </c>
      <c r="AH178" s="674">
        <v>0</v>
      </c>
    </row>
    <row r="179" spans="1:36" ht="14.5">
      <c r="A179" s="504" t="s">
        <v>1248</v>
      </c>
      <c r="B179" s="522">
        <f t="shared" si="44"/>
        <v>150547.79236999672</v>
      </c>
      <c r="C179" s="523">
        <f t="shared" si="45"/>
        <v>0</v>
      </c>
      <c r="D179" s="522">
        <f t="shared" si="46"/>
        <v>4558.7793290921145</v>
      </c>
      <c r="E179" s="523">
        <f t="shared" si="47"/>
        <v>0</v>
      </c>
      <c r="F179" s="522">
        <f t="shared" si="48"/>
        <v>0</v>
      </c>
      <c r="G179" s="523">
        <f t="shared" si="49"/>
        <v>0</v>
      </c>
      <c r="H179" s="522">
        <f t="shared" si="50"/>
        <v>24739.237824685228</v>
      </c>
      <c r="I179" s="523">
        <f t="shared" si="51"/>
        <v>0</v>
      </c>
      <c r="J179" s="524"/>
      <c r="K179" s="524"/>
      <c r="L179" s="522">
        <f t="shared" si="52"/>
        <v>0</v>
      </c>
      <c r="M179" s="502">
        <f t="shared" si="53"/>
        <v>0</v>
      </c>
      <c r="P179" s="554" t="s">
        <v>1248</v>
      </c>
      <c r="Q179" s="672">
        <v>15323</v>
      </c>
      <c r="R179" s="673">
        <v>0</v>
      </c>
      <c r="S179" s="674">
        <v>15323</v>
      </c>
      <c r="T179" s="672">
        <v>464</v>
      </c>
      <c r="U179" s="673">
        <v>0</v>
      </c>
      <c r="V179" s="674">
        <v>464</v>
      </c>
      <c r="W179" s="672">
        <v>0</v>
      </c>
      <c r="X179" s="673">
        <v>0</v>
      </c>
      <c r="Y179" s="674">
        <v>0</v>
      </c>
      <c r="Z179" s="672">
        <v>2518</v>
      </c>
      <c r="AA179" s="673">
        <v>0</v>
      </c>
      <c r="AB179" s="674">
        <v>2518</v>
      </c>
      <c r="AC179" s="672">
        <v>196275</v>
      </c>
      <c r="AD179" s="673">
        <v>0</v>
      </c>
      <c r="AE179" s="674">
        <v>196275</v>
      </c>
      <c r="AF179" s="672">
        <v>0</v>
      </c>
      <c r="AG179" s="673">
        <v>0</v>
      </c>
      <c r="AH179" s="674">
        <v>0</v>
      </c>
    </row>
    <row r="180" spans="1:36" ht="14.5">
      <c r="A180" s="504" t="s">
        <v>1249</v>
      </c>
      <c r="B180" s="522">
        <f t="shared" si="44"/>
        <v>0</v>
      </c>
      <c r="C180" s="523">
        <f t="shared" si="45"/>
        <v>0</v>
      </c>
      <c r="D180" s="522">
        <f t="shared" si="46"/>
        <v>0</v>
      </c>
      <c r="E180" s="523">
        <f t="shared" si="47"/>
        <v>0</v>
      </c>
      <c r="F180" s="522">
        <f t="shared" si="48"/>
        <v>0</v>
      </c>
      <c r="G180" s="523">
        <f t="shared" si="49"/>
        <v>0</v>
      </c>
      <c r="H180" s="522">
        <f t="shared" si="50"/>
        <v>0</v>
      </c>
      <c r="I180" s="523">
        <f t="shared" si="51"/>
        <v>0</v>
      </c>
      <c r="J180" s="524"/>
      <c r="K180" s="524"/>
      <c r="L180" s="522">
        <f t="shared" si="52"/>
        <v>0</v>
      </c>
      <c r="M180" s="502">
        <f t="shared" si="53"/>
        <v>0</v>
      </c>
      <c r="P180" s="554" t="s">
        <v>1249</v>
      </c>
      <c r="Q180" s="672">
        <v>0</v>
      </c>
      <c r="R180" s="673">
        <v>0</v>
      </c>
      <c r="S180" s="674">
        <v>0</v>
      </c>
      <c r="T180" s="672">
        <v>0</v>
      </c>
      <c r="U180" s="673">
        <v>0</v>
      </c>
      <c r="V180" s="674">
        <v>0</v>
      </c>
      <c r="W180" s="672">
        <v>0</v>
      </c>
      <c r="X180" s="673">
        <v>0</v>
      </c>
      <c r="Y180" s="674">
        <v>0</v>
      </c>
      <c r="Z180" s="672">
        <v>0</v>
      </c>
      <c r="AA180" s="673">
        <v>0</v>
      </c>
      <c r="AB180" s="674">
        <v>0</v>
      </c>
      <c r="AC180" s="672">
        <v>0</v>
      </c>
      <c r="AD180" s="673">
        <v>0</v>
      </c>
      <c r="AE180" s="674">
        <v>0</v>
      </c>
      <c r="AF180" s="672">
        <v>0</v>
      </c>
      <c r="AG180" s="673">
        <v>0</v>
      </c>
      <c r="AH180" s="674">
        <v>0</v>
      </c>
    </row>
    <row r="181" spans="1:36" ht="14.5">
      <c r="A181" s="504" t="s">
        <v>1250</v>
      </c>
      <c r="B181" s="522">
        <f t="shared" si="44"/>
        <v>0</v>
      </c>
      <c r="C181" s="523">
        <f t="shared" si="45"/>
        <v>0</v>
      </c>
      <c r="D181" s="522">
        <f t="shared" si="46"/>
        <v>0</v>
      </c>
      <c r="E181" s="523">
        <f t="shared" si="47"/>
        <v>0</v>
      </c>
      <c r="F181" s="522">
        <f t="shared" si="48"/>
        <v>0</v>
      </c>
      <c r="G181" s="523">
        <f t="shared" si="49"/>
        <v>0</v>
      </c>
      <c r="H181" s="522">
        <f t="shared" si="50"/>
        <v>0</v>
      </c>
      <c r="I181" s="523">
        <f t="shared" si="51"/>
        <v>0</v>
      </c>
      <c r="J181" s="524"/>
      <c r="K181" s="524"/>
      <c r="L181" s="522">
        <f t="shared" si="52"/>
        <v>0</v>
      </c>
      <c r="M181" s="502">
        <f t="shared" si="53"/>
        <v>0</v>
      </c>
      <c r="P181" s="554" t="s">
        <v>1250</v>
      </c>
      <c r="Q181" s="672">
        <v>0</v>
      </c>
      <c r="R181" s="673">
        <v>0</v>
      </c>
      <c r="S181" s="674">
        <v>0</v>
      </c>
      <c r="T181" s="672">
        <v>0</v>
      </c>
      <c r="U181" s="673">
        <v>0</v>
      </c>
      <c r="V181" s="674">
        <v>0</v>
      </c>
      <c r="W181" s="672">
        <v>0</v>
      </c>
      <c r="X181" s="673">
        <v>0</v>
      </c>
      <c r="Y181" s="674">
        <v>0</v>
      </c>
      <c r="Z181" s="672">
        <v>0</v>
      </c>
      <c r="AA181" s="673">
        <v>0</v>
      </c>
      <c r="AB181" s="674">
        <v>0</v>
      </c>
      <c r="AC181" s="672">
        <v>0</v>
      </c>
      <c r="AD181" s="673">
        <v>0</v>
      </c>
      <c r="AE181" s="674">
        <v>0</v>
      </c>
      <c r="AF181" s="672">
        <v>0</v>
      </c>
      <c r="AG181" s="673">
        <v>0</v>
      </c>
      <c r="AH181" s="674">
        <v>0</v>
      </c>
    </row>
    <row r="182" spans="1:36" ht="14.5">
      <c r="A182" s="504" t="s">
        <v>1251</v>
      </c>
      <c r="B182" s="522">
        <f t="shared" si="44"/>
        <v>0</v>
      </c>
      <c r="C182" s="523">
        <f t="shared" si="45"/>
        <v>0</v>
      </c>
      <c r="D182" s="522">
        <f t="shared" si="46"/>
        <v>0</v>
      </c>
      <c r="E182" s="523">
        <f t="shared" si="47"/>
        <v>0</v>
      </c>
      <c r="F182" s="522">
        <f t="shared" si="48"/>
        <v>0</v>
      </c>
      <c r="G182" s="523">
        <f t="shared" si="49"/>
        <v>0</v>
      </c>
      <c r="H182" s="522">
        <f t="shared" si="50"/>
        <v>0</v>
      </c>
      <c r="I182" s="523">
        <f t="shared" si="51"/>
        <v>0</v>
      </c>
      <c r="J182" s="524"/>
      <c r="K182" s="524"/>
      <c r="L182" s="522">
        <f t="shared" si="52"/>
        <v>0</v>
      </c>
      <c r="M182" s="502">
        <f t="shared" si="53"/>
        <v>0</v>
      </c>
      <c r="P182" s="554" t="s">
        <v>1251</v>
      </c>
      <c r="Q182" s="672">
        <v>0</v>
      </c>
      <c r="R182" s="673">
        <v>0</v>
      </c>
      <c r="S182" s="674">
        <v>0</v>
      </c>
      <c r="T182" s="672">
        <v>0</v>
      </c>
      <c r="U182" s="673">
        <v>0</v>
      </c>
      <c r="V182" s="674">
        <v>0</v>
      </c>
      <c r="W182" s="672">
        <v>0</v>
      </c>
      <c r="X182" s="673">
        <v>0</v>
      </c>
      <c r="Y182" s="674">
        <v>0</v>
      </c>
      <c r="Z182" s="672">
        <v>0</v>
      </c>
      <c r="AA182" s="673">
        <v>0</v>
      </c>
      <c r="AB182" s="674">
        <v>0</v>
      </c>
      <c r="AC182" s="672">
        <v>0</v>
      </c>
      <c r="AD182" s="673">
        <v>0</v>
      </c>
      <c r="AE182" s="674">
        <v>0</v>
      </c>
      <c r="AF182" s="672">
        <v>0</v>
      </c>
      <c r="AG182" s="673">
        <v>0</v>
      </c>
      <c r="AH182" s="674">
        <v>0</v>
      </c>
    </row>
    <row r="183" spans="1:36" ht="14.5">
      <c r="A183" s="504" t="s">
        <v>1252</v>
      </c>
      <c r="B183" s="522">
        <f t="shared" si="44"/>
        <v>0</v>
      </c>
      <c r="C183" s="523">
        <f t="shared" si="45"/>
        <v>0</v>
      </c>
      <c r="D183" s="522">
        <f t="shared" si="46"/>
        <v>0</v>
      </c>
      <c r="E183" s="523">
        <f t="shared" si="47"/>
        <v>0</v>
      </c>
      <c r="F183" s="522">
        <f t="shared" si="48"/>
        <v>0</v>
      </c>
      <c r="G183" s="523">
        <f t="shared" si="49"/>
        <v>0</v>
      </c>
      <c r="H183" s="522">
        <f t="shared" si="50"/>
        <v>0</v>
      </c>
      <c r="I183" s="523">
        <f t="shared" si="51"/>
        <v>0</v>
      </c>
      <c r="J183" s="524"/>
      <c r="K183" s="524"/>
      <c r="L183" s="522">
        <f t="shared" si="52"/>
        <v>0</v>
      </c>
      <c r="M183" s="502">
        <f t="shared" si="53"/>
        <v>0</v>
      </c>
      <c r="P183" s="554" t="s">
        <v>1252</v>
      </c>
      <c r="Q183" s="672">
        <v>0</v>
      </c>
      <c r="R183" s="673">
        <v>0</v>
      </c>
      <c r="S183" s="674">
        <v>0</v>
      </c>
      <c r="T183" s="672">
        <v>0</v>
      </c>
      <c r="U183" s="673">
        <v>0</v>
      </c>
      <c r="V183" s="674">
        <v>0</v>
      </c>
      <c r="W183" s="672">
        <v>0</v>
      </c>
      <c r="X183" s="673">
        <v>0</v>
      </c>
      <c r="Y183" s="674">
        <v>0</v>
      </c>
      <c r="Z183" s="672">
        <v>0</v>
      </c>
      <c r="AA183" s="673">
        <v>0</v>
      </c>
      <c r="AB183" s="674">
        <v>0</v>
      </c>
      <c r="AC183" s="672">
        <v>0</v>
      </c>
      <c r="AD183" s="673">
        <v>0</v>
      </c>
      <c r="AE183" s="674">
        <v>0</v>
      </c>
      <c r="AF183" s="672">
        <v>0</v>
      </c>
      <c r="AG183" s="673">
        <v>0</v>
      </c>
      <c r="AH183" s="674">
        <v>0</v>
      </c>
    </row>
    <row r="184" spans="1:36" ht="14.5">
      <c r="A184" s="98" t="s">
        <v>1253</v>
      </c>
      <c r="B184" s="522">
        <f t="shared" si="44"/>
        <v>0</v>
      </c>
      <c r="C184" s="523">
        <f t="shared" si="45"/>
        <v>0</v>
      </c>
      <c r="D184" s="522">
        <f t="shared" si="46"/>
        <v>0</v>
      </c>
      <c r="E184" s="523">
        <f t="shared" si="47"/>
        <v>0</v>
      </c>
      <c r="F184" s="522">
        <f t="shared" si="48"/>
        <v>0</v>
      </c>
      <c r="G184" s="523">
        <f t="shared" si="49"/>
        <v>0</v>
      </c>
      <c r="H184" s="522">
        <f t="shared" si="50"/>
        <v>0</v>
      </c>
      <c r="I184" s="523">
        <f t="shared" si="51"/>
        <v>0</v>
      </c>
      <c r="J184" s="524"/>
      <c r="K184" s="524"/>
      <c r="L184" s="522">
        <f t="shared" si="52"/>
        <v>0</v>
      </c>
      <c r="M184" s="502">
        <f t="shared" si="53"/>
        <v>0</v>
      </c>
      <c r="P184" s="98" t="s">
        <v>1253</v>
      </c>
      <c r="Q184" s="672">
        <v>49138</v>
      </c>
      <c r="R184" s="673">
        <v>49407</v>
      </c>
      <c r="S184" s="674">
        <v>98545</v>
      </c>
      <c r="T184" s="672">
        <v>79098</v>
      </c>
      <c r="U184" s="673">
        <v>109243</v>
      </c>
      <c r="V184" s="674">
        <v>188341</v>
      </c>
      <c r="W184" s="672">
        <v>0</v>
      </c>
      <c r="X184" s="673">
        <v>0</v>
      </c>
      <c r="Y184" s="674">
        <v>0</v>
      </c>
      <c r="Z184" s="672">
        <v>0</v>
      </c>
      <c r="AA184" s="673">
        <v>1700</v>
      </c>
      <c r="AB184" s="674">
        <v>1700</v>
      </c>
      <c r="AC184" s="672">
        <v>158402</v>
      </c>
      <c r="AD184" s="673">
        <v>79535</v>
      </c>
      <c r="AE184" s="674">
        <v>237937</v>
      </c>
      <c r="AF184" s="672">
        <v>0</v>
      </c>
      <c r="AG184" s="673">
        <v>0</v>
      </c>
      <c r="AH184" s="674">
        <v>0</v>
      </c>
    </row>
    <row r="185" spans="1:36" ht="14.5">
      <c r="A185" s="504" t="s">
        <v>1254</v>
      </c>
      <c r="B185" s="522">
        <f t="shared" si="44"/>
        <v>0</v>
      </c>
      <c r="C185" s="523">
        <f t="shared" si="45"/>
        <v>0</v>
      </c>
      <c r="D185" s="522">
        <f t="shared" si="46"/>
        <v>0</v>
      </c>
      <c r="E185" s="523">
        <f t="shared" si="47"/>
        <v>0</v>
      </c>
      <c r="F185" s="522">
        <f t="shared" si="48"/>
        <v>0</v>
      </c>
      <c r="G185" s="523">
        <f t="shared" si="49"/>
        <v>0</v>
      </c>
      <c r="H185" s="522">
        <f t="shared" si="50"/>
        <v>0</v>
      </c>
      <c r="I185" s="523">
        <f t="shared" si="51"/>
        <v>0</v>
      </c>
      <c r="J185" s="524"/>
      <c r="K185" s="524"/>
      <c r="L185" s="522">
        <f t="shared" si="52"/>
        <v>0</v>
      </c>
      <c r="M185" s="502">
        <f t="shared" si="53"/>
        <v>0</v>
      </c>
      <c r="P185" s="554" t="s">
        <v>1254</v>
      </c>
      <c r="Q185" s="672">
        <v>0</v>
      </c>
      <c r="R185" s="673">
        <v>0</v>
      </c>
      <c r="S185" s="674">
        <v>0</v>
      </c>
      <c r="T185" s="672">
        <v>0</v>
      </c>
      <c r="U185" s="673">
        <v>0</v>
      </c>
      <c r="V185" s="674">
        <v>0</v>
      </c>
      <c r="W185" s="672">
        <v>0</v>
      </c>
      <c r="X185" s="673">
        <v>0</v>
      </c>
      <c r="Y185" s="674">
        <v>0</v>
      </c>
      <c r="Z185" s="672">
        <v>0</v>
      </c>
      <c r="AA185" s="673">
        <v>0</v>
      </c>
      <c r="AB185" s="674">
        <v>0</v>
      </c>
      <c r="AC185" s="672">
        <v>0</v>
      </c>
      <c r="AD185" s="673">
        <v>0</v>
      </c>
      <c r="AE185" s="674">
        <v>0</v>
      </c>
      <c r="AF185" s="672">
        <v>0</v>
      </c>
      <c r="AG185" s="673">
        <v>0</v>
      </c>
      <c r="AH185" s="674">
        <v>0</v>
      </c>
    </row>
    <row r="186" spans="1:36" ht="14.5">
      <c r="A186" s="504" t="s">
        <v>1255</v>
      </c>
      <c r="B186" s="522">
        <f t="shared" si="44"/>
        <v>0</v>
      </c>
      <c r="C186" s="523">
        <f t="shared" si="45"/>
        <v>0</v>
      </c>
      <c r="D186" s="522">
        <f t="shared" si="46"/>
        <v>0</v>
      </c>
      <c r="E186" s="523">
        <f t="shared" si="47"/>
        <v>0</v>
      </c>
      <c r="F186" s="522">
        <f t="shared" si="48"/>
        <v>0</v>
      </c>
      <c r="G186" s="523">
        <f t="shared" si="49"/>
        <v>0</v>
      </c>
      <c r="H186" s="522">
        <f t="shared" si="50"/>
        <v>0</v>
      </c>
      <c r="I186" s="523">
        <f t="shared" si="51"/>
        <v>0</v>
      </c>
      <c r="J186" s="524"/>
      <c r="K186" s="524"/>
      <c r="L186" s="522">
        <f t="shared" si="52"/>
        <v>0</v>
      </c>
      <c r="M186" s="502">
        <f t="shared" si="53"/>
        <v>0</v>
      </c>
      <c r="P186" s="554" t="s">
        <v>1255</v>
      </c>
      <c r="Q186" s="672">
        <v>7709</v>
      </c>
      <c r="R186" s="673">
        <v>5451</v>
      </c>
      <c r="S186" s="674">
        <v>13160</v>
      </c>
      <c r="T186" s="672">
        <v>25281</v>
      </c>
      <c r="U186" s="673">
        <v>7292</v>
      </c>
      <c r="V186" s="674">
        <v>32573</v>
      </c>
      <c r="W186" s="672">
        <v>0</v>
      </c>
      <c r="X186" s="673">
        <v>0</v>
      </c>
      <c r="Y186" s="674">
        <v>0</v>
      </c>
      <c r="Z186" s="672">
        <v>0</v>
      </c>
      <c r="AA186" s="673">
        <v>0</v>
      </c>
      <c r="AB186" s="674">
        <v>0</v>
      </c>
      <c r="AC186" s="672">
        <v>165670</v>
      </c>
      <c r="AD186" s="673">
        <v>334</v>
      </c>
      <c r="AE186" s="674">
        <v>166004</v>
      </c>
      <c r="AF186" s="672">
        <v>0</v>
      </c>
      <c r="AG186" s="673">
        <v>0</v>
      </c>
      <c r="AH186" s="674">
        <v>0</v>
      </c>
    </row>
    <row r="187" spans="1:36" ht="14.5">
      <c r="A187" s="516" t="s">
        <v>1256</v>
      </c>
      <c r="B187" s="522">
        <f t="shared" si="44"/>
        <v>0</v>
      </c>
      <c r="C187" s="523">
        <f t="shared" si="45"/>
        <v>0</v>
      </c>
      <c r="D187" s="522">
        <f t="shared" si="46"/>
        <v>0</v>
      </c>
      <c r="E187" s="523">
        <f t="shared" si="47"/>
        <v>0</v>
      </c>
      <c r="F187" s="522">
        <f t="shared" si="48"/>
        <v>0</v>
      </c>
      <c r="G187" s="523">
        <f t="shared" si="49"/>
        <v>0</v>
      </c>
      <c r="H187" s="522">
        <f t="shared" si="50"/>
        <v>0</v>
      </c>
      <c r="I187" s="523">
        <f t="shared" si="51"/>
        <v>0</v>
      </c>
      <c r="J187" s="524"/>
      <c r="K187" s="524"/>
      <c r="L187" s="522">
        <f t="shared" si="52"/>
        <v>0</v>
      </c>
      <c r="M187" s="502">
        <f t="shared" si="53"/>
        <v>0</v>
      </c>
      <c r="P187" s="554" t="s">
        <v>1256</v>
      </c>
      <c r="Q187" s="675">
        <v>0</v>
      </c>
      <c r="R187" s="676">
        <v>0</v>
      </c>
      <c r="S187" s="677">
        <v>0</v>
      </c>
      <c r="T187" s="675">
        <v>0</v>
      </c>
      <c r="U187" s="676">
        <v>0</v>
      </c>
      <c r="V187" s="677">
        <v>0</v>
      </c>
      <c r="W187" s="675">
        <v>0</v>
      </c>
      <c r="X187" s="676">
        <v>0</v>
      </c>
      <c r="Y187" s="677">
        <v>0</v>
      </c>
      <c r="Z187" s="675">
        <v>0</v>
      </c>
      <c r="AA187" s="676">
        <v>0</v>
      </c>
      <c r="AB187" s="677">
        <v>0</v>
      </c>
      <c r="AC187" s="675">
        <v>0</v>
      </c>
      <c r="AD187" s="676">
        <v>0</v>
      </c>
      <c r="AE187" s="677">
        <v>0</v>
      </c>
      <c r="AF187" s="675">
        <v>0</v>
      </c>
      <c r="AG187" s="676">
        <v>0</v>
      </c>
      <c r="AH187" s="677">
        <v>0</v>
      </c>
    </row>
    <row r="188" spans="1:36" ht="14.5">
      <c r="A188" s="509"/>
      <c r="B188" s="525"/>
      <c r="C188" s="525"/>
      <c r="D188" s="525"/>
      <c r="E188" s="525"/>
      <c r="F188" s="525"/>
      <c r="G188" s="525"/>
      <c r="H188" s="525"/>
      <c r="I188" s="525"/>
      <c r="J188" s="526"/>
      <c r="K188" s="526"/>
      <c r="L188" s="525"/>
      <c r="M188" s="510"/>
      <c r="P188" s="555" t="s">
        <v>187</v>
      </c>
      <c r="Q188" s="678">
        <v>73783</v>
      </c>
      <c r="R188" s="679">
        <v>54858</v>
      </c>
      <c r="S188" s="680">
        <v>128641</v>
      </c>
      <c r="T188" s="678">
        <v>107922</v>
      </c>
      <c r="U188" s="679">
        <v>116536</v>
      </c>
      <c r="V188" s="680">
        <v>224458</v>
      </c>
      <c r="W188" s="678">
        <v>4961</v>
      </c>
      <c r="X188" s="679">
        <v>0</v>
      </c>
      <c r="Y188" s="680">
        <v>4961</v>
      </c>
      <c r="Z188" s="678">
        <v>2518</v>
      </c>
      <c r="AA188" s="679">
        <v>1700</v>
      </c>
      <c r="AB188" s="680">
        <v>4218</v>
      </c>
      <c r="AC188" s="678">
        <v>525149</v>
      </c>
      <c r="AD188" s="679">
        <v>79869</v>
      </c>
      <c r="AE188" s="680">
        <v>605018</v>
      </c>
      <c r="AF188" s="678">
        <v>0</v>
      </c>
      <c r="AG188" s="679">
        <v>0</v>
      </c>
      <c r="AH188" s="680">
        <v>0</v>
      </c>
      <c r="AI188" s="96">
        <f>S188+V188+Y188+AB188+AE188+AH188</f>
        <v>967296</v>
      </c>
      <c r="AJ188" s="508"/>
    </row>
    <row r="189" spans="1:36" ht="14">
      <c r="B189" s="520"/>
      <c r="C189" s="520"/>
      <c r="D189" s="520"/>
      <c r="E189" s="520"/>
      <c r="I189" s="520"/>
      <c r="J189" s="520"/>
      <c r="K189" s="520"/>
      <c r="L189" s="520"/>
      <c r="M189" s="520"/>
      <c r="N189" s="520"/>
    </row>
    <row r="190" spans="1:36" ht="14.5" thickBot="1">
      <c r="D190" s="527"/>
      <c r="E190" s="508"/>
      <c r="F190" s="508"/>
      <c r="G190" s="508"/>
      <c r="K190" s="527"/>
      <c r="L190" s="508"/>
    </row>
    <row r="191" spans="1:36" ht="13" thickBot="1">
      <c r="A191" s="833" t="s">
        <v>1336</v>
      </c>
      <c r="B191" s="807"/>
      <c r="C191" s="807"/>
      <c r="D191" s="807"/>
      <c r="E191" s="807"/>
      <c r="F191" s="807"/>
      <c r="G191" s="807"/>
      <c r="H191" s="807"/>
      <c r="I191" s="807"/>
      <c r="J191" s="807"/>
      <c r="K191" s="807"/>
      <c r="L191" s="807"/>
      <c r="M191" s="808"/>
      <c r="N191" s="95"/>
      <c r="P191" s="800" t="s">
        <v>1337</v>
      </c>
      <c r="Q191" s="811" t="s">
        <v>1336</v>
      </c>
      <c r="R191" s="812"/>
      <c r="S191" s="812"/>
      <c r="T191" s="812"/>
      <c r="U191" s="812"/>
      <c r="V191" s="812"/>
      <c r="W191" s="812"/>
      <c r="X191" s="812"/>
      <c r="Y191" s="812"/>
      <c r="Z191" s="812"/>
      <c r="AA191" s="812"/>
      <c r="AB191" s="812"/>
      <c r="AC191" s="812"/>
      <c r="AD191" s="812"/>
      <c r="AE191" s="814"/>
      <c r="AF191" s="814"/>
      <c r="AG191" s="814"/>
      <c r="AH191" s="815"/>
    </row>
    <row r="192" spans="1:36" ht="33" customHeight="1" thickBot="1">
      <c r="A192" s="809" t="s">
        <v>1270</v>
      </c>
      <c r="B192" s="804" t="s">
        <v>1277</v>
      </c>
      <c r="C192" s="802" t="s">
        <v>1278</v>
      </c>
      <c r="D192" s="804" t="s">
        <v>1338</v>
      </c>
      <c r="E192" s="802" t="s">
        <v>1339</v>
      </c>
      <c r="F192" s="804" t="s">
        <v>1340</v>
      </c>
      <c r="G192" s="802" t="s">
        <v>1341</v>
      </c>
      <c r="H192" s="804" t="s">
        <v>1342</v>
      </c>
      <c r="I192" s="802" t="s">
        <v>1343</v>
      </c>
      <c r="J192" s="804" t="s">
        <v>1344</v>
      </c>
      <c r="K192" s="802" t="s">
        <v>1345</v>
      </c>
      <c r="L192" s="804" t="s">
        <v>1346</v>
      </c>
      <c r="M192" s="802" t="s">
        <v>1347</v>
      </c>
      <c r="P192" s="826" t="s">
        <v>1274</v>
      </c>
      <c r="Q192" s="811" t="s">
        <v>223</v>
      </c>
      <c r="R192" s="812"/>
      <c r="S192" s="813"/>
      <c r="T192" s="811" t="s">
        <v>203</v>
      </c>
      <c r="U192" s="812"/>
      <c r="V192" s="813"/>
      <c r="W192" s="811" t="s">
        <v>219</v>
      </c>
      <c r="X192" s="812"/>
      <c r="Y192" s="813"/>
      <c r="Z192" s="811" t="s">
        <v>220</v>
      </c>
      <c r="AA192" s="812"/>
      <c r="AB192" s="813"/>
      <c r="AC192" s="811" t="s">
        <v>222</v>
      </c>
      <c r="AD192" s="812"/>
      <c r="AE192" s="813"/>
      <c r="AF192" s="816" t="s">
        <v>221</v>
      </c>
      <c r="AG192" s="817"/>
      <c r="AH192" s="818"/>
    </row>
    <row r="193" spans="1:34" ht="13" thickBot="1">
      <c r="A193" s="810"/>
      <c r="B193" s="805"/>
      <c r="C193" s="803"/>
      <c r="D193" s="805"/>
      <c r="E193" s="803"/>
      <c r="F193" s="805" t="s">
        <v>1271</v>
      </c>
      <c r="G193" s="803" t="s">
        <v>1271</v>
      </c>
      <c r="H193" s="805" t="s">
        <v>1271</v>
      </c>
      <c r="I193" s="803" t="s">
        <v>1271</v>
      </c>
      <c r="J193" s="805" t="s">
        <v>1271</v>
      </c>
      <c r="K193" s="803" t="s">
        <v>1271</v>
      </c>
      <c r="L193" s="805" t="s">
        <v>1271</v>
      </c>
      <c r="M193" s="803" t="s">
        <v>1271</v>
      </c>
      <c r="P193" s="801">
        <v>2416532</v>
      </c>
      <c r="Q193" s="153" t="s">
        <v>1271</v>
      </c>
      <c r="R193" s="47" t="s">
        <v>1272</v>
      </c>
      <c r="S193" s="47" t="s">
        <v>1273</v>
      </c>
      <c r="T193" s="153" t="s">
        <v>1271</v>
      </c>
      <c r="U193" s="47" t="s">
        <v>1272</v>
      </c>
      <c r="V193" s="47" t="s">
        <v>1273</v>
      </c>
      <c r="W193" s="153" t="s">
        <v>1271</v>
      </c>
      <c r="X193" s="47" t="s">
        <v>1272</v>
      </c>
      <c r="Y193" s="47" t="s">
        <v>1273</v>
      </c>
      <c r="Z193" s="153" t="s">
        <v>1271</v>
      </c>
      <c r="AA193" s="47" t="s">
        <v>1272</v>
      </c>
      <c r="AB193" s="47" t="s">
        <v>1273</v>
      </c>
      <c r="AC193" s="153" t="s">
        <v>1271</v>
      </c>
      <c r="AD193" s="47" t="s">
        <v>1272</v>
      </c>
      <c r="AE193" s="47" t="s">
        <v>1273</v>
      </c>
      <c r="AF193" s="549" t="s">
        <v>1271</v>
      </c>
      <c r="AG193" s="550" t="s">
        <v>1272</v>
      </c>
      <c r="AH193" s="550" t="s">
        <v>1273</v>
      </c>
    </row>
    <row r="194" spans="1:34" ht="14">
      <c r="A194" s="750" t="s">
        <v>2238</v>
      </c>
      <c r="B194" s="501">
        <f t="shared" ref="B194:B212" si="54">Q194*$G36</f>
        <v>0</v>
      </c>
      <c r="C194" s="502">
        <f t="shared" ref="C194:C212" si="55">R194*$G36</f>
        <v>0</v>
      </c>
      <c r="D194" s="501">
        <f t="shared" ref="D194:D212" si="56">T194*$G36</f>
        <v>0</v>
      </c>
      <c r="E194" s="502">
        <f t="shared" ref="E194:E212" si="57">U194*$G36</f>
        <v>0</v>
      </c>
      <c r="F194" s="501">
        <f t="shared" ref="F194:F212" si="58">W194*$G36</f>
        <v>0</v>
      </c>
      <c r="G194" s="502">
        <f t="shared" ref="G194:G212" si="59">X194*$G36</f>
        <v>0</v>
      </c>
      <c r="H194" s="501">
        <f t="shared" ref="H194:H212" si="60">Z194*$G36</f>
        <v>0</v>
      </c>
      <c r="I194" s="502">
        <f t="shared" ref="I194:I212" si="61">AA194*$G36</f>
        <v>0</v>
      </c>
      <c r="J194" s="501">
        <f t="shared" ref="J194:J212" si="62">AC194*$G36</f>
        <v>0</v>
      </c>
      <c r="K194" s="502">
        <f t="shared" ref="K194:K212" si="63">AD194*$G36</f>
        <v>0</v>
      </c>
      <c r="L194" s="500"/>
      <c r="M194" s="528"/>
      <c r="P194" s="98" t="s">
        <v>2238</v>
      </c>
      <c r="Q194" s="553">
        <v>0</v>
      </c>
      <c r="R194" s="553">
        <v>0</v>
      </c>
      <c r="S194" s="553">
        <v>0</v>
      </c>
      <c r="T194" s="553">
        <v>0</v>
      </c>
      <c r="U194" s="553">
        <v>0</v>
      </c>
      <c r="V194" s="553">
        <v>0</v>
      </c>
      <c r="W194" s="553">
        <v>0</v>
      </c>
      <c r="X194" s="553">
        <v>0</v>
      </c>
      <c r="Y194" s="553">
        <v>0</v>
      </c>
      <c r="Z194" s="553">
        <v>0</v>
      </c>
      <c r="AA194" s="553">
        <v>0</v>
      </c>
      <c r="AB194" s="553">
        <v>0</v>
      </c>
      <c r="AC194" s="553">
        <v>0</v>
      </c>
      <c r="AD194" s="553">
        <v>0</v>
      </c>
      <c r="AE194" s="553">
        <v>0</v>
      </c>
      <c r="AF194" s="552">
        <v>0</v>
      </c>
      <c r="AG194" s="552">
        <v>0</v>
      </c>
      <c r="AH194" s="552">
        <v>0</v>
      </c>
    </row>
    <row r="195" spans="1:34" ht="14">
      <c r="A195" s="504" t="s">
        <v>1239</v>
      </c>
      <c r="B195" s="501">
        <f t="shared" si="54"/>
        <v>3393905.1516207107</v>
      </c>
      <c r="C195" s="502">
        <f t="shared" si="55"/>
        <v>0</v>
      </c>
      <c r="D195" s="501">
        <f t="shared" si="56"/>
        <v>0</v>
      </c>
      <c r="E195" s="502">
        <f t="shared" si="57"/>
        <v>0</v>
      </c>
      <c r="F195" s="501">
        <f t="shared" si="58"/>
        <v>0</v>
      </c>
      <c r="G195" s="502">
        <f t="shared" si="59"/>
        <v>0</v>
      </c>
      <c r="H195" s="501">
        <f t="shared" si="60"/>
        <v>0</v>
      </c>
      <c r="I195" s="502">
        <f t="shared" si="61"/>
        <v>0</v>
      </c>
      <c r="J195" s="501">
        <f t="shared" si="62"/>
        <v>0</v>
      </c>
      <c r="K195" s="502">
        <f t="shared" si="63"/>
        <v>15503.645683445118</v>
      </c>
      <c r="L195" s="500"/>
      <c r="M195" s="500"/>
      <c r="P195" s="554" t="s">
        <v>1239</v>
      </c>
      <c r="Q195" s="553">
        <v>228980</v>
      </c>
      <c r="R195" s="553">
        <v>0</v>
      </c>
      <c r="S195" s="553">
        <v>228980</v>
      </c>
      <c r="T195" s="553">
        <v>0</v>
      </c>
      <c r="U195" s="553">
        <v>0</v>
      </c>
      <c r="V195" s="553">
        <v>0</v>
      </c>
      <c r="W195" s="553">
        <v>0</v>
      </c>
      <c r="X195" s="553">
        <v>0</v>
      </c>
      <c r="Y195" s="553">
        <v>0</v>
      </c>
      <c r="Z195" s="553">
        <v>0</v>
      </c>
      <c r="AA195" s="553">
        <v>0</v>
      </c>
      <c r="AB195" s="553">
        <v>0</v>
      </c>
      <c r="AC195" s="553">
        <v>0</v>
      </c>
      <c r="AD195" s="553">
        <v>1046</v>
      </c>
      <c r="AE195" s="553">
        <v>1046</v>
      </c>
      <c r="AF195" s="552">
        <v>0</v>
      </c>
      <c r="AG195" s="552">
        <v>0</v>
      </c>
      <c r="AH195" s="552">
        <v>0</v>
      </c>
    </row>
    <row r="196" spans="1:34" ht="14">
      <c r="A196" s="504" t="s">
        <v>1240</v>
      </c>
      <c r="B196" s="501">
        <f t="shared" si="54"/>
        <v>0</v>
      </c>
      <c r="C196" s="502">
        <f t="shared" si="55"/>
        <v>0</v>
      </c>
      <c r="D196" s="501">
        <f t="shared" si="56"/>
        <v>0</v>
      </c>
      <c r="E196" s="502">
        <f t="shared" si="57"/>
        <v>0</v>
      </c>
      <c r="F196" s="501">
        <f t="shared" si="58"/>
        <v>0</v>
      </c>
      <c r="G196" s="502">
        <f t="shared" si="59"/>
        <v>0</v>
      </c>
      <c r="H196" s="501">
        <f t="shared" si="60"/>
        <v>0</v>
      </c>
      <c r="I196" s="502">
        <f t="shared" si="61"/>
        <v>0</v>
      </c>
      <c r="J196" s="501">
        <f t="shared" si="62"/>
        <v>0</v>
      </c>
      <c r="K196" s="502">
        <f t="shared" si="63"/>
        <v>0</v>
      </c>
      <c r="L196" s="500"/>
      <c r="M196" s="500"/>
      <c r="P196" s="554" t="s">
        <v>1240</v>
      </c>
      <c r="Q196" s="553">
        <v>0</v>
      </c>
      <c r="R196" s="553">
        <v>0</v>
      </c>
      <c r="S196" s="553">
        <v>0</v>
      </c>
      <c r="T196" s="553">
        <v>0</v>
      </c>
      <c r="U196" s="553">
        <v>0</v>
      </c>
      <c r="V196" s="553">
        <v>0</v>
      </c>
      <c r="W196" s="553">
        <v>0</v>
      </c>
      <c r="X196" s="553">
        <v>0</v>
      </c>
      <c r="Y196" s="553">
        <v>0</v>
      </c>
      <c r="Z196" s="553">
        <v>0</v>
      </c>
      <c r="AA196" s="553">
        <v>0</v>
      </c>
      <c r="AB196" s="553">
        <v>0</v>
      </c>
      <c r="AC196" s="553">
        <v>0</v>
      </c>
      <c r="AD196" s="553">
        <v>0</v>
      </c>
      <c r="AE196" s="553">
        <v>0</v>
      </c>
      <c r="AF196" s="552">
        <v>0</v>
      </c>
      <c r="AG196" s="552">
        <v>0</v>
      </c>
      <c r="AH196" s="552">
        <v>0</v>
      </c>
    </row>
    <row r="197" spans="1:34" ht="14">
      <c r="A197" s="504" t="s">
        <v>1241</v>
      </c>
      <c r="B197" s="501">
        <f t="shared" si="54"/>
        <v>0</v>
      </c>
      <c r="C197" s="502">
        <f t="shared" si="55"/>
        <v>0</v>
      </c>
      <c r="D197" s="501">
        <f t="shared" si="56"/>
        <v>0</v>
      </c>
      <c r="E197" s="502">
        <f t="shared" si="57"/>
        <v>0</v>
      </c>
      <c r="F197" s="501">
        <f t="shared" si="58"/>
        <v>0</v>
      </c>
      <c r="G197" s="502">
        <f t="shared" si="59"/>
        <v>0</v>
      </c>
      <c r="H197" s="501">
        <f t="shared" si="60"/>
        <v>0</v>
      </c>
      <c r="I197" s="502">
        <f t="shared" si="61"/>
        <v>0</v>
      </c>
      <c r="J197" s="501">
        <f t="shared" si="62"/>
        <v>0</v>
      </c>
      <c r="K197" s="502">
        <f t="shared" si="63"/>
        <v>0</v>
      </c>
      <c r="L197" s="500"/>
      <c r="M197" s="500"/>
      <c r="P197" s="554" t="s">
        <v>1241</v>
      </c>
      <c r="Q197" s="553">
        <v>0</v>
      </c>
      <c r="R197" s="553">
        <v>0</v>
      </c>
      <c r="S197" s="553">
        <v>0</v>
      </c>
      <c r="T197" s="553">
        <v>0</v>
      </c>
      <c r="U197" s="553">
        <v>0</v>
      </c>
      <c r="V197" s="553">
        <v>0</v>
      </c>
      <c r="W197" s="553">
        <v>0</v>
      </c>
      <c r="X197" s="553">
        <v>0</v>
      </c>
      <c r="Y197" s="553">
        <v>0</v>
      </c>
      <c r="Z197" s="553">
        <v>0</v>
      </c>
      <c r="AA197" s="553">
        <v>0</v>
      </c>
      <c r="AB197" s="553">
        <v>0</v>
      </c>
      <c r="AC197" s="553">
        <v>0</v>
      </c>
      <c r="AD197" s="553">
        <v>0</v>
      </c>
      <c r="AE197" s="553">
        <v>0</v>
      </c>
      <c r="AF197" s="552">
        <v>0</v>
      </c>
      <c r="AG197" s="552">
        <v>0</v>
      </c>
      <c r="AH197" s="552">
        <v>0</v>
      </c>
    </row>
    <row r="198" spans="1:34" ht="14">
      <c r="A198" s="504" t="s">
        <v>1242</v>
      </c>
      <c r="B198" s="501">
        <f t="shared" si="54"/>
        <v>0</v>
      </c>
      <c r="C198" s="502">
        <f t="shared" si="55"/>
        <v>33651.090841305057</v>
      </c>
      <c r="D198" s="501">
        <f t="shared" si="56"/>
        <v>20.8948095878951</v>
      </c>
      <c r="E198" s="502">
        <f t="shared" si="57"/>
        <v>9475.7961481104285</v>
      </c>
      <c r="F198" s="501">
        <f t="shared" si="58"/>
        <v>0</v>
      </c>
      <c r="G198" s="502">
        <f t="shared" si="59"/>
        <v>0</v>
      </c>
      <c r="H198" s="501">
        <f t="shared" si="60"/>
        <v>0</v>
      </c>
      <c r="I198" s="502">
        <f t="shared" si="61"/>
        <v>42009.014676463099</v>
      </c>
      <c r="J198" s="501">
        <f t="shared" si="62"/>
        <v>0</v>
      </c>
      <c r="K198" s="502">
        <f t="shared" si="63"/>
        <v>0</v>
      </c>
      <c r="L198" s="500"/>
      <c r="M198" s="500"/>
      <c r="P198" s="554" t="s">
        <v>1242</v>
      </c>
      <c r="Q198" s="553">
        <v>0</v>
      </c>
      <c r="R198" s="553">
        <v>3221</v>
      </c>
      <c r="S198" s="553">
        <v>3221</v>
      </c>
      <c r="T198" s="553">
        <v>2</v>
      </c>
      <c r="U198" s="553">
        <v>907</v>
      </c>
      <c r="V198" s="553">
        <v>909</v>
      </c>
      <c r="W198" s="553">
        <v>0</v>
      </c>
      <c r="X198" s="553">
        <v>0</v>
      </c>
      <c r="Y198" s="553">
        <v>0</v>
      </c>
      <c r="Z198" s="553">
        <v>0</v>
      </c>
      <c r="AA198" s="553">
        <v>4021</v>
      </c>
      <c r="AB198" s="553">
        <v>4021</v>
      </c>
      <c r="AC198" s="553">
        <v>0</v>
      </c>
      <c r="AD198" s="553">
        <v>0</v>
      </c>
      <c r="AE198" s="553">
        <v>0</v>
      </c>
      <c r="AF198" s="552">
        <v>6930</v>
      </c>
      <c r="AG198" s="552">
        <v>2495</v>
      </c>
      <c r="AH198" s="552">
        <v>9425</v>
      </c>
    </row>
    <row r="199" spans="1:34" ht="14">
      <c r="A199" s="504" t="s">
        <v>1243</v>
      </c>
      <c r="B199" s="501">
        <f t="shared" si="54"/>
        <v>0</v>
      </c>
      <c r="C199" s="502">
        <f t="shared" si="55"/>
        <v>0</v>
      </c>
      <c r="D199" s="501">
        <f t="shared" si="56"/>
        <v>0</v>
      </c>
      <c r="E199" s="502">
        <f t="shared" si="57"/>
        <v>0</v>
      </c>
      <c r="F199" s="501">
        <f t="shared" si="58"/>
        <v>0</v>
      </c>
      <c r="G199" s="502">
        <f t="shared" si="59"/>
        <v>0</v>
      </c>
      <c r="H199" s="501">
        <f t="shared" si="60"/>
        <v>0</v>
      </c>
      <c r="I199" s="502">
        <f t="shared" si="61"/>
        <v>0</v>
      </c>
      <c r="J199" s="501">
        <f t="shared" si="62"/>
        <v>0</v>
      </c>
      <c r="K199" s="502">
        <f t="shared" si="63"/>
        <v>0</v>
      </c>
      <c r="L199" s="500"/>
      <c r="M199" s="500"/>
      <c r="P199" s="554" t="s">
        <v>1243</v>
      </c>
      <c r="Q199" s="553">
        <v>0</v>
      </c>
      <c r="R199" s="553">
        <v>0</v>
      </c>
      <c r="S199" s="553">
        <v>0</v>
      </c>
      <c r="T199" s="553">
        <v>0</v>
      </c>
      <c r="U199" s="553">
        <v>0</v>
      </c>
      <c r="V199" s="553">
        <v>0</v>
      </c>
      <c r="W199" s="553">
        <v>0</v>
      </c>
      <c r="X199" s="553">
        <v>0</v>
      </c>
      <c r="Y199" s="553">
        <v>0</v>
      </c>
      <c r="Z199" s="553">
        <v>0</v>
      </c>
      <c r="AA199" s="553">
        <v>0</v>
      </c>
      <c r="AB199" s="553">
        <v>0</v>
      </c>
      <c r="AC199" s="553">
        <v>0</v>
      </c>
      <c r="AD199" s="553">
        <v>0</v>
      </c>
      <c r="AE199" s="553">
        <v>0</v>
      </c>
      <c r="AF199" s="552">
        <v>0</v>
      </c>
      <c r="AG199" s="552">
        <v>0</v>
      </c>
      <c r="AH199" s="552">
        <v>0</v>
      </c>
    </row>
    <row r="200" spans="1:34" ht="14">
      <c r="A200" s="504" t="s">
        <v>1244</v>
      </c>
      <c r="B200" s="501">
        <f t="shared" si="54"/>
        <v>0</v>
      </c>
      <c r="C200" s="502">
        <f t="shared" si="55"/>
        <v>0</v>
      </c>
      <c r="D200" s="501">
        <f t="shared" si="56"/>
        <v>0</v>
      </c>
      <c r="E200" s="502">
        <f t="shared" si="57"/>
        <v>0</v>
      </c>
      <c r="F200" s="501">
        <f t="shared" si="58"/>
        <v>0</v>
      </c>
      <c r="G200" s="502">
        <f t="shared" si="59"/>
        <v>0</v>
      </c>
      <c r="H200" s="501">
        <f t="shared" si="60"/>
        <v>0</v>
      </c>
      <c r="I200" s="502">
        <f t="shared" si="61"/>
        <v>0</v>
      </c>
      <c r="J200" s="501">
        <f t="shared" si="62"/>
        <v>0</v>
      </c>
      <c r="K200" s="502">
        <f t="shared" si="63"/>
        <v>0</v>
      </c>
      <c r="L200" s="500"/>
      <c r="M200" s="500"/>
      <c r="P200" s="554" t="s">
        <v>1244</v>
      </c>
      <c r="Q200" s="553">
        <v>0</v>
      </c>
      <c r="R200" s="553">
        <v>0</v>
      </c>
      <c r="S200" s="553">
        <v>0</v>
      </c>
      <c r="T200" s="553">
        <v>0</v>
      </c>
      <c r="U200" s="553">
        <v>0</v>
      </c>
      <c r="V200" s="553">
        <v>0</v>
      </c>
      <c r="W200" s="553">
        <v>0</v>
      </c>
      <c r="X200" s="553">
        <v>0</v>
      </c>
      <c r="Y200" s="553">
        <v>0</v>
      </c>
      <c r="Z200" s="553">
        <v>0</v>
      </c>
      <c r="AA200" s="553">
        <v>0</v>
      </c>
      <c r="AB200" s="553">
        <v>0</v>
      </c>
      <c r="AC200" s="553">
        <v>0</v>
      </c>
      <c r="AD200" s="553">
        <v>0</v>
      </c>
      <c r="AE200" s="553">
        <v>0</v>
      </c>
      <c r="AF200" s="552">
        <v>0</v>
      </c>
      <c r="AG200" s="552">
        <v>0</v>
      </c>
      <c r="AH200" s="552">
        <v>0</v>
      </c>
    </row>
    <row r="201" spans="1:34" ht="14">
      <c r="A201" s="506" t="s">
        <v>1245</v>
      </c>
      <c r="B201" s="501">
        <f t="shared" si="54"/>
        <v>0</v>
      </c>
      <c r="C201" s="502">
        <f t="shared" si="55"/>
        <v>0</v>
      </c>
      <c r="D201" s="501">
        <f t="shared" si="56"/>
        <v>0</v>
      </c>
      <c r="E201" s="502">
        <f t="shared" si="57"/>
        <v>0</v>
      </c>
      <c r="F201" s="501">
        <f t="shared" si="58"/>
        <v>0</v>
      </c>
      <c r="G201" s="502">
        <f t="shared" si="59"/>
        <v>0</v>
      </c>
      <c r="H201" s="501">
        <f t="shared" si="60"/>
        <v>0</v>
      </c>
      <c r="I201" s="502">
        <f t="shared" si="61"/>
        <v>0</v>
      </c>
      <c r="J201" s="501">
        <f t="shared" si="62"/>
        <v>0</v>
      </c>
      <c r="K201" s="502">
        <f t="shared" si="63"/>
        <v>0</v>
      </c>
      <c r="L201" s="500"/>
      <c r="M201" s="500"/>
      <c r="P201" s="98" t="s">
        <v>1245</v>
      </c>
      <c r="Q201" s="553">
        <v>13359</v>
      </c>
      <c r="R201" s="553">
        <v>19287</v>
      </c>
      <c r="S201" s="553">
        <v>32646</v>
      </c>
      <c r="T201" s="553">
        <v>303781</v>
      </c>
      <c r="U201" s="553">
        <v>26118</v>
      </c>
      <c r="V201" s="553">
        <v>329899</v>
      </c>
      <c r="W201" s="553">
        <v>415055</v>
      </c>
      <c r="X201" s="553">
        <v>8665</v>
      </c>
      <c r="Y201" s="553">
        <v>423720</v>
      </c>
      <c r="Z201" s="553">
        <v>14299</v>
      </c>
      <c r="AA201" s="553">
        <v>1533</v>
      </c>
      <c r="AB201" s="553">
        <v>15832</v>
      </c>
      <c r="AC201" s="553">
        <v>238</v>
      </c>
      <c r="AD201" s="553">
        <v>12207</v>
      </c>
      <c r="AE201" s="553">
        <v>12445</v>
      </c>
      <c r="AF201" s="552">
        <v>256040</v>
      </c>
      <c r="AG201" s="552">
        <v>70884</v>
      </c>
      <c r="AH201" s="552">
        <v>326924</v>
      </c>
    </row>
    <row r="202" spans="1:34" ht="14">
      <c r="A202" s="506" t="s">
        <v>1246</v>
      </c>
      <c r="B202" s="501">
        <f t="shared" si="54"/>
        <v>0</v>
      </c>
      <c r="C202" s="502">
        <f t="shared" si="55"/>
        <v>0</v>
      </c>
      <c r="D202" s="501">
        <f t="shared" si="56"/>
        <v>0</v>
      </c>
      <c r="E202" s="502">
        <f t="shared" si="57"/>
        <v>0</v>
      </c>
      <c r="F202" s="501">
        <f t="shared" si="58"/>
        <v>0</v>
      </c>
      <c r="G202" s="502">
        <f t="shared" si="59"/>
        <v>0</v>
      </c>
      <c r="H202" s="501">
        <f t="shared" si="60"/>
        <v>0</v>
      </c>
      <c r="I202" s="502">
        <f t="shared" si="61"/>
        <v>0</v>
      </c>
      <c r="J202" s="501">
        <f t="shared" si="62"/>
        <v>0</v>
      </c>
      <c r="K202" s="502">
        <f t="shared" si="63"/>
        <v>0</v>
      </c>
      <c r="L202" s="500"/>
      <c r="M202" s="500"/>
      <c r="P202" s="98" t="s">
        <v>1246</v>
      </c>
      <c r="Q202" s="553">
        <v>0</v>
      </c>
      <c r="R202" s="553">
        <v>0</v>
      </c>
      <c r="S202" s="553">
        <v>0</v>
      </c>
      <c r="T202" s="553">
        <v>0</v>
      </c>
      <c r="U202" s="553">
        <v>0</v>
      </c>
      <c r="V202" s="553">
        <v>0</v>
      </c>
      <c r="W202" s="553">
        <v>0</v>
      </c>
      <c r="X202" s="553">
        <v>0</v>
      </c>
      <c r="Y202" s="553">
        <v>0</v>
      </c>
      <c r="Z202" s="553">
        <v>0</v>
      </c>
      <c r="AA202" s="553">
        <v>0</v>
      </c>
      <c r="AB202" s="553">
        <v>0</v>
      </c>
      <c r="AC202" s="553">
        <v>0</v>
      </c>
      <c r="AD202" s="553">
        <v>0</v>
      </c>
      <c r="AE202" s="553">
        <v>0</v>
      </c>
      <c r="AF202" s="552">
        <v>0</v>
      </c>
      <c r="AG202" s="552">
        <v>0</v>
      </c>
      <c r="AH202" s="552">
        <v>0</v>
      </c>
    </row>
    <row r="203" spans="1:34" ht="14">
      <c r="A203" s="504" t="s">
        <v>1247</v>
      </c>
      <c r="B203" s="501">
        <f t="shared" si="54"/>
        <v>0</v>
      </c>
      <c r="C203" s="502">
        <f t="shared" si="55"/>
        <v>0</v>
      </c>
      <c r="D203" s="501">
        <f t="shared" si="56"/>
        <v>0</v>
      </c>
      <c r="E203" s="502">
        <f t="shared" si="57"/>
        <v>0</v>
      </c>
      <c r="F203" s="501">
        <f t="shared" si="58"/>
        <v>0</v>
      </c>
      <c r="G203" s="502">
        <f t="shared" si="59"/>
        <v>0</v>
      </c>
      <c r="H203" s="501">
        <f t="shared" si="60"/>
        <v>0</v>
      </c>
      <c r="I203" s="502">
        <f t="shared" si="61"/>
        <v>0</v>
      </c>
      <c r="J203" s="501">
        <f t="shared" si="62"/>
        <v>0</v>
      </c>
      <c r="K203" s="502">
        <f t="shared" si="63"/>
        <v>0</v>
      </c>
      <c r="L203" s="500"/>
      <c r="M203" s="500"/>
      <c r="P203" s="554" t="s">
        <v>1247</v>
      </c>
      <c r="Q203" s="553">
        <v>0</v>
      </c>
      <c r="R203" s="553">
        <v>0</v>
      </c>
      <c r="S203" s="553">
        <v>0</v>
      </c>
      <c r="T203" s="553">
        <v>0</v>
      </c>
      <c r="U203" s="553">
        <v>0</v>
      </c>
      <c r="V203" s="553">
        <v>0</v>
      </c>
      <c r="W203" s="553">
        <v>0</v>
      </c>
      <c r="X203" s="553">
        <v>0</v>
      </c>
      <c r="Y203" s="553">
        <v>0</v>
      </c>
      <c r="Z203" s="553">
        <v>0</v>
      </c>
      <c r="AA203" s="553">
        <v>0</v>
      </c>
      <c r="AB203" s="553">
        <v>0</v>
      </c>
      <c r="AC203" s="553">
        <v>0</v>
      </c>
      <c r="AD203" s="553">
        <v>0</v>
      </c>
      <c r="AE203" s="553">
        <v>0</v>
      </c>
      <c r="AF203" s="552">
        <v>0</v>
      </c>
      <c r="AG203" s="552">
        <v>0</v>
      </c>
      <c r="AH203" s="552">
        <v>0</v>
      </c>
    </row>
    <row r="204" spans="1:34" ht="14">
      <c r="A204" s="504" t="s">
        <v>1248</v>
      </c>
      <c r="B204" s="501">
        <f t="shared" si="54"/>
        <v>16475.557360055285</v>
      </c>
      <c r="C204" s="502">
        <f t="shared" si="55"/>
        <v>0</v>
      </c>
      <c r="D204" s="501">
        <f t="shared" si="56"/>
        <v>502509.72318408324</v>
      </c>
      <c r="E204" s="502">
        <f t="shared" si="57"/>
        <v>0</v>
      </c>
      <c r="F204" s="501">
        <f t="shared" si="58"/>
        <v>0</v>
      </c>
      <c r="G204" s="502">
        <f t="shared" si="59"/>
        <v>0</v>
      </c>
      <c r="H204" s="501">
        <f t="shared" si="60"/>
        <v>54472.768595642527</v>
      </c>
      <c r="I204" s="502">
        <f t="shared" si="61"/>
        <v>0</v>
      </c>
      <c r="J204" s="501">
        <f t="shared" si="62"/>
        <v>0</v>
      </c>
      <c r="K204" s="502">
        <f t="shared" si="63"/>
        <v>0</v>
      </c>
      <c r="L204" s="500"/>
      <c r="M204" s="500"/>
      <c r="P204" s="554" t="s">
        <v>1248</v>
      </c>
      <c r="Q204" s="553">
        <v>1577</v>
      </c>
      <c r="R204" s="553">
        <v>0</v>
      </c>
      <c r="S204" s="553">
        <v>1577</v>
      </c>
      <c r="T204" s="553">
        <v>48099</v>
      </c>
      <c r="U204" s="553">
        <v>0</v>
      </c>
      <c r="V204" s="553">
        <v>48099</v>
      </c>
      <c r="W204" s="553">
        <v>0</v>
      </c>
      <c r="X204" s="553">
        <v>0</v>
      </c>
      <c r="Y204" s="553">
        <v>0</v>
      </c>
      <c r="Z204" s="553">
        <v>5214</v>
      </c>
      <c r="AA204" s="553">
        <v>0</v>
      </c>
      <c r="AB204" s="553">
        <v>5214</v>
      </c>
      <c r="AC204" s="553">
        <v>0</v>
      </c>
      <c r="AD204" s="553">
        <v>0</v>
      </c>
      <c r="AE204" s="553">
        <v>0</v>
      </c>
      <c r="AF204" s="552">
        <v>0</v>
      </c>
      <c r="AG204" s="552">
        <v>0</v>
      </c>
      <c r="AH204" s="552">
        <v>0</v>
      </c>
    </row>
    <row r="205" spans="1:34" ht="14">
      <c r="A205" s="504" t="s">
        <v>1249</v>
      </c>
      <c r="B205" s="501">
        <f t="shared" si="54"/>
        <v>0</v>
      </c>
      <c r="C205" s="502">
        <f t="shared" si="55"/>
        <v>0</v>
      </c>
      <c r="D205" s="501">
        <f t="shared" si="56"/>
        <v>0</v>
      </c>
      <c r="E205" s="502">
        <f t="shared" si="57"/>
        <v>0</v>
      </c>
      <c r="F205" s="501">
        <f t="shared" si="58"/>
        <v>0</v>
      </c>
      <c r="G205" s="502">
        <f t="shared" si="59"/>
        <v>0</v>
      </c>
      <c r="H205" s="501">
        <f t="shared" si="60"/>
        <v>0</v>
      </c>
      <c r="I205" s="502">
        <f t="shared" si="61"/>
        <v>0</v>
      </c>
      <c r="J205" s="501">
        <f t="shared" si="62"/>
        <v>0</v>
      </c>
      <c r="K205" s="502">
        <f t="shared" si="63"/>
        <v>0</v>
      </c>
      <c r="L205" s="500"/>
      <c r="M205" s="500"/>
      <c r="P205" s="554" t="s">
        <v>1249</v>
      </c>
      <c r="Q205" s="553">
        <v>0</v>
      </c>
      <c r="R205" s="553">
        <v>0</v>
      </c>
      <c r="S205" s="553">
        <v>0</v>
      </c>
      <c r="T205" s="553">
        <v>0</v>
      </c>
      <c r="U205" s="553">
        <v>0</v>
      </c>
      <c r="V205" s="553">
        <v>0</v>
      </c>
      <c r="W205" s="553">
        <v>0</v>
      </c>
      <c r="X205" s="553">
        <v>0</v>
      </c>
      <c r="Y205" s="553">
        <v>0</v>
      </c>
      <c r="Z205" s="553">
        <v>0</v>
      </c>
      <c r="AA205" s="553">
        <v>0</v>
      </c>
      <c r="AB205" s="553">
        <v>0</v>
      </c>
      <c r="AC205" s="553">
        <v>0</v>
      </c>
      <c r="AD205" s="553">
        <v>0</v>
      </c>
      <c r="AE205" s="553">
        <v>0</v>
      </c>
      <c r="AF205" s="552">
        <v>0</v>
      </c>
      <c r="AG205" s="552">
        <v>0</v>
      </c>
      <c r="AH205" s="552">
        <v>0</v>
      </c>
    </row>
    <row r="206" spans="1:34" ht="14">
      <c r="A206" s="504" t="s">
        <v>1250</v>
      </c>
      <c r="B206" s="501">
        <f t="shared" si="54"/>
        <v>0</v>
      </c>
      <c r="C206" s="502">
        <f t="shared" si="55"/>
        <v>0</v>
      </c>
      <c r="D206" s="501">
        <f t="shared" si="56"/>
        <v>0</v>
      </c>
      <c r="E206" s="502">
        <f t="shared" si="57"/>
        <v>0</v>
      </c>
      <c r="F206" s="501">
        <f t="shared" si="58"/>
        <v>0</v>
      </c>
      <c r="G206" s="502">
        <f t="shared" si="59"/>
        <v>0</v>
      </c>
      <c r="H206" s="501">
        <f t="shared" si="60"/>
        <v>0</v>
      </c>
      <c r="I206" s="502">
        <f t="shared" si="61"/>
        <v>0</v>
      </c>
      <c r="J206" s="501">
        <f t="shared" si="62"/>
        <v>0</v>
      </c>
      <c r="K206" s="502">
        <f t="shared" si="63"/>
        <v>0</v>
      </c>
      <c r="L206" s="500"/>
      <c r="M206" s="500"/>
      <c r="P206" s="554" t="s">
        <v>1250</v>
      </c>
      <c r="Q206" s="553">
        <v>0</v>
      </c>
      <c r="R206" s="553">
        <v>0</v>
      </c>
      <c r="S206" s="553">
        <v>0</v>
      </c>
      <c r="T206" s="553">
        <v>0</v>
      </c>
      <c r="U206" s="553">
        <v>0</v>
      </c>
      <c r="V206" s="553">
        <v>0</v>
      </c>
      <c r="W206" s="553">
        <v>0</v>
      </c>
      <c r="X206" s="553">
        <v>0</v>
      </c>
      <c r="Y206" s="553">
        <v>0</v>
      </c>
      <c r="Z206" s="553">
        <v>0</v>
      </c>
      <c r="AA206" s="553">
        <v>0</v>
      </c>
      <c r="AB206" s="553">
        <v>0</v>
      </c>
      <c r="AC206" s="553">
        <v>0</v>
      </c>
      <c r="AD206" s="553">
        <v>0</v>
      </c>
      <c r="AE206" s="553">
        <v>0</v>
      </c>
      <c r="AF206" s="552">
        <v>0</v>
      </c>
      <c r="AG206" s="552">
        <v>0</v>
      </c>
      <c r="AH206" s="552">
        <v>0</v>
      </c>
    </row>
    <row r="207" spans="1:34" ht="14">
      <c r="A207" s="504" t="s">
        <v>1251</v>
      </c>
      <c r="B207" s="501">
        <f t="shared" si="54"/>
        <v>0</v>
      </c>
      <c r="C207" s="502">
        <f t="shared" si="55"/>
        <v>0</v>
      </c>
      <c r="D207" s="501">
        <f t="shared" si="56"/>
        <v>0</v>
      </c>
      <c r="E207" s="502">
        <f t="shared" si="57"/>
        <v>0</v>
      </c>
      <c r="F207" s="501">
        <f t="shared" si="58"/>
        <v>0</v>
      </c>
      <c r="G207" s="502">
        <f t="shared" si="59"/>
        <v>0</v>
      </c>
      <c r="H207" s="501">
        <f t="shared" si="60"/>
        <v>0</v>
      </c>
      <c r="I207" s="502">
        <f t="shared" si="61"/>
        <v>0</v>
      </c>
      <c r="J207" s="501">
        <f t="shared" si="62"/>
        <v>0</v>
      </c>
      <c r="K207" s="502">
        <f t="shared" si="63"/>
        <v>0</v>
      </c>
      <c r="L207" s="500"/>
      <c r="M207" s="500"/>
      <c r="P207" s="554" t="s">
        <v>1251</v>
      </c>
      <c r="Q207" s="553">
        <v>0</v>
      </c>
      <c r="R207" s="553">
        <v>0</v>
      </c>
      <c r="S207" s="553">
        <v>0</v>
      </c>
      <c r="T207" s="553">
        <v>0</v>
      </c>
      <c r="U207" s="553">
        <v>0</v>
      </c>
      <c r="V207" s="553">
        <v>0</v>
      </c>
      <c r="W207" s="553">
        <v>0</v>
      </c>
      <c r="X207" s="553">
        <v>0</v>
      </c>
      <c r="Y207" s="553">
        <v>0</v>
      </c>
      <c r="Z207" s="553">
        <v>0</v>
      </c>
      <c r="AA207" s="553">
        <v>0</v>
      </c>
      <c r="AB207" s="553">
        <v>0</v>
      </c>
      <c r="AC207" s="553">
        <v>0</v>
      </c>
      <c r="AD207" s="553">
        <v>0</v>
      </c>
      <c r="AE207" s="553">
        <v>0</v>
      </c>
      <c r="AF207" s="552">
        <v>0</v>
      </c>
      <c r="AG207" s="552">
        <v>0</v>
      </c>
      <c r="AH207" s="552">
        <v>0</v>
      </c>
    </row>
    <row r="208" spans="1:34" ht="14">
      <c r="A208" s="504" t="s">
        <v>1252</v>
      </c>
      <c r="B208" s="501">
        <f t="shared" si="54"/>
        <v>0</v>
      </c>
      <c r="C208" s="502">
        <f t="shared" si="55"/>
        <v>0</v>
      </c>
      <c r="D208" s="501">
        <f t="shared" si="56"/>
        <v>0</v>
      </c>
      <c r="E208" s="502">
        <f t="shared" si="57"/>
        <v>0</v>
      </c>
      <c r="F208" s="501">
        <f t="shared" si="58"/>
        <v>0</v>
      </c>
      <c r="G208" s="502">
        <f t="shared" si="59"/>
        <v>0</v>
      </c>
      <c r="H208" s="501">
        <f t="shared" si="60"/>
        <v>0</v>
      </c>
      <c r="I208" s="502">
        <f t="shared" si="61"/>
        <v>0</v>
      </c>
      <c r="J208" s="501">
        <f t="shared" si="62"/>
        <v>0</v>
      </c>
      <c r="K208" s="502">
        <f t="shared" si="63"/>
        <v>0</v>
      </c>
      <c r="L208" s="500"/>
      <c r="M208" s="500"/>
      <c r="P208" s="554" t="s">
        <v>1252</v>
      </c>
      <c r="Q208" s="553">
        <v>0</v>
      </c>
      <c r="R208" s="553">
        <v>0</v>
      </c>
      <c r="S208" s="553">
        <v>0</v>
      </c>
      <c r="T208" s="553">
        <v>0</v>
      </c>
      <c r="U208" s="553">
        <v>0</v>
      </c>
      <c r="V208" s="553">
        <v>0</v>
      </c>
      <c r="W208" s="553">
        <v>0</v>
      </c>
      <c r="X208" s="553">
        <v>0</v>
      </c>
      <c r="Y208" s="553">
        <v>0</v>
      </c>
      <c r="Z208" s="553">
        <v>0</v>
      </c>
      <c r="AA208" s="553">
        <v>0</v>
      </c>
      <c r="AB208" s="553">
        <v>0</v>
      </c>
      <c r="AC208" s="553">
        <v>0</v>
      </c>
      <c r="AD208" s="553">
        <v>0</v>
      </c>
      <c r="AE208" s="553">
        <v>0</v>
      </c>
      <c r="AF208" s="552">
        <v>0</v>
      </c>
      <c r="AG208" s="552">
        <v>0</v>
      </c>
      <c r="AH208" s="552">
        <v>0</v>
      </c>
    </row>
    <row r="209" spans="1:36" ht="14">
      <c r="A209" s="98" t="s">
        <v>1253</v>
      </c>
      <c r="B209" s="501">
        <f t="shared" si="54"/>
        <v>0</v>
      </c>
      <c r="C209" s="502">
        <f t="shared" si="55"/>
        <v>0</v>
      </c>
      <c r="D209" s="501">
        <f t="shared" si="56"/>
        <v>0</v>
      </c>
      <c r="E209" s="502">
        <f t="shared" si="57"/>
        <v>0</v>
      </c>
      <c r="F209" s="501">
        <f t="shared" si="58"/>
        <v>0</v>
      </c>
      <c r="G209" s="502">
        <f t="shared" si="59"/>
        <v>0</v>
      </c>
      <c r="H209" s="501">
        <f t="shared" si="60"/>
        <v>0</v>
      </c>
      <c r="I209" s="502">
        <f t="shared" si="61"/>
        <v>0</v>
      </c>
      <c r="J209" s="501">
        <f t="shared" si="62"/>
        <v>0</v>
      </c>
      <c r="K209" s="502">
        <f t="shared" si="63"/>
        <v>0</v>
      </c>
      <c r="L209" s="500"/>
      <c r="M209" s="500"/>
      <c r="P209" s="98" t="s">
        <v>1253</v>
      </c>
      <c r="Q209" s="553">
        <v>11497</v>
      </c>
      <c r="R209" s="553">
        <v>67763</v>
      </c>
      <c r="S209" s="553">
        <v>79260</v>
      </c>
      <c r="T209" s="553">
        <v>9503</v>
      </c>
      <c r="U209" s="553">
        <v>232888</v>
      </c>
      <c r="V209" s="553">
        <v>242391</v>
      </c>
      <c r="W209" s="553">
        <v>0</v>
      </c>
      <c r="X209" s="553">
        <v>0</v>
      </c>
      <c r="Y209" s="553">
        <v>0</v>
      </c>
      <c r="Z209" s="553">
        <v>0</v>
      </c>
      <c r="AA209" s="553">
        <v>0</v>
      </c>
      <c r="AB209" s="553">
        <v>0</v>
      </c>
      <c r="AC209" s="553">
        <v>8565</v>
      </c>
      <c r="AD209" s="553">
        <v>5204</v>
      </c>
      <c r="AE209" s="553">
        <v>13769</v>
      </c>
      <c r="AF209" s="552">
        <v>0</v>
      </c>
      <c r="AG209" s="552">
        <v>204868</v>
      </c>
      <c r="AH209" s="552">
        <v>204868</v>
      </c>
    </row>
    <row r="210" spans="1:36" ht="14">
      <c r="A210" s="504" t="s">
        <v>1254</v>
      </c>
      <c r="B210" s="501">
        <f t="shared" si="54"/>
        <v>0</v>
      </c>
      <c r="C210" s="502">
        <f t="shared" si="55"/>
        <v>0</v>
      </c>
      <c r="D210" s="501">
        <f t="shared" si="56"/>
        <v>0</v>
      </c>
      <c r="E210" s="502">
        <f t="shared" si="57"/>
        <v>0</v>
      </c>
      <c r="F210" s="501">
        <f t="shared" si="58"/>
        <v>0</v>
      </c>
      <c r="G210" s="502">
        <f t="shared" si="59"/>
        <v>0</v>
      </c>
      <c r="H210" s="501">
        <f t="shared" si="60"/>
        <v>0</v>
      </c>
      <c r="I210" s="502">
        <f t="shared" si="61"/>
        <v>0</v>
      </c>
      <c r="J210" s="501">
        <f t="shared" si="62"/>
        <v>0</v>
      </c>
      <c r="K210" s="502">
        <f t="shared" si="63"/>
        <v>0</v>
      </c>
      <c r="L210" s="500"/>
      <c r="M210" s="500"/>
      <c r="P210" s="554" t="s">
        <v>1254</v>
      </c>
      <c r="Q210" s="553">
        <v>0</v>
      </c>
      <c r="R210" s="553">
        <v>0</v>
      </c>
      <c r="S210" s="553">
        <v>0</v>
      </c>
      <c r="T210" s="553">
        <v>0</v>
      </c>
      <c r="U210" s="553">
        <v>0</v>
      </c>
      <c r="V210" s="553">
        <v>0</v>
      </c>
      <c r="W210" s="553">
        <v>0</v>
      </c>
      <c r="X210" s="553">
        <v>0</v>
      </c>
      <c r="Y210" s="553">
        <v>0</v>
      </c>
      <c r="Z210" s="553">
        <v>0</v>
      </c>
      <c r="AA210" s="553">
        <v>0</v>
      </c>
      <c r="AB210" s="553">
        <v>0</v>
      </c>
      <c r="AC210" s="553">
        <v>0</v>
      </c>
      <c r="AD210" s="553">
        <v>0</v>
      </c>
      <c r="AE210" s="553">
        <v>0</v>
      </c>
      <c r="AF210" s="552">
        <v>0</v>
      </c>
      <c r="AG210" s="552">
        <v>0</v>
      </c>
      <c r="AH210" s="552">
        <v>0</v>
      </c>
    </row>
    <row r="211" spans="1:36" ht="14">
      <c r="A211" s="504" t="s">
        <v>1255</v>
      </c>
      <c r="B211" s="501">
        <f t="shared" si="54"/>
        <v>0</v>
      </c>
      <c r="C211" s="502">
        <f t="shared" si="55"/>
        <v>0</v>
      </c>
      <c r="D211" s="501">
        <f t="shared" si="56"/>
        <v>0</v>
      </c>
      <c r="E211" s="502">
        <f t="shared" si="57"/>
        <v>0</v>
      </c>
      <c r="F211" s="501">
        <f t="shared" si="58"/>
        <v>0</v>
      </c>
      <c r="G211" s="502">
        <f t="shared" si="59"/>
        <v>0</v>
      </c>
      <c r="H211" s="501">
        <f t="shared" si="60"/>
        <v>0</v>
      </c>
      <c r="I211" s="502">
        <f t="shared" si="61"/>
        <v>0</v>
      </c>
      <c r="J211" s="501">
        <f t="shared" si="62"/>
        <v>0</v>
      </c>
      <c r="K211" s="502">
        <f t="shared" si="63"/>
        <v>0</v>
      </c>
      <c r="L211" s="500"/>
      <c r="M211" s="500"/>
      <c r="P211" s="554" t="s">
        <v>1255</v>
      </c>
      <c r="Q211" s="553">
        <v>140982</v>
      </c>
      <c r="R211" s="553">
        <v>0</v>
      </c>
      <c r="S211" s="553">
        <v>140982</v>
      </c>
      <c r="T211" s="553">
        <v>262251</v>
      </c>
      <c r="U211" s="553">
        <v>120</v>
      </c>
      <c r="V211" s="553">
        <v>262371</v>
      </c>
      <c r="W211" s="553">
        <v>0</v>
      </c>
      <c r="X211" s="553">
        <v>0</v>
      </c>
      <c r="Y211" s="553">
        <v>0</v>
      </c>
      <c r="Z211" s="553">
        <v>0</v>
      </c>
      <c r="AA211" s="553">
        <v>0</v>
      </c>
      <c r="AB211" s="553">
        <v>0</v>
      </c>
      <c r="AC211" s="553">
        <v>7500</v>
      </c>
      <c r="AD211" s="553">
        <v>0</v>
      </c>
      <c r="AE211" s="553">
        <v>7500</v>
      </c>
      <c r="AF211" s="552">
        <v>0</v>
      </c>
      <c r="AG211" s="552">
        <v>20</v>
      </c>
      <c r="AH211" s="552">
        <v>20</v>
      </c>
    </row>
    <row r="212" spans="1:36" ht="14">
      <c r="A212" s="516" t="s">
        <v>1256</v>
      </c>
      <c r="B212" s="501">
        <f t="shared" si="54"/>
        <v>2005676.70194848</v>
      </c>
      <c r="C212" s="502">
        <f t="shared" si="55"/>
        <v>0</v>
      </c>
      <c r="D212" s="501">
        <f t="shared" si="56"/>
        <v>0</v>
      </c>
      <c r="E212" s="502">
        <f t="shared" si="57"/>
        <v>0</v>
      </c>
      <c r="F212" s="501">
        <f t="shared" si="58"/>
        <v>0</v>
      </c>
      <c r="G212" s="502">
        <f t="shared" si="59"/>
        <v>0</v>
      </c>
      <c r="H212" s="501">
        <f t="shared" si="60"/>
        <v>27375.940322488656</v>
      </c>
      <c r="I212" s="502">
        <f t="shared" si="61"/>
        <v>0</v>
      </c>
      <c r="J212" s="501">
        <f t="shared" si="62"/>
        <v>0</v>
      </c>
      <c r="K212" s="502">
        <f t="shared" si="63"/>
        <v>0</v>
      </c>
      <c r="L212" s="500"/>
      <c r="M212" s="500"/>
      <c r="P212" s="554" t="s">
        <v>1256</v>
      </c>
      <c r="Q212" s="553">
        <v>135319</v>
      </c>
      <c r="R212" s="553">
        <v>0</v>
      </c>
      <c r="S212" s="553">
        <v>135319</v>
      </c>
      <c r="T212" s="553">
        <v>0</v>
      </c>
      <c r="U212" s="553">
        <v>0</v>
      </c>
      <c r="V212" s="553">
        <v>0</v>
      </c>
      <c r="W212" s="553">
        <v>0</v>
      </c>
      <c r="X212" s="553">
        <v>0</v>
      </c>
      <c r="Y212" s="553">
        <v>0</v>
      </c>
      <c r="Z212" s="553">
        <v>1847</v>
      </c>
      <c r="AA212" s="553">
        <v>0</v>
      </c>
      <c r="AB212" s="553">
        <v>1847</v>
      </c>
      <c r="AC212" s="553">
        <v>0</v>
      </c>
      <c r="AD212" s="553">
        <v>0</v>
      </c>
      <c r="AE212" s="553">
        <v>0</v>
      </c>
      <c r="AF212" s="552">
        <v>0</v>
      </c>
      <c r="AG212" s="552">
        <v>0</v>
      </c>
      <c r="AH212" s="552">
        <v>0</v>
      </c>
    </row>
    <row r="213" spans="1:36" ht="14">
      <c r="A213" s="509"/>
      <c r="B213" s="517"/>
      <c r="C213" s="517"/>
      <c r="D213" s="517"/>
      <c r="E213" s="517"/>
      <c r="F213" s="517"/>
      <c r="G213" s="517"/>
      <c r="H213" s="517"/>
      <c r="I213" s="517"/>
      <c r="J213" s="517"/>
      <c r="K213" s="517"/>
      <c r="L213" s="518"/>
      <c r="M213" s="518"/>
      <c r="P213" s="555" t="s">
        <v>187</v>
      </c>
      <c r="Q213" s="556">
        <v>531714</v>
      </c>
      <c r="R213" s="556">
        <v>90271</v>
      </c>
      <c r="S213" s="556">
        <v>621985</v>
      </c>
      <c r="T213" s="556">
        <v>623636</v>
      </c>
      <c r="U213" s="556">
        <v>260033</v>
      </c>
      <c r="V213" s="556">
        <v>883669</v>
      </c>
      <c r="W213" s="556">
        <v>415055</v>
      </c>
      <c r="X213" s="556">
        <v>8665</v>
      </c>
      <c r="Y213" s="556">
        <v>423720</v>
      </c>
      <c r="Z213" s="556">
        <v>21360</v>
      </c>
      <c r="AA213" s="556">
        <v>5554</v>
      </c>
      <c r="AB213" s="556">
        <v>26914</v>
      </c>
      <c r="AC213" s="556">
        <v>16303</v>
      </c>
      <c r="AD213" s="556">
        <v>18457</v>
      </c>
      <c r="AE213" s="556">
        <v>34760</v>
      </c>
      <c r="AF213" s="556">
        <v>262970</v>
      </c>
      <c r="AG213" s="556">
        <v>278267</v>
      </c>
      <c r="AH213" s="556">
        <v>541237</v>
      </c>
      <c r="AI213" s="96">
        <f>S213+V213+Y213+AB213+AE213+AH213</f>
        <v>2532285</v>
      </c>
      <c r="AJ213" s="508"/>
    </row>
    <row r="214" spans="1:36" ht="14">
      <c r="B214" s="520"/>
      <c r="C214" s="520"/>
      <c r="D214" s="520"/>
      <c r="E214" s="520"/>
      <c r="I214" s="520"/>
      <c r="J214" s="520"/>
      <c r="K214" s="520"/>
      <c r="L214" s="520"/>
      <c r="M214" s="520"/>
      <c r="N214" s="520"/>
    </row>
    <row r="215" spans="1:36" ht="14.5" thickBot="1">
      <c r="H215" s="40"/>
      <c r="I215" s="25"/>
      <c r="J215" s="25"/>
      <c r="N215" s="117"/>
    </row>
    <row r="216" spans="1:36" ht="13" thickBot="1">
      <c r="A216" s="833" t="s">
        <v>1348</v>
      </c>
      <c r="B216" s="807"/>
      <c r="C216" s="807"/>
      <c r="D216" s="807"/>
      <c r="E216" s="807"/>
      <c r="F216" s="807"/>
      <c r="G216" s="807"/>
      <c r="H216" s="807"/>
      <c r="I216" s="807"/>
      <c r="J216" s="807"/>
      <c r="K216" s="807"/>
      <c r="L216" s="807"/>
      <c r="M216" s="808"/>
      <c r="N216" s="95"/>
      <c r="P216" s="800" t="s">
        <v>1349</v>
      </c>
      <c r="Q216" s="811" t="s">
        <v>1348</v>
      </c>
      <c r="R216" s="812"/>
      <c r="S216" s="812"/>
      <c r="T216" s="812"/>
      <c r="U216" s="812"/>
      <c r="V216" s="812"/>
      <c r="W216" s="812"/>
      <c r="X216" s="812"/>
      <c r="Y216" s="812"/>
      <c r="Z216" s="812"/>
      <c r="AA216" s="812"/>
      <c r="AB216" s="812"/>
      <c r="AC216" s="812"/>
      <c r="AD216" s="812"/>
      <c r="AE216" s="814"/>
      <c r="AF216" s="814"/>
      <c r="AG216" s="814"/>
      <c r="AH216" s="815"/>
    </row>
    <row r="217" spans="1:36" ht="24" customHeight="1" thickBot="1">
      <c r="A217" s="809" t="s">
        <v>1270</v>
      </c>
      <c r="B217" s="804" t="s">
        <v>1350</v>
      </c>
      <c r="C217" s="802"/>
      <c r="D217" s="804" t="s">
        <v>1351</v>
      </c>
      <c r="E217" s="802"/>
      <c r="F217" s="804" t="s">
        <v>1352</v>
      </c>
      <c r="G217" s="802"/>
      <c r="H217" s="804" t="s">
        <v>1353</v>
      </c>
      <c r="I217" s="802"/>
      <c r="J217" s="804" t="s">
        <v>1354</v>
      </c>
      <c r="K217" s="802"/>
      <c r="L217" s="804" t="s">
        <v>1355</v>
      </c>
      <c r="M217" s="802"/>
      <c r="P217" s="826" t="s">
        <v>1274</v>
      </c>
      <c r="Q217" s="811" t="s">
        <v>223</v>
      </c>
      <c r="R217" s="812"/>
      <c r="S217" s="813"/>
      <c r="T217" s="811" t="s">
        <v>203</v>
      </c>
      <c r="U217" s="812"/>
      <c r="V217" s="813"/>
      <c r="W217" s="811" t="s">
        <v>219</v>
      </c>
      <c r="X217" s="812"/>
      <c r="Y217" s="813"/>
      <c r="Z217" s="811" t="s">
        <v>220</v>
      </c>
      <c r="AA217" s="812"/>
      <c r="AB217" s="813"/>
      <c r="AC217" s="811" t="s">
        <v>222</v>
      </c>
      <c r="AD217" s="812"/>
      <c r="AE217" s="813"/>
      <c r="AF217" s="811" t="s">
        <v>221</v>
      </c>
      <c r="AG217" s="812"/>
      <c r="AH217" s="813"/>
    </row>
    <row r="218" spans="1:36" ht="13.5" customHeight="1" thickBot="1">
      <c r="A218" s="810"/>
      <c r="B218" s="805"/>
      <c r="C218" s="803"/>
      <c r="D218" s="805"/>
      <c r="E218" s="803"/>
      <c r="F218" s="805"/>
      <c r="G218" s="803"/>
      <c r="H218" s="805"/>
      <c r="I218" s="803"/>
      <c r="J218" s="805"/>
      <c r="K218" s="803"/>
      <c r="L218" s="805"/>
      <c r="M218" s="803"/>
      <c r="P218" s="801">
        <v>0</v>
      </c>
      <c r="Q218" s="153" t="s">
        <v>1271</v>
      </c>
      <c r="R218" s="47" t="s">
        <v>1272</v>
      </c>
      <c r="S218" s="154" t="s">
        <v>1295</v>
      </c>
      <c r="T218" s="153" t="s">
        <v>1271</v>
      </c>
      <c r="U218" s="47" t="s">
        <v>1272</v>
      </c>
      <c r="V218" s="154" t="s">
        <v>1295</v>
      </c>
      <c r="W218" s="153" t="s">
        <v>1271</v>
      </c>
      <c r="X218" s="47" t="s">
        <v>1272</v>
      </c>
      <c r="Y218" s="154" t="s">
        <v>1295</v>
      </c>
      <c r="Z218" s="153" t="s">
        <v>1271</v>
      </c>
      <c r="AA218" s="47" t="s">
        <v>1272</v>
      </c>
      <c r="AB218" s="154" t="s">
        <v>1295</v>
      </c>
      <c r="AC218" s="153" t="s">
        <v>1271</v>
      </c>
      <c r="AD218" s="47" t="s">
        <v>1272</v>
      </c>
      <c r="AE218" s="154" t="s">
        <v>1295</v>
      </c>
      <c r="AF218" s="153" t="s">
        <v>1271</v>
      </c>
      <c r="AG218" s="47" t="s">
        <v>1272</v>
      </c>
      <c r="AH218" s="154" t="s">
        <v>1295</v>
      </c>
    </row>
    <row r="219" spans="1:36" ht="14">
      <c r="A219" s="97" t="s">
        <v>2238</v>
      </c>
      <c r="B219" s="501">
        <f t="shared" ref="B219:B237" si="64">$S219*$H36</f>
        <v>20142.146753476656</v>
      </c>
      <c r="C219" s="502"/>
      <c r="D219" s="501">
        <f t="shared" ref="D219:D237" si="65">$V219*$H36</f>
        <v>0</v>
      </c>
      <c r="E219" s="502"/>
      <c r="F219" s="501">
        <f t="shared" ref="F219:F237" si="66">Y219*$H36</f>
        <v>0</v>
      </c>
      <c r="G219" s="502"/>
      <c r="H219" s="501">
        <f t="shared" ref="H219:H237" si="67">AB219*$H36</f>
        <v>0</v>
      </c>
      <c r="I219" s="502"/>
      <c r="J219" s="501">
        <f t="shared" ref="J219:J237" si="68">AE219*$H36</f>
        <v>0</v>
      </c>
      <c r="K219" s="502"/>
      <c r="L219" s="501">
        <f t="shared" ref="L219:L237" si="69">AH219*$H36</f>
        <v>0</v>
      </c>
      <c r="M219" s="502"/>
      <c r="P219" s="98" t="s">
        <v>2238</v>
      </c>
      <c r="Q219" s="564"/>
      <c r="R219" s="564"/>
      <c r="S219" s="553">
        <v>1727</v>
      </c>
      <c r="T219" s="564"/>
      <c r="U219" s="564"/>
      <c r="V219" s="553">
        <v>0</v>
      </c>
      <c r="W219" s="564"/>
      <c r="X219" s="564"/>
      <c r="Y219" s="553">
        <v>0</v>
      </c>
      <c r="Z219" s="564"/>
      <c r="AA219" s="564"/>
      <c r="AB219" s="553">
        <v>0</v>
      </c>
      <c r="AC219" s="564"/>
      <c r="AD219" s="564"/>
      <c r="AE219" s="553">
        <v>0</v>
      </c>
      <c r="AF219" s="564"/>
      <c r="AG219" s="564"/>
      <c r="AH219" s="553">
        <v>0</v>
      </c>
    </row>
    <row r="220" spans="1:36" ht="14">
      <c r="A220" s="504" t="s">
        <v>1239</v>
      </c>
      <c r="B220" s="501">
        <f t="shared" si="64"/>
        <v>0</v>
      </c>
      <c r="C220" s="502"/>
      <c r="D220" s="501">
        <f t="shared" si="65"/>
        <v>0</v>
      </c>
      <c r="E220" s="502"/>
      <c r="F220" s="501">
        <f t="shared" si="66"/>
        <v>0</v>
      </c>
      <c r="G220" s="502"/>
      <c r="H220" s="501">
        <f t="shared" si="67"/>
        <v>0</v>
      </c>
      <c r="I220" s="502"/>
      <c r="J220" s="501">
        <f t="shared" si="68"/>
        <v>0</v>
      </c>
      <c r="K220" s="502"/>
      <c r="L220" s="501">
        <f t="shared" si="69"/>
        <v>0</v>
      </c>
      <c r="M220" s="502"/>
      <c r="P220" s="554" t="s">
        <v>1239</v>
      </c>
      <c r="Q220" s="564"/>
      <c r="R220" s="564"/>
      <c r="S220" s="553">
        <v>0</v>
      </c>
      <c r="T220" s="564"/>
      <c r="U220" s="564"/>
      <c r="V220" s="553">
        <v>0</v>
      </c>
      <c r="W220" s="564"/>
      <c r="X220" s="564"/>
      <c r="Y220" s="553">
        <v>0</v>
      </c>
      <c r="Z220" s="564"/>
      <c r="AA220" s="564"/>
      <c r="AB220" s="553">
        <v>0</v>
      </c>
      <c r="AC220" s="564"/>
      <c r="AD220" s="564"/>
      <c r="AE220" s="553">
        <v>0</v>
      </c>
      <c r="AF220" s="564"/>
      <c r="AG220" s="564"/>
      <c r="AH220" s="553">
        <v>0</v>
      </c>
    </row>
    <row r="221" spans="1:36" ht="14">
      <c r="A221" s="504" t="s">
        <v>1240</v>
      </c>
      <c r="B221" s="501">
        <f t="shared" si="64"/>
        <v>0</v>
      </c>
      <c r="C221" s="502"/>
      <c r="D221" s="501">
        <f t="shared" si="65"/>
        <v>0</v>
      </c>
      <c r="E221" s="502"/>
      <c r="F221" s="501">
        <f t="shared" si="66"/>
        <v>0</v>
      </c>
      <c r="G221" s="502"/>
      <c r="H221" s="501">
        <f t="shared" si="67"/>
        <v>0</v>
      </c>
      <c r="I221" s="502"/>
      <c r="J221" s="501">
        <f t="shared" si="68"/>
        <v>0</v>
      </c>
      <c r="K221" s="502"/>
      <c r="L221" s="501">
        <f t="shared" si="69"/>
        <v>0</v>
      </c>
      <c r="M221" s="502"/>
      <c r="P221" s="554" t="s">
        <v>1240</v>
      </c>
      <c r="Q221" s="564"/>
      <c r="R221" s="564"/>
      <c r="S221" s="553">
        <v>0</v>
      </c>
      <c r="T221" s="564"/>
      <c r="U221" s="564"/>
      <c r="V221" s="553">
        <v>0</v>
      </c>
      <c r="W221" s="564"/>
      <c r="X221" s="564"/>
      <c r="Y221" s="553">
        <v>0</v>
      </c>
      <c r="Z221" s="564"/>
      <c r="AA221" s="564"/>
      <c r="AB221" s="553">
        <v>0</v>
      </c>
      <c r="AC221" s="564"/>
      <c r="AD221" s="564"/>
      <c r="AE221" s="553">
        <v>0</v>
      </c>
      <c r="AF221" s="564"/>
      <c r="AG221" s="564"/>
      <c r="AH221" s="553">
        <v>0</v>
      </c>
    </row>
    <row r="222" spans="1:36" ht="14">
      <c r="A222" s="504" t="s">
        <v>1241</v>
      </c>
      <c r="B222" s="501">
        <f t="shared" si="64"/>
        <v>0</v>
      </c>
      <c r="C222" s="502"/>
      <c r="D222" s="501">
        <f t="shared" si="65"/>
        <v>0</v>
      </c>
      <c r="E222" s="502"/>
      <c r="F222" s="501">
        <f t="shared" si="66"/>
        <v>0</v>
      </c>
      <c r="G222" s="502"/>
      <c r="H222" s="501">
        <f t="shared" si="67"/>
        <v>0</v>
      </c>
      <c r="I222" s="502"/>
      <c r="J222" s="501">
        <f t="shared" si="68"/>
        <v>0</v>
      </c>
      <c r="K222" s="502"/>
      <c r="L222" s="501">
        <f t="shared" si="69"/>
        <v>0</v>
      </c>
      <c r="M222" s="502"/>
      <c r="P222" s="554" t="s">
        <v>1241</v>
      </c>
      <c r="Q222" s="564"/>
      <c r="R222" s="564"/>
      <c r="S222" s="553">
        <v>0</v>
      </c>
      <c r="T222" s="564"/>
      <c r="U222" s="564"/>
      <c r="V222" s="553">
        <v>0</v>
      </c>
      <c r="W222" s="564"/>
      <c r="X222" s="564"/>
      <c r="Y222" s="553">
        <v>0</v>
      </c>
      <c r="Z222" s="564"/>
      <c r="AA222" s="564"/>
      <c r="AB222" s="553">
        <v>0</v>
      </c>
      <c r="AC222" s="564"/>
      <c r="AD222" s="564"/>
      <c r="AE222" s="553">
        <v>0</v>
      </c>
      <c r="AF222" s="564"/>
      <c r="AG222" s="564"/>
      <c r="AH222" s="553">
        <v>0</v>
      </c>
    </row>
    <row r="223" spans="1:36" ht="14">
      <c r="A223" s="504" t="s">
        <v>1242</v>
      </c>
      <c r="B223" s="501">
        <f t="shared" si="64"/>
        <v>0</v>
      </c>
      <c r="C223" s="502"/>
      <c r="D223" s="501">
        <f t="shared" si="65"/>
        <v>0</v>
      </c>
      <c r="E223" s="502"/>
      <c r="F223" s="501">
        <f t="shared" si="66"/>
        <v>0</v>
      </c>
      <c r="G223" s="502"/>
      <c r="H223" s="501">
        <f t="shared" si="67"/>
        <v>0</v>
      </c>
      <c r="I223" s="502"/>
      <c r="J223" s="501">
        <f t="shared" si="68"/>
        <v>0</v>
      </c>
      <c r="K223" s="502"/>
      <c r="L223" s="501">
        <f t="shared" si="69"/>
        <v>0</v>
      </c>
      <c r="M223" s="502"/>
      <c r="P223" s="554" t="s">
        <v>1242</v>
      </c>
      <c r="Q223" s="564"/>
      <c r="R223" s="564"/>
      <c r="S223" s="553">
        <v>0</v>
      </c>
      <c r="T223" s="564"/>
      <c r="U223" s="564"/>
      <c r="V223" s="553">
        <v>0</v>
      </c>
      <c r="W223" s="564"/>
      <c r="X223" s="564"/>
      <c r="Y223" s="553">
        <v>0</v>
      </c>
      <c r="Z223" s="564"/>
      <c r="AA223" s="564"/>
      <c r="AB223" s="553">
        <v>0</v>
      </c>
      <c r="AC223" s="564"/>
      <c r="AD223" s="564"/>
      <c r="AE223" s="553">
        <v>0</v>
      </c>
      <c r="AF223" s="564"/>
      <c r="AG223" s="564"/>
      <c r="AH223" s="553">
        <v>0</v>
      </c>
    </row>
    <row r="224" spans="1:36" ht="14">
      <c r="A224" s="504" t="s">
        <v>1243</v>
      </c>
      <c r="B224" s="501">
        <f t="shared" si="64"/>
        <v>0</v>
      </c>
      <c r="C224" s="502"/>
      <c r="D224" s="501">
        <f t="shared" si="65"/>
        <v>0</v>
      </c>
      <c r="E224" s="502"/>
      <c r="F224" s="501">
        <f t="shared" si="66"/>
        <v>0</v>
      </c>
      <c r="G224" s="502"/>
      <c r="H224" s="501">
        <f t="shared" si="67"/>
        <v>0</v>
      </c>
      <c r="I224" s="502"/>
      <c r="J224" s="501">
        <f t="shared" si="68"/>
        <v>0</v>
      </c>
      <c r="K224" s="502"/>
      <c r="L224" s="501">
        <f t="shared" si="69"/>
        <v>0</v>
      </c>
      <c r="M224" s="502"/>
      <c r="P224" s="554" t="s">
        <v>1243</v>
      </c>
      <c r="Q224" s="564"/>
      <c r="R224" s="564"/>
      <c r="S224" s="553">
        <v>0</v>
      </c>
      <c r="T224" s="564"/>
      <c r="U224" s="564"/>
      <c r="V224" s="553">
        <v>0</v>
      </c>
      <c r="W224" s="564"/>
      <c r="X224" s="564"/>
      <c r="Y224" s="553">
        <v>0</v>
      </c>
      <c r="Z224" s="564"/>
      <c r="AA224" s="564"/>
      <c r="AB224" s="553">
        <v>0</v>
      </c>
      <c r="AC224" s="564"/>
      <c r="AD224" s="564"/>
      <c r="AE224" s="553">
        <v>0</v>
      </c>
      <c r="AF224" s="564"/>
      <c r="AG224" s="564"/>
      <c r="AH224" s="553">
        <v>0</v>
      </c>
    </row>
    <row r="225" spans="1:35" ht="14">
      <c r="A225" s="504" t="s">
        <v>1244</v>
      </c>
      <c r="B225" s="501">
        <f t="shared" si="64"/>
        <v>0</v>
      </c>
      <c r="C225" s="502"/>
      <c r="D225" s="501">
        <f t="shared" si="65"/>
        <v>0</v>
      </c>
      <c r="E225" s="502"/>
      <c r="F225" s="501">
        <f t="shared" si="66"/>
        <v>0</v>
      </c>
      <c r="G225" s="502"/>
      <c r="H225" s="501">
        <f t="shared" si="67"/>
        <v>0</v>
      </c>
      <c r="I225" s="502"/>
      <c r="J225" s="501">
        <f t="shared" si="68"/>
        <v>0</v>
      </c>
      <c r="K225" s="502"/>
      <c r="L225" s="501">
        <f t="shared" si="69"/>
        <v>0</v>
      </c>
      <c r="M225" s="502"/>
      <c r="P225" s="554" t="s">
        <v>1244</v>
      </c>
      <c r="Q225" s="564"/>
      <c r="R225" s="564"/>
      <c r="S225" s="553">
        <v>0</v>
      </c>
      <c r="T225" s="564"/>
      <c r="U225" s="564"/>
      <c r="V225" s="553">
        <v>0</v>
      </c>
      <c r="W225" s="564"/>
      <c r="X225" s="564"/>
      <c r="Y225" s="553">
        <v>0</v>
      </c>
      <c r="Z225" s="564"/>
      <c r="AA225" s="564"/>
      <c r="AB225" s="553">
        <v>0</v>
      </c>
      <c r="AC225" s="564"/>
      <c r="AD225" s="564"/>
      <c r="AE225" s="553">
        <v>0</v>
      </c>
      <c r="AF225" s="564"/>
      <c r="AG225" s="564"/>
      <c r="AH225" s="553">
        <v>0</v>
      </c>
    </row>
    <row r="226" spans="1:35" ht="14">
      <c r="A226" s="506" t="s">
        <v>1245</v>
      </c>
      <c r="B226" s="501">
        <f t="shared" si="64"/>
        <v>0</v>
      </c>
      <c r="C226" s="502"/>
      <c r="D226" s="501">
        <f t="shared" si="65"/>
        <v>0</v>
      </c>
      <c r="E226" s="502"/>
      <c r="F226" s="501">
        <f t="shared" si="66"/>
        <v>0</v>
      </c>
      <c r="G226" s="502"/>
      <c r="H226" s="501">
        <f t="shared" si="67"/>
        <v>0</v>
      </c>
      <c r="I226" s="502"/>
      <c r="J226" s="501">
        <f t="shared" si="68"/>
        <v>0</v>
      </c>
      <c r="K226" s="502"/>
      <c r="L226" s="501">
        <f t="shared" si="69"/>
        <v>0</v>
      </c>
      <c r="M226" s="502"/>
      <c r="P226" s="98" t="s">
        <v>1245</v>
      </c>
      <c r="Q226" s="564"/>
      <c r="R226" s="564"/>
      <c r="S226" s="553">
        <v>6512</v>
      </c>
      <c r="T226" s="564"/>
      <c r="U226" s="564"/>
      <c r="V226" s="553">
        <v>883218</v>
      </c>
      <c r="W226" s="564"/>
      <c r="X226" s="564"/>
      <c r="Y226" s="553">
        <v>0</v>
      </c>
      <c r="Z226" s="564"/>
      <c r="AA226" s="564"/>
      <c r="AB226" s="553">
        <v>0</v>
      </c>
      <c r="AC226" s="564"/>
      <c r="AD226" s="564"/>
      <c r="AE226" s="553">
        <v>15543</v>
      </c>
      <c r="AF226" s="564"/>
      <c r="AG226" s="564"/>
      <c r="AH226" s="553">
        <v>145085</v>
      </c>
    </row>
    <row r="227" spans="1:35" ht="14">
      <c r="A227" s="506" t="s">
        <v>1246</v>
      </c>
      <c r="B227" s="501">
        <f t="shared" si="64"/>
        <v>0</v>
      </c>
      <c r="C227" s="502"/>
      <c r="D227" s="501">
        <f t="shared" si="65"/>
        <v>0</v>
      </c>
      <c r="E227" s="502"/>
      <c r="F227" s="501">
        <f t="shared" si="66"/>
        <v>0</v>
      </c>
      <c r="G227" s="502"/>
      <c r="H227" s="501">
        <f t="shared" si="67"/>
        <v>0</v>
      </c>
      <c r="I227" s="502"/>
      <c r="J227" s="501">
        <f t="shared" si="68"/>
        <v>0</v>
      </c>
      <c r="K227" s="502"/>
      <c r="L227" s="501">
        <f t="shared" si="69"/>
        <v>0</v>
      </c>
      <c r="M227" s="502"/>
      <c r="P227" s="98" t="s">
        <v>1246</v>
      </c>
      <c r="Q227" s="564"/>
      <c r="R227" s="564"/>
      <c r="S227" s="553">
        <v>0</v>
      </c>
      <c r="T227" s="564"/>
      <c r="U227" s="564"/>
      <c r="V227" s="553">
        <v>0</v>
      </c>
      <c r="W227" s="564"/>
      <c r="X227" s="564"/>
      <c r="Y227" s="553">
        <v>0</v>
      </c>
      <c r="Z227" s="564"/>
      <c r="AA227" s="564"/>
      <c r="AB227" s="553">
        <v>0</v>
      </c>
      <c r="AC227" s="564"/>
      <c r="AD227" s="564"/>
      <c r="AE227" s="553">
        <v>0</v>
      </c>
      <c r="AF227" s="564"/>
      <c r="AG227" s="564"/>
      <c r="AH227" s="553">
        <v>0</v>
      </c>
    </row>
    <row r="228" spans="1:35" ht="14">
      <c r="A228" s="504" t="s">
        <v>1247</v>
      </c>
      <c r="B228" s="501">
        <f t="shared" si="64"/>
        <v>0</v>
      </c>
      <c r="C228" s="502"/>
      <c r="D228" s="501">
        <f t="shared" si="65"/>
        <v>0</v>
      </c>
      <c r="E228" s="502"/>
      <c r="F228" s="501">
        <f t="shared" si="66"/>
        <v>0</v>
      </c>
      <c r="G228" s="502"/>
      <c r="H228" s="501">
        <f t="shared" si="67"/>
        <v>0</v>
      </c>
      <c r="I228" s="502"/>
      <c r="J228" s="501">
        <f t="shared" si="68"/>
        <v>0</v>
      </c>
      <c r="K228" s="502"/>
      <c r="L228" s="501">
        <f t="shared" si="69"/>
        <v>0</v>
      </c>
      <c r="M228" s="502"/>
      <c r="P228" s="554" t="s">
        <v>1247</v>
      </c>
      <c r="Q228" s="564"/>
      <c r="R228" s="564"/>
      <c r="S228" s="553">
        <v>0</v>
      </c>
      <c r="T228" s="564"/>
      <c r="U228" s="564"/>
      <c r="V228" s="553">
        <v>0</v>
      </c>
      <c r="W228" s="564"/>
      <c r="X228" s="564"/>
      <c r="Y228" s="553">
        <v>0</v>
      </c>
      <c r="Z228" s="564"/>
      <c r="AA228" s="564"/>
      <c r="AB228" s="553">
        <v>0</v>
      </c>
      <c r="AC228" s="564"/>
      <c r="AD228" s="564"/>
      <c r="AE228" s="553">
        <v>0</v>
      </c>
      <c r="AF228" s="564"/>
      <c r="AG228" s="564"/>
      <c r="AH228" s="553">
        <v>0</v>
      </c>
    </row>
    <row r="229" spans="1:35" ht="14">
      <c r="A229" s="504" t="s">
        <v>1248</v>
      </c>
      <c r="B229" s="501">
        <f t="shared" si="64"/>
        <v>4328625.4799875924</v>
      </c>
      <c r="C229" s="502"/>
      <c r="D229" s="501">
        <f t="shared" si="65"/>
        <v>944406.59595600388</v>
      </c>
      <c r="E229" s="502"/>
      <c r="F229" s="501">
        <f t="shared" si="66"/>
        <v>0</v>
      </c>
      <c r="G229" s="502"/>
      <c r="H229" s="501">
        <f t="shared" si="67"/>
        <v>484309.57958200242</v>
      </c>
      <c r="I229" s="502"/>
      <c r="J229" s="501">
        <f t="shared" si="68"/>
        <v>69092.111967339733</v>
      </c>
      <c r="K229" s="502"/>
      <c r="L229" s="501">
        <f t="shared" si="69"/>
        <v>0</v>
      </c>
      <c r="M229" s="502"/>
      <c r="P229" s="554" t="s">
        <v>1248</v>
      </c>
      <c r="Q229" s="564"/>
      <c r="R229" s="564"/>
      <c r="S229" s="553">
        <v>371139</v>
      </c>
      <c r="T229" s="564"/>
      <c r="U229" s="564"/>
      <c r="V229" s="553">
        <v>80974</v>
      </c>
      <c r="W229" s="564"/>
      <c r="X229" s="564"/>
      <c r="Y229" s="553">
        <v>0</v>
      </c>
      <c r="Z229" s="564"/>
      <c r="AA229" s="564"/>
      <c r="AB229" s="553">
        <v>41525</v>
      </c>
      <c r="AC229" s="564"/>
      <c r="AD229" s="564"/>
      <c r="AE229" s="553">
        <v>5924</v>
      </c>
      <c r="AF229" s="564"/>
      <c r="AG229" s="564"/>
      <c r="AH229" s="553">
        <v>0</v>
      </c>
    </row>
    <row r="230" spans="1:35" ht="14">
      <c r="A230" s="504" t="s">
        <v>1249</v>
      </c>
      <c r="B230" s="501">
        <f t="shared" si="64"/>
        <v>0</v>
      </c>
      <c r="C230" s="502"/>
      <c r="D230" s="501">
        <f t="shared" si="65"/>
        <v>0</v>
      </c>
      <c r="E230" s="502"/>
      <c r="F230" s="501">
        <f t="shared" si="66"/>
        <v>0</v>
      </c>
      <c r="G230" s="502"/>
      <c r="H230" s="501">
        <f t="shared" si="67"/>
        <v>0</v>
      </c>
      <c r="I230" s="502"/>
      <c r="J230" s="501">
        <f t="shared" si="68"/>
        <v>0</v>
      </c>
      <c r="K230" s="502"/>
      <c r="L230" s="501">
        <f t="shared" si="69"/>
        <v>0</v>
      </c>
      <c r="M230" s="502"/>
      <c r="P230" s="554" t="s">
        <v>1249</v>
      </c>
      <c r="Q230" s="564"/>
      <c r="R230" s="564"/>
      <c r="S230" s="553">
        <v>0</v>
      </c>
      <c r="T230" s="564"/>
      <c r="U230" s="564"/>
      <c r="V230" s="553">
        <v>0</v>
      </c>
      <c r="W230" s="564"/>
      <c r="X230" s="564"/>
      <c r="Y230" s="553">
        <v>0</v>
      </c>
      <c r="Z230" s="564"/>
      <c r="AA230" s="564"/>
      <c r="AB230" s="553">
        <v>0</v>
      </c>
      <c r="AC230" s="564"/>
      <c r="AD230" s="564"/>
      <c r="AE230" s="553">
        <v>0</v>
      </c>
      <c r="AF230" s="564"/>
      <c r="AG230" s="564"/>
      <c r="AH230" s="553">
        <v>0</v>
      </c>
    </row>
    <row r="231" spans="1:35" ht="14">
      <c r="A231" s="504" t="s">
        <v>1250</v>
      </c>
      <c r="B231" s="501">
        <f t="shared" si="64"/>
        <v>0</v>
      </c>
      <c r="C231" s="502"/>
      <c r="D231" s="501">
        <f t="shared" si="65"/>
        <v>0</v>
      </c>
      <c r="E231" s="502"/>
      <c r="F231" s="501">
        <f t="shared" si="66"/>
        <v>0</v>
      </c>
      <c r="G231" s="502"/>
      <c r="H231" s="501">
        <f t="shared" si="67"/>
        <v>0</v>
      </c>
      <c r="I231" s="502"/>
      <c r="J231" s="501">
        <f t="shared" si="68"/>
        <v>0</v>
      </c>
      <c r="K231" s="502"/>
      <c r="L231" s="501">
        <f t="shared" si="69"/>
        <v>0</v>
      </c>
      <c r="M231" s="502"/>
      <c r="P231" s="554" t="s">
        <v>1250</v>
      </c>
      <c r="Q231" s="564"/>
      <c r="R231" s="564"/>
      <c r="S231" s="553">
        <v>0</v>
      </c>
      <c r="T231" s="564"/>
      <c r="U231" s="564"/>
      <c r="V231" s="553">
        <v>0</v>
      </c>
      <c r="W231" s="564"/>
      <c r="X231" s="564"/>
      <c r="Y231" s="553">
        <v>0</v>
      </c>
      <c r="Z231" s="564"/>
      <c r="AA231" s="564"/>
      <c r="AB231" s="553">
        <v>0</v>
      </c>
      <c r="AC231" s="564"/>
      <c r="AD231" s="564"/>
      <c r="AE231" s="553">
        <v>0</v>
      </c>
      <c r="AF231" s="564"/>
      <c r="AG231" s="564"/>
      <c r="AH231" s="553">
        <v>0</v>
      </c>
    </row>
    <row r="232" spans="1:35" ht="14">
      <c r="A232" s="504" t="s">
        <v>1251</v>
      </c>
      <c r="B232" s="501">
        <f t="shared" si="64"/>
        <v>0</v>
      </c>
      <c r="C232" s="502"/>
      <c r="D232" s="501">
        <f t="shared" si="65"/>
        <v>0</v>
      </c>
      <c r="E232" s="502"/>
      <c r="F232" s="501">
        <f t="shared" si="66"/>
        <v>0</v>
      </c>
      <c r="G232" s="502"/>
      <c r="H232" s="501">
        <f t="shared" si="67"/>
        <v>0</v>
      </c>
      <c r="I232" s="502"/>
      <c r="J232" s="501">
        <f t="shared" si="68"/>
        <v>0</v>
      </c>
      <c r="K232" s="502"/>
      <c r="L232" s="501">
        <f t="shared" si="69"/>
        <v>0</v>
      </c>
      <c r="M232" s="502"/>
      <c r="P232" s="554" t="s">
        <v>1251</v>
      </c>
      <c r="Q232" s="564"/>
      <c r="R232" s="564"/>
      <c r="S232" s="553">
        <v>0</v>
      </c>
      <c r="T232" s="564"/>
      <c r="U232" s="564"/>
      <c r="V232" s="553">
        <v>0</v>
      </c>
      <c r="W232" s="564"/>
      <c r="X232" s="564"/>
      <c r="Y232" s="553">
        <v>0</v>
      </c>
      <c r="Z232" s="564"/>
      <c r="AA232" s="564"/>
      <c r="AB232" s="553">
        <v>0</v>
      </c>
      <c r="AC232" s="564"/>
      <c r="AD232" s="564"/>
      <c r="AE232" s="553">
        <v>0</v>
      </c>
      <c r="AF232" s="564"/>
      <c r="AG232" s="564"/>
      <c r="AH232" s="553">
        <v>0</v>
      </c>
    </row>
    <row r="233" spans="1:35" ht="14">
      <c r="A233" s="504" t="s">
        <v>1252</v>
      </c>
      <c r="B233" s="501">
        <f t="shared" si="64"/>
        <v>0</v>
      </c>
      <c r="C233" s="502"/>
      <c r="D233" s="501">
        <f t="shared" si="65"/>
        <v>0</v>
      </c>
      <c r="E233" s="502"/>
      <c r="F233" s="501">
        <f t="shared" si="66"/>
        <v>0</v>
      </c>
      <c r="G233" s="502"/>
      <c r="H233" s="501">
        <f t="shared" si="67"/>
        <v>0</v>
      </c>
      <c r="I233" s="502"/>
      <c r="J233" s="501">
        <f t="shared" si="68"/>
        <v>0</v>
      </c>
      <c r="K233" s="502"/>
      <c r="L233" s="501">
        <f t="shared" si="69"/>
        <v>0</v>
      </c>
      <c r="M233" s="502"/>
      <c r="P233" s="554" t="s">
        <v>1252</v>
      </c>
      <c r="Q233" s="564"/>
      <c r="R233" s="564"/>
      <c r="S233" s="553">
        <v>0</v>
      </c>
      <c r="T233" s="564"/>
      <c r="U233" s="564"/>
      <c r="V233" s="553">
        <v>0</v>
      </c>
      <c r="W233" s="564"/>
      <c r="X233" s="564"/>
      <c r="Y233" s="553">
        <v>0</v>
      </c>
      <c r="Z233" s="564"/>
      <c r="AA233" s="564"/>
      <c r="AB233" s="553">
        <v>0</v>
      </c>
      <c r="AC233" s="564"/>
      <c r="AD233" s="564"/>
      <c r="AE233" s="553">
        <v>0</v>
      </c>
      <c r="AF233" s="564"/>
      <c r="AG233" s="564"/>
      <c r="AH233" s="553">
        <v>0</v>
      </c>
    </row>
    <row r="234" spans="1:35" ht="14">
      <c r="A234" s="98" t="s">
        <v>1253</v>
      </c>
      <c r="B234" s="501">
        <f t="shared" si="64"/>
        <v>0</v>
      </c>
      <c r="C234" s="502"/>
      <c r="D234" s="501">
        <f t="shared" si="65"/>
        <v>0</v>
      </c>
      <c r="E234" s="502"/>
      <c r="F234" s="501">
        <f t="shared" si="66"/>
        <v>0</v>
      </c>
      <c r="G234" s="502"/>
      <c r="H234" s="501">
        <f t="shared" si="67"/>
        <v>0</v>
      </c>
      <c r="I234" s="502"/>
      <c r="J234" s="501">
        <f t="shared" si="68"/>
        <v>0</v>
      </c>
      <c r="K234" s="502"/>
      <c r="L234" s="501">
        <f t="shared" si="69"/>
        <v>0</v>
      </c>
      <c r="M234" s="502"/>
      <c r="P234" s="98" t="s">
        <v>1253</v>
      </c>
      <c r="Q234" s="564"/>
      <c r="R234" s="564"/>
      <c r="S234" s="553">
        <v>0</v>
      </c>
      <c r="T234" s="564"/>
      <c r="U234" s="564"/>
      <c r="V234" s="553">
        <v>0</v>
      </c>
      <c r="W234" s="564"/>
      <c r="X234" s="564"/>
      <c r="Y234" s="553">
        <v>0</v>
      </c>
      <c r="Z234" s="564"/>
      <c r="AA234" s="564"/>
      <c r="AB234" s="553">
        <v>0</v>
      </c>
      <c r="AC234" s="564"/>
      <c r="AD234" s="564"/>
      <c r="AE234" s="553">
        <v>0</v>
      </c>
      <c r="AF234" s="564"/>
      <c r="AG234" s="564"/>
      <c r="AH234" s="553">
        <v>0</v>
      </c>
    </row>
    <row r="235" spans="1:35" ht="14">
      <c r="A235" s="504" t="s">
        <v>1254</v>
      </c>
      <c r="B235" s="501">
        <f t="shared" si="64"/>
        <v>0</v>
      </c>
      <c r="C235" s="502"/>
      <c r="D235" s="501">
        <f t="shared" si="65"/>
        <v>0</v>
      </c>
      <c r="E235" s="502"/>
      <c r="F235" s="501">
        <f t="shared" si="66"/>
        <v>0</v>
      </c>
      <c r="G235" s="502"/>
      <c r="H235" s="501">
        <f t="shared" si="67"/>
        <v>0</v>
      </c>
      <c r="I235" s="502"/>
      <c r="J235" s="501">
        <f t="shared" si="68"/>
        <v>0</v>
      </c>
      <c r="K235" s="502"/>
      <c r="L235" s="501">
        <f t="shared" si="69"/>
        <v>0</v>
      </c>
      <c r="M235" s="502"/>
      <c r="P235" s="554" t="s">
        <v>1254</v>
      </c>
      <c r="Q235" s="564"/>
      <c r="R235" s="564"/>
      <c r="S235" s="553">
        <v>0</v>
      </c>
      <c r="T235" s="564"/>
      <c r="U235" s="564"/>
      <c r="V235" s="553">
        <v>0</v>
      </c>
      <c r="W235" s="564"/>
      <c r="X235" s="564"/>
      <c r="Y235" s="553">
        <v>0</v>
      </c>
      <c r="Z235" s="564"/>
      <c r="AA235" s="564"/>
      <c r="AB235" s="553">
        <v>0</v>
      </c>
      <c r="AC235" s="564"/>
      <c r="AD235" s="564"/>
      <c r="AE235" s="553">
        <v>0</v>
      </c>
      <c r="AF235" s="564"/>
      <c r="AG235" s="564"/>
      <c r="AH235" s="553">
        <v>0</v>
      </c>
    </row>
    <row r="236" spans="1:35" ht="14">
      <c r="A236" s="504" t="s">
        <v>1255</v>
      </c>
      <c r="B236" s="501">
        <f t="shared" si="64"/>
        <v>0</v>
      </c>
      <c r="C236" s="502"/>
      <c r="D236" s="501">
        <f t="shared" si="65"/>
        <v>0</v>
      </c>
      <c r="E236" s="502"/>
      <c r="F236" s="501">
        <f t="shared" si="66"/>
        <v>0</v>
      </c>
      <c r="G236" s="502"/>
      <c r="H236" s="501">
        <f t="shared" si="67"/>
        <v>0</v>
      </c>
      <c r="I236" s="502"/>
      <c r="J236" s="501">
        <f t="shared" si="68"/>
        <v>0</v>
      </c>
      <c r="K236" s="502"/>
      <c r="L236" s="501">
        <f t="shared" si="69"/>
        <v>0</v>
      </c>
      <c r="M236" s="502"/>
      <c r="P236" s="554" t="s">
        <v>1255</v>
      </c>
      <c r="Q236" s="564"/>
      <c r="R236" s="564"/>
      <c r="S236" s="553">
        <v>1149439</v>
      </c>
      <c r="T236" s="564"/>
      <c r="U236" s="564"/>
      <c r="V236" s="553">
        <v>653687</v>
      </c>
      <c r="W236" s="564"/>
      <c r="X236" s="564"/>
      <c r="Y236" s="553">
        <v>455</v>
      </c>
      <c r="Z236" s="564"/>
      <c r="AA236" s="564"/>
      <c r="AB236" s="553">
        <v>226643</v>
      </c>
      <c r="AC236" s="564"/>
      <c r="AD236" s="564"/>
      <c r="AE236" s="553">
        <v>295962</v>
      </c>
      <c r="AF236" s="564"/>
      <c r="AG236" s="564"/>
      <c r="AH236" s="553">
        <v>0</v>
      </c>
    </row>
    <row r="237" spans="1:35" ht="14.5" thickBot="1">
      <c r="A237" s="516" t="s">
        <v>1256</v>
      </c>
      <c r="B237" s="501">
        <f t="shared" si="64"/>
        <v>0</v>
      </c>
      <c r="C237" s="502"/>
      <c r="D237" s="501">
        <f t="shared" si="65"/>
        <v>0</v>
      </c>
      <c r="E237" s="502"/>
      <c r="F237" s="501">
        <f t="shared" si="66"/>
        <v>0</v>
      </c>
      <c r="G237" s="502"/>
      <c r="H237" s="501">
        <f t="shared" si="67"/>
        <v>0</v>
      </c>
      <c r="I237" s="502"/>
      <c r="J237" s="501">
        <f t="shared" si="68"/>
        <v>0</v>
      </c>
      <c r="K237" s="502"/>
      <c r="L237" s="501">
        <f t="shared" si="69"/>
        <v>0</v>
      </c>
      <c r="M237" s="502"/>
      <c r="P237" s="554" t="s">
        <v>1256</v>
      </c>
      <c r="Q237" s="564"/>
      <c r="R237" s="564"/>
      <c r="S237" s="553">
        <v>0</v>
      </c>
      <c r="T237" s="564"/>
      <c r="U237" s="564"/>
      <c r="V237" s="553">
        <v>0</v>
      </c>
      <c r="W237" s="564"/>
      <c r="X237" s="564"/>
      <c r="Y237" s="553">
        <v>0</v>
      </c>
      <c r="Z237" s="564"/>
      <c r="AA237" s="564"/>
      <c r="AB237" s="553">
        <v>0</v>
      </c>
      <c r="AC237" s="564"/>
      <c r="AD237" s="564"/>
      <c r="AE237" s="553">
        <v>0</v>
      </c>
      <c r="AF237" s="564"/>
      <c r="AG237" s="564"/>
      <c r="AH237" s="553">
        <v>0</v>
      </c>
    </row>
    <row r="238" spans="1:35" ht="14.5" thickBot="1">
      <c r="A238" s="516" t="s">
        <v>2255</v>
      </c>
      <c r="B238" s="501"/>
      <c r="C238" s="502"/>
      <c r="D238" s="501"/>
      <c r="E238" s="502"/>
      <c r="F238" s="501"/>
      <c r="G238" s="502"/>
      <c r="H238" s="501"/>
      <c r="I238" s="502"/>
      <c r="J238" s="501"/>
      <c r="K238" s="502"/>
      <c r="L238" s="501"/>
      <c r="M238" s="502"/>
      <c r="P238" s="565" t="s">
        <v>2244</v>
      </c>
      <c r="Q238" s="564"/>
      <c r="R238" s="564"/>
      <c r="S238" s="553">
        <v>0</v>
      </c>
      <c r="T238" s="564"/>
      <c r="U238" s="564"/>
      <c r="V238" s="553">
        <v>0</v>
      </c>
      <c r="W238" s="564"/>
      <c r="X238" s="564"/>
      <c r="Y238" s="553">
        <v>0</v>
      </c>
      <c r="Z238" s="564"/>
      <c r="AA238" s="564"/>
      <c r="AB238" s="553">
        <v>0</v>
      </c>
      <c r="AC238" s="564"/>
      <c r="AD238" s="564"/>
      <c r="AE238" s="553">
        <v>0</v>
      </c>
      <c r="AF238" s="564"/>
      <c r="AG238" s="564"/>
      <c r="AH238" s="566">
        <v>28964</v>
      </c>
      <c r="AI238" s="529">
        <v>28964</v>
      </c>
    </row>
    <row r="239" spans="1:35" ht="14">
      <c r="A239" s="509"/>
      <c r="B239" s="517"/>
      <c r="C239" s="517"/>
      <c r="D239" s="517"/>
      <c r="E239" s="517"/>
      <c r="F239" s="517"/>
      <c r="G239" s="517"/>
      <c r="H239" s="517"/>
      <c r="I239" s="517"/>
      <c r="J239" s="517"/>
      <c r="K239" s="517"/>
      <c r="L239" s="517"/>
      <c r="M239" s="517"/>
      <c r="P239" s="555" t="s">
        <v>187</v>
      </c>
      <c r="Q239" s="564"/>
      <c r="R239" s="564"/>
      <c r="S239" s="556">
        <v>1528817</v>
      </c>
      <c r="T239" s="564"/>
      <c r="U239" s="564"/>
      <c r="V239" s="556">
        <v>1617879</v>
      </c>
      <c r="W239" s="564"/>
      <c r="X239" s="564"/>
      <c r="Y239" s="556">
        <v>455</v>
      </c>
      <c r="Z239" s="564"/>
      <c r="AA239" s="564"/>
      <c r="AB239" s="556">
        <v>268168</v>
      </c>
      <c r="AC239" s="564"/>
      <c r="AD239" s="564"/>
      <c r="AE239" s="556">
        <v>317429</v>
      </c>
      <c r="AF239" s="564"/>
      <c r="AG239" s="564"/>
      <c r="AH239" s="556">
        <v>174049</v>
      </c>
      <c r="AI239" s="96">
        <f>S239+V239+Y239+AB239+AE239+AH239</f>
        <v>3906797</v>
      </c>
    </row>
    <row r="240" spans="1:35" ht="14">
      <c r="A240" s="519"/>
      <c r="B240" s="520"/>
      <c r="C240" s="520"/>
      <c r="D240" s="520"/>
      <c r="E240" s="520"/>
      <c r="I240" s="520"/>
      <c r="J240" s="520"/>
      <c r="K240" s="520"/>
      <c r="L240" s="520"/>
      <c r="M240" s="520"/>
      <c r="N240" s="520"/>
      <c r="S240" s="567"/>
      <c r="V240" s="567"/>
      <c r="Y240" s="567"/>
      <c r="AB240" s="567"/>
      <c r="AE240" s="567"/>
      <c r="AH240" s="567"/>
    </row>
    <row r="241" spans="1:41" ht="13" thickBot="1"/>
    <row r="242" spans="1:41" ht="21" customHeight="1" thickBot="1">
      <c r="A242" s="833" t="s">
        <v>2483</v>
      </c>
      <c r="B242" s="807"/>
      <c r="C242" s="807"/>
      <c r="D242" s="807"/>
      <c r="E242" s="807"/>
      <c r="F242" s="807"/>
      <c r="G242" s="807"/>
      <c r="H242" s="807"/>
      <c r="I242" s="807"/>
      <c r="J242" s="807"/>
      <c r="K242" s="807"/>
      <c r="L242" s="807"/>
      <c r="M242" s="808"/>
      <c r="N242" s="95"/>
      <c r="P242" s="530" t="s">
        <v>2471</v>
      </c>
      <c r="Q242" s="811" t="s">
        <v>2472</v>
      </c>
      <c r="R242" s="812"/>
      <c r="S242" s="812"/>
      <c r="T242" s="812"/>
      <c r="U242" s="812"/>
      <c r="V242" s="812"/>
      <c r="W242" s="812"/>
      <c r="X242" s="812"/>
      <c r="Y242" s="812"/>
      <c r="Z242" s="812"/>
      <c r="AA242" s="812"/>
      <c r="AB242" s="812"/>
      <c r="AC242" s="812"/>
      <c r="AD242" s="812"/>
      <c r="AE242" s="812"/>
      <c r="AF242" s="812"/>
      <c r="AG242" s="812"/>
      <c r="AH242" s="812"/>
      <c r="AI242" s="812"/>
      <c r="AJ242" s="812"/>
      <c r="AK242" s="812"/>
      <c r="AL242" s="812"/>
      <c r="AM242" s="812"/>
      <c r="AN242" s="813"/>
    </row>
    <row r="243" spans="1:41" ht="24" customHeight="1" thickBot="1">
      <c r="A243" s="809" t="s">
        <v>1270</v>
      </c>
      <c r="B243" s="804" t="s">
        <v>1357</v>
      </c>
      <c r="C243" s="802"/>
      <c r="D243" s="804" t="s">
        <v>1358</v>
      </c>
      <c r="E243" s="802"/>
      <c r="F243" s="804" t="s">
        <v>1359</v>
      </c>
      <c r="G243" s="802"/>
      <c r="H243" s="804" t="s">
        <v>1360</v>
      </c>
      <c r="I243" s="802"/>
      <c r="J243" s="804" t="s">
        <v>1361</v>
      </c>
      <c r="K243" s="802"/>
      <c r="L243" s="804" t="s">
        <v>1362</v>
      </c>
      <c r="M243" s="802"/>
      <c r="P243" s="531" t="s">
        <v>2457</v>
      </c>
      <c r="Q243" s="811" t="s">
        <v>223</v>
      </c>
      <c r="R243" s="812"/>
      <c r="S243" s="812"/>
      <c r="T243" s="813"/>
      <c r="U243" s="811" t="s">
        <v>203</v>
      </c>
      <c r="V243" s="812"/>
      <c r="W243" s="812"/>
      <c r="X243" s="813"/>
      <c r="Y243" s="811" t="s">
        <v>219</v>
      </c>
      <c r="Z243" s="812"/>
      <c r="AA243" s="812"/>
      <c r="AB243" s="813"/>
      <c r="AC243" s="811" t="s">
        <v>220</v>
      </c>
      <c r="AD243" s="812"/>
      <c r="AE243" s="812"/>
      <c r="AF243" s="813"/>
      <c r="AG243" s="811" t="s">
        <v>222</v>
      </c>
      <c r="AH243" s="812"/>
      <c r="AI243" s="812"/>
      <c r="AJ243" s="813"/>
      <c r="AK243" s="811" t="s">
        <v>221</v>
      </c>
      <c r="AL243" s="812"/>
      <c r="AM243" s="812"/>
      <c r="AN243" s="812"/>
      <c r="AO243" s="835"/>
    </row>
    <row r="244" spans="1:41" ht="22.5" customHeight="1" thickBot="1">
      <c r="A244" s="810"/>
      <c r="B244" s="805"/>
      <c r="C244" s="803"/>
      <c r="D244" s="805"/>
      <c r="E244" s="803"/>
      <c r="F244" s="805"/>
      <c r="G244" s="803"/>
      <c r="H244" s="805"/>
      <c r="I244" s="803"/>
      <c r="J244" s="805"/>
      <c r="K244" s="803"/>
      <c r="L244" s="805"/>
      <c r="M244" s="803"/>
      <c r="P244" s="568" t="s">
        <v>1356</v>
      </c>
      <c r="Q244" s="153" t="s">
        <v>2473</v>
      </c>
      <c r="R244" s="47" t="s">
        <v>2474</v>
      </c>
      <c r="S244" s="154" t="s">
        <v>2475</v>
      </c>
      <c r="T244" s="47" t="s">
        <v>2476</v>
      </c>
      <c r="U244" s="153" t="s">
        <v>2473</v>
      </c>
      <c r="V244" s="47" t="s">
        <v>2474</v>
      </c>
      <c r="W244" s="154" t="s">
        <v>2475</v>
      </c>
      <c r="X244" s="47" t="s">
        <v>2476</v>
      </c>
      <c r="Y244" s="153" t="s">
        <v>2473</v>
      </c>
      <c r="Z244" s="47" t="s">
        <v>2474</v>
      </c>
      <c r="AA244" s="154" t="s">
        <v>2475</v>
      </c>
      <c r="AB244" s="47" t="s">
        <v>2476</v>
      </c>
      <c r="AC244" s="153" t="s">
        <v>2473</v>
      </c>
      <c r="AD244" s="47" t="s">
        <v>2474</v>
      </c>
      <c r="AE244" s="154" t="s">
        <v>2475</v>
      </c>
      <c r="AF244" s="47" t="s">
        <v>2476</v>
      </c>
      <c r="AG244" s="153" t="s">
        <v>2473</v>
      </c>
      <c r="AH244" s="47" t="s">
        <v>2474</v>
      </c>
      <c r="AI244" s="154" t="s">
        <v>2475</v>
      </c>
      <c r="AJ244" s="47" t="s">
        <v>2476</v>
      </c>
      <c r="AK244" s="153" t="s">
        <v>2473</v>
      </c>
      <c r="AL244" s="47" t="s">
        <v>2474</v>
      </c>
      <c r="AM244" s="154" t="s">
        <v>2475</v>
      </c>
      <c r="AN244" s="155" t="s">
        <v>2476</v>
      </c>
      <c r="AO244" s="835"/>
    </row>
    <row r="245" spans="1:41" ht="14">
      <c r="A245" s="97" t="s">
        <v>2238</v>
      </c>
      <c r="B245" s="501">
        <f t="shared" ref="B245:B263" si="70">$T245*$I36</f>
        <v>0</v>
      </c>
      <c r="C245" s="502"/>
      <c r="D245" s="501">
        <f t="shared" ref="D245:D263" si="71">$X245*$I36</f>
        <v>0</v>
      </c>
      <c r="E245" s="502"/>
      <c r="F245" s="501">
        <f t="shared" ref="F245:F263" si="72">AB245*$I36</f>
        <v>0</v>
      </c>
      <c r="G245" s="502"/>
      <c r="H245" s="501">
        <f t="shared" ref="H245:H263" si="73">AF245*$I36</f>
        <v>0</v>
      </c>
      <c r="I245" s="502"/>
      <c r="J245" s="501">
        <f t="shared" ref="J245:J263" si="74">AJ245*$I36</f>
        <v>0</v>
      </c>
      <c r="K245" s="502"/>
      <c r="L245" s="501">
        <f t="shared" ref="L245:L263" si="75">AN245*$I36</f>
        <v>0</v>
      </c>
      <c r="M245" s="532"/>
      <c r="P245" s="98" t="s">
        <v>2238</v>
      </c>
      <c r="Q245" s="553">
        <v>0</v>
      </c>
      <c r="R245" s="553">
        <v>0</v>
      </c>
      <c r="S245" s="553">
        <v>0</v>
      </c>
      <c r="T245" s="553">
        <v>0</v>
      </c>
      <c r="U245" s="553">
        <v>0</v>
      </c>
      <c r="V245" s="553">
        <v>0</v>
      </c>
      <c r="W245" s="553">
        <v>0</v>
      </c>
      <c r="X245" s="553">
        <v>0</v>
      </c>
      <c r="Y245" s="553">
        <v>0</v>
      </c>
      <c r="Z245" s="553">
        <v>0</v>
      </c>
      <c r="AA245" s="553">
        <v>0</v>
      </c>
      <c r="AB245" s="553">
        <v>0</v>
      </c>
      <c r="AC245" s="553">
        <v>0</v>
      </c>
      <c r="AD245" s="553">
        <v>0</v>
      </c>
      <c r="AE245" s="553">
        <v>0</v>
      </c>
      <c r="AF245" s="553">
        <v>0</v>
      </c>
      <c r="AG245" s="553">
        <v>0</v>
      </c>
      <c r="AH245" s="553">
        <v>0</v>
      </c>
      <c r="AI245" s="553">
        <v>0</v>
      </c>
      <c r="AJ245" s="553">
        <v>0</v>
      </c>
      <c r="AK245" s="553">
        <v>0</v>
      </c>
      <c r="AL245" s="553">
        <v>0</v>
      </c>
      <c r="AM245" s="553">
        <v>0</v>
      </c>
      <c r="AN245" s="569">
        <v>0</v>
      </c>
      <c r="AO245" s="570"/>
    </row>
    <row r="246" spans="1:41" ht="14">
      <c r="A246" s="504" t="s">
        <v>1239</v>
      </c>
      <c r="B246" s="501">
        <f t="shared" si="70"/>
        <v>0</v>
      </c>
      <c r="C246" s="502"/>
      <c r="D246" s="501">
        <f t="shared" si="71"/>
        <v>0</v>
      </c>
      <c r="E246" s="502"/>
      <c r="F246" s="501">
        <f t="shared" si="72"/>
        <v>0</v>
      </c>
      <c r="G246" s="502"/>
      <c r="H246" s="501">
        <f t="shared" si="73"/>
        <v>0</v>
      </c>
      <c r="I246" s="502"/>
      <c r="J246" s="501">
        <f t="shared" si="74"/>
        <v>0</v>
      </c>
      <c r="K246" s="502"/>
      <c r="L246" s="501">
        <f t="shared" si="75"/>
        <v>0</v>
      </c>
      <c r="M246" s="502"/>
      <c r="P246" s="554" t="s">
        <v>1239</v>
      </c>
      <c r="Q246" s="553">
        <v>0</v>
      </c>
      <c r="R246" s="553">
        <v>0</v>
      </c>
      <c r="S246" s="553">
        <v>0</v>
      </c>
      <c r="T246" s="553">
        <v>0</v>
      </c>
      <c r="U246" s="553">
        <v>0</v>
      </c>
      <c r="V246" s="553">
        <v>0</v>
      </c>
      <c r="W246" s="553">
        <v>0</v>
      </c>
      <c r="X246" s="553">
        <v>0</v>
      </c>
      <c r="Y246" s="553">
        <v>0</v>
      </c>
      <c r="Z246" s="553">
        <v>0</v>
      </c>
      <c r="AA246" s="553">
        <v>0</v>
      </c>
      <c r="AB246" s="553">
        <v>0</v>
      </c>
      <c r="AC246" s="553">
        <v>0</v>
      </c>
      <c r="AD246" s="553">
        <v>0</v>
      </c>
      <c r="AE246" s="553">
        <v>0</v>
      </c>
      <c r="AF246" s="553">
        <v>0</v>
      </c>
      <c r="AG246" s="553">
        <v>0</v>
      </c>
      <c r="AH246" s="553">
        <v>0</v>
      </c>
      <c r="AI246" s="553">
        <v>0</v>
      </c>
      <c r="AJ246" s="553">
        <v>0</v>
      </c>
      <c r="AK246" s="553">
        <v>0</v>
      </c>
      <c r="AL246" s="553">
        <v>0</v>
      </c>
      <c r="AM246" s="553">
        <v>0</v>
      </c>
      <c r="AN246" s="569">
        <v>0</v>
      </c>
      <c r="AO246" s="570"/>
    </row>
    <row r="247" spans="1:41" ht="14">
      <c r="A247" s="504" t="s">
        <v>1240</v>
      </c>
      <c r="B247" s="501">
        <f t="shared" si="70"/>
        <v>0</v>
      </c>
      <c r="C247" s="502"/>
      <c r="D247" s="501">
        <f t="shared" si="71"/>
        <v>0</v>
      </c>
      <c r="E247" s="502"/>
      <c r="F247" s="501">
        <f t="shared" si="72"/>
        <v>0</v>
      </c>
      <c r="G247" s="502"/>
      <c r="H247" s="501">
        <f t="shared" si="73"/>
        <v>0</v>
      </c>
      <c r="I247" s="502"/>
      <c r="J247" s="501">
        <f t="shared" si="74"/>
        <v>0</v>
      </c>
      <c r="K247" s="502"/>
      <c r="L247" s="501">
        <f t="shared" si="75"/>
        <v>0</v>
      </c>
      <c r="M247" s="502"/>
      <c r="P247" s="554" t="s">
        <v>1240</v>
      </c>
      <c r="Q247" s="553">
        <v>0</v>
      </c>
      <c r="R247" s="553">
        <v>0</v>
      </c>
      <c r="S247" s="553">
        <v>0</v>
      </c>
      <c r="T247" s="553">
        <v>0</v>
      </c>
      <c r="U247" s="553">
        <v>0</v>
      </c>
      <c r="V247" s="553">
        <v>0</v>
      </c>
      <c r="W247" s="553">
        <v>0</v>
      </c>
      <c r="X247" s="553">
        <v>0</v>
      </c>
      <c r="Y247" s="553">
        <v>0</v>
      </c>
      <c r="Z247" s="553">
        <v>0</v>
      </c>
      <c r="AA247" s="553">
        <v>0</v>
      </c>
      <c r="AB247" s="553">
        <v>0</v>
      </c>
      <c r="AC247" s="553">
        <v>0</v>
      </c>
      <c r="AD247" s="553">
        <v>0</v>
      </c>
      <c r="AE247" s="553">
        <v>0</v>
      </c>
      <c r="AF247" s="553">
        <v>0</v>
      </c>
      <c r="AG247" s="553">
        <v>0</v>
      </c>
      <c r="AH247" s="553">
        <v>0</v>
      </c>
      <c r="AI247" s="553">
        <v>0</v>
      </c>
      <c r="AJ247" s="553">
        <v>0</v>
      </c>
      <c r="AK247" s="553">
        <v>0</v>
      </c>
      <c r="AL247" s="553">
        <v>0</v>
      </c>
      <c r="AM247" s="553">
        <v>0</v>
      </c>
      <c r="AN247" s="569">
        <v>0</v>
      </c>
      <c r="AO247" s="570"/>
    </row>
    <row r="248" spans="1:41" ht="14">
      <c r="A248" s="504" t="s">
        <v>1241</v>
      </c>
      <c r="B248" s="501">
        <f t="shared" si="70"/>
        <v>0</v>
      </c>
      <c r="C248" s="502"/>
      <c r="D248" s="501">
        <f t="shared" si="71"/>
        <v>0</v>
      </c>
      <c r="E248" s="502"/>
      <c r="F248" s="501">
        <f t="shared" si="72"/>
        <v>0</v>
      </c>
      <c r="G248" s="502"/>
      <c r="H248" s="501">
        <f t="shared" si="73"/>
        <v>0</v>
      </c>
      <c r="I248" s="502"/>
      <c r="J248" s="501">
        <f t="shared" si="74"/>
        <v>0</v>
      </c>
      <c r="K248" s="502"/>
      <c r="L248" s="501">
        <f t="shared" si="75"/>
        <v>0</v>
      </c>
      <c r="M248" s="502"/>
      <c r="P248" s="554" t="s">
        <v>1241</v>
      </c>
      <c r="Q248" s="553">
        <v>0</v>
      </c>
      <c r="R248" s="553">
        <v>0</v>
      </c>
      <c r="S248" s="553">
        <v>0</v>
      </c>
      <c r="T248" s="553">
        <v>0</v>
      </c>
      <c r="U248" s="553">
        <v>0</v>
      </c>
      <c r="V248" s="553">
        <v>0</v>
      </c>
      <c r="W248" s="553">
        <v>0</v>
      </c>
      <c r="X248" s="553">
        <v>0</v>
      </c>
      <c r="Y248" s="553">
        <v>0</v>
      </c>
      <c r="Z248" s="553">
        <v>0</v>
      </c>
      <c r="AA248" s="553">
        <v>0</v>
      </c>
      <c r="AB248" s="553">
        <v>0</v>
      </c>
      <c r="AC248" s="553">
        <v>0</v>
      </c>
      <c r="AD248" s="553">
        <v>0</v>
      </c>
      <c r="AE248" s="553">
        <v>0</v>
      </c>
      <c r="AF248" s="553">
        <v>0</v>
      </c>
      <c r="AG248" s="553">
        <v>0</v>
      </c>
      <c r="AH248" s="553">
        <v>0</v>
      </c>
      <c r="AI248" s="553">
        <v>0</v>
      </c>
      <c r="AJ248" s="553">
        <v>0</v>
      </c>
      <c r="AK248" s="553">
        <v>0</v>
      </c>
      <c r="AL248" s="553">
        <v>0</v>
      </c>
      <c r="AM248" s="553">
        <v>0</v>
      </c>
      <c r="AN248" s="569">
        <v>0</v>
      </c>
      <c r="AO248" s="570"/>
    </row>
    <row r="249" spans="1:41" ht="14">
      <c r="A249" s="504" t="s">
        <v>1242</v>
      </c>
      <c r="B249" s="501">
        <f t="shared" si="70"/>
        <v>0</v>
      </c>
      <c r="C249" s="502"/>
      <c r="D249" s="501">
        <f t="shared" si="71"/>
        <v>0</v>
      </c>
      <c r="E249" s="502"/>
      <c r="F249" s="501">
        <f t="shared" si="72"/>
        <v>0</v>
      </c>
      <c r="G249" s="502"/>
      <c r="H249" s="501">
        <f t="shared" si="73"/>
        <v>0</v>
      </c>
      <c r="I249" s="502"/>
      <c r="J249" s="501">
        <f t="shared" si="74"/>
        <v>0</v>
      </c>
      <c r="K249" s="502"/>
      <c r="L249" s="501">
        <f t="shared" si="75"/>
        <v>0</v>
      </c>
      <c r="M249" s="502"/>
      <c r="P249" s="554" t="s">
        <v>1242</v>
      </c>
      <c r="Q249" s="553">
        <v>0</v>
      </c>
      <c r="R249" s="553">
        <v>0</v>
      </c>
      <c r="S249" s="553">
        <v>0</v>
      </c>
      <c r="T249" s="553">
        <v>0</v>
      </c>
      <c r="U249" s="553">
        <v>0</v>
      </c>
      <c r="V249" s="553">
        <v>0</v>
      </c>
      <c r="W249" s="553">
        <v>0</v>
      </c>
      <c r="X249" s="553">
        <v>0</v>
      </c>
      <c r="Y249" s="553">
        <v>0</v>
      </c>
      <c r="Z249" s="553">
        <v>0</v>
      </c>
      <c r="AA249" s="553">
        <v>0</v>
      </c>
      <c r="AB249" s="553">
        <v>0</v>
      </c>
      <c r="AC249" s="553">
        <v>0</v>
      </c>
      <c r="AD249" s="553">
        <v>0</v>
      </c>
      <c r="AE249" s="553">
        <v>0</v>
      </c>
      <c r="AF249" s="553">
        <v>0</v>
      </c>
      <c r="AG249" s="553">
        <v>0</v>
      </c>
      <c r="AH249" s="553">
        <v>0</v>
      </c>
      <c r="AI249" s="553">
        <v>0</v>
      </c>
      <c r="AJ249" s="553">
        <v>0</v>
      </c>
      <c r="AK249" s="553">
        <v>0</v>
      </c>
      <c r="AL249" s="553">
        <v>0</v>
      </c>
      <c r="AM249" s="553">
        <v>0</v>
      </c>
      <c r="AN249" s="569">
        <v>0</v>
      </c>
      <c r="AO249" s="570"/>
    </row>
    <row r="250" spans="1:41" ht="14">
      <c r="A250" s="504" t="s">
        <v>1243</v>
      </c>
      <c r="B250" s="501">
        <f t="shared" si="70"/>
        <v>0</v>
      </c>
      <c r="C250" s="502"/>
      <c r="D250" s="501">
        <f t="shared" si="71"/>
        <v>0</v>
      </c>
      <c r="E250" s="502"/>
      <c r="F250" s="501">
        <f t="shared" si="72"/>
        <v>0</v>
      </c>
      <c r="G250" s="502"/>
      <c r="H250" s="501">
        <f t="shared" si="73"/>
        <v>0</v>
      </c>
      <c r="I250" s="502"/>
      <c r="J250" s="501">
        <f t="shared" si="74"/>
        <v>0</v>
      </c>
      <c r="K250" s="502"/>
      <c r="L250" s="501">
        <f t="shared" si="75"/>
        <v>0</v>
      </c>
      <c r="M250" s="502"/>
      <c r="P250" s="554" t="s">
        <v>1243</v>
      </c>
      <c r="Q250" s="553">
        <v>0</v>
      </c>
      <c r="R250" s="553">
        <v>0</v>
      </c>
      <c r="S250" s="553">
        <v>0</v>
      </c>
      <c r="T250" s="553">
        <v>0</v>
      </c>
      <c r="U250" s="553">
        <v>0</v>
      </c>
      <c r="V250" s="553">
        <v>0</v>
      </c>
      <c r="W250" s="553">
        <v>0</v>
      </c>
      <c r="X250" s="553">
        <v>0</v>
      </c>
      <c r="Y250" s="553">
        <v>0</v>
      </c>
      <c r="Z250" s="553">
        <v>0</v>
      </c>
      <c r="AA250" s="553">
        <v>0</v>
      </c>
      <c r="AB250" s="553">
        <v>0</v>
      </c>
      <c r="AC250" s="553">
        <v>0</v>
      </c>
      <c r="AD250" s="553">
        <v>0</v>
      </c>
      <c r="AE250" s="553">
        <v>0</v>
      </c>
      <c r="AF250" s="553">
        <v>0</v>
      </c>
      <c r="AG250" s="553">
        <v>0</v>
      </c>
      <c r="AH250" s="553">
        <v>0</v>
      </c>
      <c r="AI250" s="553">
        <v>0</v>
      </c>
      <c r="AJ250" s="553">
        <v>0</v>
      </c>
      <c r="AK250" s="553">
        <v>0</v>
      </c>
      <c r="AL250" s="553">
        <v>0</v>
      </c>
      <c r="AM250" s="553">
        <v>0</v>
      </c>
      <c r="AN250" s="569">
        <v>0</v>
      </c>
      <c r="AO250" s="570"/>
    </row>
    <row r="251" spans="1:41" ht="14">
      <c r="A251" s="504" t="s">
        <v>1244</v>
      </c>
      <c r="B251" s="501">
        <f t="shared" si="70"/>
        <v>0</v>
      </c>
      <c r="C251" s="502"/>
      <c r="D251" s="501">
        <f t="shared" si="71"/>
        <v>0</v>
      </c>
      <c r="E251" s="502"/>
      <c r="F251" s="501">
        <f t="shared" si="72"/>
        <v>0</v>
      </c>
      <c r="G251" s="502"/>
      <c r="H251" s="501">
        <f t="shared" si="73"/>
        <v>0</v>
      </c>
      <c r="I251" s="502"/>
      <c r="J251" s="501">
        <f t="shared" si="74"/>
        <v>0</v>
      </c>
      <c r="K251" s="502"/>
      <c r="L251" s="501">
        <f t="shared" si="75"/>
        <v>0</v>
      </c>
      <c r="M251" s="502"/>
      <c r="P251" s="554" t="s">
        <v>1244</v>
      </c>
      <c r="Q251" s="553">
        <v>0</v>
      </c>
      <c r="R251" s="553">
        <v>0</v>
      </c>
      <c r="S251" s="553">
        <v>0</v>
      </c>
      <c r="T251" s="553">
        <v>0</v>
      </c>
      <c r="U251" s="553">
        <v>0</v>
      </c>
      <c r="V251" s="553">
        <v>0</v>
      </c>
      <c r="W251" s="553">
        <v>0</v>
      </c>
      <c r="X251" s="553">
        <v>0</v>
      </c>
      <c r="Y251" s="553">
        <v>0</v>
      </c>
      <c r="Z251" s="553">
        <v>0</v>
      </c>
      <c r="AA251" s="553">
        <v>0</v>
      </c>
      <c r="AB251" s="553">
        <v>0</v>
      </c>
      <c r="AC251" s="553">
        <v>0</v>
      </c>
      <c r="AD251" s="553">
        <v>0</v>
      </c>
      <c r="AE251" s="553">
        <v>0</v>
      </c>
      <c r="AF251" s="553">
        <v>0</v>
      </c>
      <c r="AG251" s="553">
        <v>0</v>
      </c>
      <c r="AH251" s="553">
        <v>0</v>
      </c>
      <c r="AI251" s="553">
        <v>0</v>
      </c>
      <c r="AJ251" s="553">
        <v>0</v>
      </c>
      <c r="AK251" s="553">
        <v>0</v>
      </c>
      <c r="AL251" s="553">
        <v>0</v>
      </c>
      <c r="AM251" s="553">
        <v>0</v>
      </c>
      <c r="AN251" s="569">
        <v>0</v>
      </c>
      <c r="AO251" s="570"/>
    </row>
    <row r="252" spans="1:41" ht="14">
      <c r="A252" s="506" t="s">
        <v>1245</v>
      </c>
      <c r="B252" s="501">
        <f t="shared" si="70"/>
        <v>0</v>
      </c>
      <c r="C252" s="502"/>
      <c r="D252" s="501">
        <f t="shared" si="71"/>
        <v>0</v>
      </c>
      <c r="E252" s="502"/>
      <c r="F252" s="501">
        <f t="shared" si="72"/>
        <v>0</v>
      </c>
      <c r="G252" s="502"/>
      <c r="H252" s="501">
        <f t="shared" si="73"/>
        <v>0</v>
      </c>
      <c r="I252" s="502"/>
      <c r="J252" s="501">
        <f t="shared" si="74"/>
        <v>0</v>
      </c>
      <c r="K252" s="502"/>
      <c r="L252" s="501">
        <f t="shared" si="75"/>
        <v>0</v>
      </c>
      <c r="M252" s="502"/>
      <c r="P252" s="98" t="s">
        <v>1245</v>
      </c>
      <c r="Q252" s="553">
        <v>0</v>
      </c>
      <c r="R252" s="553">
        <v>0</v>
      </c>
      <c r="S252" s="553">
        <v>0</v>
      </c>
      <c r="T252" s="553">
        <v>0</v>
      </c>
      <c r="U252" s="553">
        <v>7648</v>
      </c>
      <c r="V252" s="553">
        <v>0</v>
      </c>
      <c r="W252" s="553">
        <v>0</v>
      </c>
      <c r="X252" s="553">
        <v>7648</v>
      </c>
      <c r="Y252" s="553">
        <v>23500</v>
      </c>
      <c r="Z252" s="553">
        <v>0</v>
      </c>
      <c r="AA252" s="553">
        <v>0</v>
      </c>
      <c r="AB252" s="553">
        <v>23500</v>
      </c>
      <c r="AC252" s="553">
        <v>0</v>
      </c>
      <c r="AD252" s="553">
        <v>0</v>
      </c>
      <c r="AE252" s="553">
        <v>0</v>
      </c>
      <c r="AF252" s="553">
        <v>0</v>
      </c>
      <c r="AG252" s="553">
        <v>0</v>
      </c>
      <c r="AH252" s="553">
        <v>0</v>
      </c>
      <c r="AI252" s="553">
        <v>0</v>
      </c>
      <c r="AJ252" s="553">
        <v>0</v>
      </c>
      <c r="AK252" s="553">
        <v>0</v>
      </c>
      <c r="AL252" s="553">
        <v>0</v>
      </c>
      <c r="AM252" s="553">
        <v>0</v>
      </c>
      <c r="AN252" s="569">
        <v>0</v>
      </c>
      <c r="AO252" s="570"/>
    </row>
    <row r="253" spans="1:41" ht="14">
      <c r="A253" s="506" t="s">
        <v>1246</v>
      </c>
      <c r="B253" s="501">
        <f t="shared" si="70"/>
        <v>0</v>
      </c>
      <c r="C253" s="502"/>
      <c r="D253" s="501">
        <f t="shared" si="71"/>
        <v>0</v>
      </c>
      <c r="E253" s="502"/>
      <c r="F253" s="501">
        <f t="shared" si="72"/>
        <v>0</v>
      </c>
      <c r="G253" s="502"/>
      <c r="H253" s="501">
        <f t="shared" si="73"/>
        <v>0</v>
      </c>
      <c r="I253" s="502"/>
      <c r="J253" s="501">
        <f t="shared" si="74"/>
        <v>0</v>
      </c>
      <c r="K253" s="502"/>
      <c r="L253" s="501">
        <f t="shared" si="75"/>
        <v>0</v>
      </c>
      <c r="M253" s="502"/>
      <c r="P253" s="98" t="s">
        <v>1246</v>
      </c>
      <c r="Q253" s="553">
        <v>0</v>
      </c>
      <c r="R253" s="553">
        <v>0</v>
      </c>
      <c r="S253" s="553">
        <v>0</v>
      </c>
      <c r="T253" s="553">
        <v>0</v>
      </c>
      <c r="U253" s="553">
        <v>0</v>
      </c>
      <c r="V253" s="553">
        <v>0</v>
      </c>
      <c r="W253" s="553">
        <v>0</v>
      </c>
      <c r="X253" s="553">
        <v>0</v>
      </c>
      <c r="Y253" s="553">
        <v>0</v>
      </c>
      <c r="Z253" s="553">
        <v>0</v>
      </c>
      <c r="AA253" s="553">
        <v>0</v>
      </c>
      <c r="AB253" s="553">
        <v>0</v>
      </c>
      <c r="AC253" s="553">
        <v>0</v>
      </c>
      <c r="AD253" s="553">
        <v>0</v>
      </c>
      <c r="AE253" s="553">
        <v>0</v>
      </c>
      <c r="AF253" s="553">
        <v>0</v>
      </c>
      <c r="AG253" s="553">
        <v>0</v>
      </c>
      <c r="AH253" s="553">
        <v>0</v>
      </c>
      <c r="AI253" s="553">
        <v>0</v>
      </c>
      <c r="AJ253" s="553">
        <v>0</v>
      </c>
      <c r="AK253" s="553">
        <v>0</v>
      </c>
      <c r="AL253" s="553">
        <v>0</v>
      </c>
      <c r="AM253" s="553">
        <v>0</v>
      </c>
      <c r="AN253" s="569">
        <v>0</v>
      </c>
      <c r="AO253" s="570"/>
    </row>
    <row r="254" spans="1:41" ht="14">
      <c r="A254" s="504" t="s">
        <v>1247</v>
      </c>
      <c r="B254" s="501">
        <f t="shared" si="70"/>
        <v>0</v>
      </c>
      <c r="C254" s="502"/>
      <c r="D254" s="501">
        <f t="shared" si="71"/>
        <v>0</v>
      </c>
      <c r="E254" s="502"/>
      <c r="F254" s="501">
        <f t="shared" si="72"/>
        <v>0</v>
      </c>
      <c r="G254" s="502"/>
      <c r="H254" s="501">
        <f t="shared" si="73"/>
        <v>0</v>
      </c>
      <c r="I254" s="502"/>
      <c r="J254" s="501">
        <f t="shared" si="74"/>
        <v>0</v>
      </c>
      <c r="K254" s="502"/>
      <c r="L254" s="501">
        <f t="shared" si="75"/>
        <v>0</v>
      </c>
      <c r="M254" s="502"/>
      <c r="P254" s="554" t="s">
        <v>1247</v>
      </c>
      <c r="Q254" s="553">
        <v>0</v>
      </c>
      <c r="R254" s="553">
        <v>0</v>
      </c>
      <c r="S254" s="553">
        <v>0</v>
      </c>
      <c r="T254" s="553">
        <v>0</v>
      </c>
      <c r="U254" s="553">
        <v>0</v>
      </c>
      <c r="V254" s="553">
        <v>0</v>
      </c>
      <c r="W254" s="553">
        <v>0</v>
      </c>
      <c r="X254" s="553">
        <v>0</v>
      </c>
      <c r="Y254" s="553">
        <v>0</v>
      </c>
      <c r="Z254" s="553">
        <v>0</v>
      </c>
      <c r="AA254" s="553">
        <v>0</v>
      </c>
      <c r="AB254" s="553">
        <v>0</v>
      </c>
      <c r="AC254" s="553">
        <v>0</v>
      </c>
      <c r="AD254" s="553">
        <v>0</v>
      </c>
      <c r="AE254" s="553">
        <v>0</v>
      </c>
      <c r="AF254" s="553">
        <v>0</v>
      </c>
      <c r="AG254" s="553">
        <v>0</v>
      </c>
      <c r="AH254" s="553">
        <v>0</v>
      </c>
      <c r="AI254" s="553">
        <v>0</v>
      </c>
      <c r="AJ254" s="553">
        <v>0</v>
      </c>
      <c r="AK254" s="553">
        <v>0</v>
      </c>
      <c r="AL254" s="553">
        <v>0</v>
      </c>
      <c r="AM254" s="553">
        <v>0</v>
      </c>
      <c r="AN254" s="569">
        <v>0</v>
      </c>
      <c r="AO254" s="570"/>
    </row>
    <row r="255" spans="1:41" ht="14">
      <c r="A255" s="504" t="s">
        <v>1248</v>
      </c>
      <c r="B255" s="501">
        <f t="shared" si="70"/>
        <v>0</v>
      </c>
      <c r="C255" s="502"/>
      <c r="D255" s="501">
        <f t="shared" si="71"/>
        <v>0</v>
      </c>
      <c r="E255" s="502"/>
      <c r="F255" s="501">
        <f t="shared" si="72"/>
        <v>0</v>
      </c>
      <c r="G255" s="502"/>
      <c r="H255" s="501">
        <f t="shared" si="73"/>
        <v>0</v>
      </c>
      <c r="I255" s="502"/>
      <c r="J255" s="501">
        <f t="shared" si="74"/>
        <v>0</v>
      </c>
      <c r="K255" s="502"/>
      <c r="L255" s="501">
        <f t="shared" si="75"/>
        <v>0</v>
      </c>
      <c r="M255" s="502"/>
      <c r="P255" s="554" t="s">
        <v>1248</v>
      </c>
      <c r="Q255" s="553">
        <v>0</v>
      </c>
      <c r="R255" s="553">
        <v>0</v>
      </c>
      <c r="S255" s="553">
        <v>0</v>
      </c>
      <c r="T255" s="553">
        <v>0</v>
      </c>
      <c r="U255" s="553">
        <v>0</v>
      </c>
      <c r="V255" s="553">
        <v>0</v>
      </c>
      <c r="W255" s="553">
        <v>0</v>
      </c>
      <c r="X255" s="553">
        <v>0</v>
      </c>
      <c r="Y255" s="553">
        <v>0</v>
      </c>
      <c r="Z255" s="553">
        <v>0</v>
      </c>
      <c r="AA255" s="553">
        <v>0</v>
      </c>
      <c r="AB255" s="553">
        <v>0</v>
      </c>
      <c r="AC255" s="553">
        <v>0</v>
      </c>
      <c r="AD255" s="553">
        <v>0</v>
      </c>
      <c r="AE255" s="553">
        <v>0</v>
      </c>
      <c r="AF255" s="553">
        <v>0</v>
      </c>
      <c r="AG255" s="553">
        <v>0</v>
      </c>
      <c r="AH255" s="553">
        <v>0</v>
      </c>
      <c r="AI255" s="553">
        <v>0</v>
      </c>
      <c r="AJ255" s="553">
        <v>0</v>
      </c>
      <c r="AK255" s="553">
        <v>0</v>
      </c>
      <c r="AL255" s="553">
        <v>0</v>
      </c>
      <c r="AM255" s="553">
        <v>0</v>
      </c>
      <c r="AN255" s="569">
        <v>0</v>
      </c>
      <c r="AO255" s="570"/>
    </row>
    <row r="256" spans="1:41" ht="14">
      <c r="A256" s="504" t="s">
        <v>1249</v>
      </c>
      <c r="B256" s="501">
        <f t="shared" si="70"/>
        <v>0</v>
      </c>
      <c r="C256" s="502"/>
      <c r="D256" s="501">
        <f t="shared" si="71"/>
        <v>0</v>
      </c>
      <c r="E256" s="502"/>
      <c r="F256" s="501">
        <f t="shared" si="72"/>
        <v>0</v>
      </c>
      <c r="G256" s="502"/>
      <c r="H256" s="501">
        <f t="shared" si="73"/>
        <v>0</v>
      </c>
      <c r="I256" s="502"/>
      <c r="J256" s="501">
        <f t="shared" si="74"/>
        <v>0</v>
      </c>
      <c r="K256" s="502"/>
      <c r="L256" s="501">
        <f t="shared" si="75"/>
        <v>0</v>
      </c>
      <c r="M256" s="502"/>
      <c r="P256" s="554" t="s">
        <v>1249</v>
      </c>
      <c r="Q256" s="553">
        <v>0</v>
      </c>
      <c r="R256" s="553">
        <v>0</v>
      </c>
      <c r="S256" s="553">
        <v>0</v>
      </c>
      <c r="T256" s="553">
        <v>0</v>
      </c>
      <c r="U256" s="553">
        <v>0</v>
      </c>
      <c r="V256" s="553">
        <v>0</v>
      </c>
      <c r="W256" s="553">
        <v>0</v>
      </c>
      <c r="X256" s="553">
        <v>0</v>
      </c>
      <c r="Y256" s="553">
        <v>0</v>
      </c>
      <c r="Z256" s="553">
        <v>0</v>
      </c>
      <c r="AA256" s="553">
        <v>0</v>
      </c>
      <c r="AB256" s="553">
        <v>0</v>
      </c>
      <c r="AC256" s="553">
        <v>0</v>
      </c>
      <c r="AD256" s="553">
        <v>0</v>
      </c>
      <c r="AE256" s="553">
        <v>0</v>
      </c>
      <c r="AF256" s="553">
        <v>0</v>
      </c>
      <c r="AG256" s="553">
        <v>0</v>
      </c>
      <c r="AH256" s="553">
        <v>0</v>
      </c>
      <c r="AI256" s="553">
        <v>0</v>
      </c>
      <c r="AJ256" s="553">
        <v>0</v>
      </c>
      <c r="AK256" s="553">
        <v>0</v>
      </c>
      <c r="AL256" s="553">
        <v>0</v>
      </c>
      <c r="AM256" s="553">
        <v>0</v>
      </c>
      <c r="AN256" s="569">
        <v>0</v>
      </c>
      <c r="AO256" s="570"/>
    </row>
    <row r="257" spans="1:41" ht="14">
      <c r="A257" s="504" t="s">
        <v>1250</v>
      </c>
      <c r="B257" s="501">
        <f t="shared" si="70"/>
        <v>0</v>
      </c>
      <c r="C257" s="502"/>
      <c r="D257" s="501">
        <f t="shared" si="71"/>
        <v>0</v>
      </c>
      <c r="E257" s="502"/>
      <c r="F257" s="501">
        <f t="shared" si="72"/>
        <v>0</v>
      </c>
      <c r="G257" s="502"/>
      <c r="H257" s="501">
        <f t="shared" si="73"/>
        <v>0</v>
      </c>
      <c r="I257" s="502"/>
      <c r="J257" s="501">
        <f t="shared" si="74"/>
        <v>0</v>
      </c>
      <c r="K257" s="502"/>
      <c r="L257" s="501">
        <f t="shared" si="75"/>
        <v>0</v>
      </c>
      <c r="M257" s="502"/>
      <c r="P257" s="554" t="s">
        <v>1250</v>
      </c>
      <c r="Q257" s="553">
        <v>0</v>
      </c>
      <c r="R257" s="553">
        <v>0</v>
      </c>
      <c r="S257" s="553">
        <v>0</v>
      </c>
      <c r="T257" s="553">
        <v>0</v>
      </c>
      <c r="U257" s="553">
        <v>0</v>
      </c>
      <c r="V257" s="553">
        <v>0</v>
      </c>
      <c r="W257" s="553">
        <v>0</v>
      </c>
      <c r="X257" s="553">
        <v>0</v>
      </c>
      <c r="Y257" s="553">
        <v>0</v>
      </c>
      <c r="Z257" s="553">
        <v>0</v>
      </c>
      <c r="AA257" s="553">
        <v>0</v>
      </c>
      <c r="AB257" s="553">
        <v>0</v>
      </c>
      <c r="AC257" s="553">
        <v>0</v>
      </c>
      <c r="AD257" s="553">
        <v>0</v>
      </c>
      <c r="AE257" s="553">
        <v>0</v>
      </c>
      <c r="AF257" s="553">
        <v>0</v>
      </c>
      <c r="AG257" s="553">
        <v>0</v>
      </c>
      <c r="AH257" s="553">
        <v>0</v>
      </c>
      <c r="AI257" s="553">
        <v>0</v>
      </c>
      <c r="AJ257" s="553">
        <v>0</v>
      </c>
      <c r="AK257" s="553">
        <v>0</v>
      </c>
      <c r="AL257" s="553">
        <v>0</v>
      </c>
      <c r="AM257" s="553">
        <v>0</v>
      </c>
      <c r="AN257" s="569">
        <v>0</v>
      </c>
      <c r="AO257" s="570"/>
    </row>
    <row r="258" spans="1:41" ht="14">
      <c r="A258" s="504" t="s">
        <v>1251</v>
      </c>
      <c r="B258" s="501">
        <f t="shared" si="70"/>
        <v>0</v>
      </c>
      <c r="C258" s="502"/>
      <c r="D258" s="501">
        <f t="shared" si="71"/>
        <v>0</v>
      </c>
      <c r="E258" s="502"/>
      <c r="F258" s="501">
        <f t="shared" si="72"/>
        <v>0</v>
      </c>
      <c r="G258" s="502"/>
      <c r="H258" s="501">
        <f t="shared" si="73"/>
        <v>0</v>
      </c>
      <c r="I258" s="502"/>
      <c r="J258" s="501">
        <f t="shared" si="74"/>
        <v>0</v>
      </c>
      <c r="K258" s="502"/>
      <c r="L258" s="501">
        <f t="shared" si="75"/>
        <v>0</v>
      </c>
      <c r="M258" s="502"/>
      <c r="P258" s="554" t="s">
        <v>1251</v>
      </c>
      <c r="Q258" s="553">
        <v>0</v>
      </c>
      <c r="R258" s="553">
        <v>0</v>
      </c>
      <c r="S258" s="553">
        <v>0</v>
      </c>
      <c r="T258" s="553">
        <v>0</v>
      </c>
      <c r="U258" s="553">
        <v>0</v>
      </c>
      <c r="V258" s="553">
        <v>0</v>
      </c>
      <c r="W258" s="553">
        <v>0</v>
      </c>
      <c r="X258" s="553">
        <v>0</v>
      </c>
      <c r="Y258" s="553">
        <v>0</v>
      </c>
      <c r="Z258" s="553">
        <v>0</v>
      </c>
      <c r="AA258" s="553">
        <v>0</v>
      </c>
      <c r="AB258" s="553">
        <v>0</v>
      </c>
      <c r="AC258" s="553">
        <v>0</v>
      </c>
      <c r="AD258" s="553">
        <v>0</v>
      </c>
      <c r="AE258" s="553">
        <v>0</v>
      </c>
      <c r="AF258" s="553">
        <v>0</v>
      </c>
      <c r="AG258" s="553">
        <v>0</v>
      </c>
      <c r="AH258" s="553">
        <v>0</v>
      </c>
      <c r="AI258" s="553">
        <v>0</v>
      </c>
      <c r="AJ258" s="553">
        <v>0</v>
      </c>
      <c r="AK258" s="553">
        <v>0</v>
      </c>
      <c r="AL258" s="553">
        <v>0</v>
      </c>
      <c r="AM258" s="553">
        <v>0</v>
      </c>
      <c r="AN258" s="569">
        <v>0</v>
      </c>
      <c r="AO258" s="570"/>
    </row>
    <row r="259" spans="1:41" ht="14">
      <c r="A259" s="504" t="s">
        <v>1252</v>
      </c>
      <c r="B259" s="501">
        <f t="shared" si="70"/>
        <v>0</v>
      </c>
      <c r="C259" s="502"/>
      <c r="D259" s="501">
        <f t="shared" si="71"/>
        <v>0</v>
      </c>
      <c r="E259" s="502"/>
      <c r="F259" s="501">
        <f t="shared" si="72"/>
        <v>0</v>
      </c>
      <c r="G259" s="502"/>
      <c r="H259" s="501">
        <f t="shared" si="73"/>
        <v>0</v>
      </c>
      <c r="I259" s="502"/>
      <c r="J259" s="501">
        <f t="shared" si="74"/>
        <v>0</v>
      </c>
      <c r="K259" s="502"/>
      <c r="L259" s="501">
        <f t="shared" si="75"/>
        <v>0</v>
      </c>
      <c r="M259" s="502"/>
      <c r="P259" s="554" t="s">
        <v>1252</v>
      </c>
      <c r="Q259" s="553">
        <v>0</v>
      </c>
      <c r="R259" s="553">
        <v>0</v>
      </c>
      <c r="S259" s="553">
        <v>0</v>
      </c>
      <c r="T259" s="553">
        <v>0</v>
      </c>
      <c r="U259" s="553">
        <v>0</v>
      </c>
      <c r="V259" s="553">
        <v>0</v>
      </c>
      <c r="W259" s="553">
        <v>0</v>
      </c>
      <c r="X259" s="553">
        <v>0</v>
      </c>
      <c r="Y259" s="553">
        <v>0</v>
      </c>
      <c r="Z259" s="553">
        <v>0</v>
      </c>
      <c r="AA259" s="553">
        <v>0</v>
      </c>
      <c r="AB259" s="553">
        <v>0</v>
      </c>
      <c r="AC259" s="553">
        <v>0</v>
      </c>
      <c r="AD259" s="553">
        <v>0</v>
      </c>
      <c r="AE259" s="553">
        <v>0</v>
      </c>
      <c r="AF259" s="553">
        <v>0</v>
      </c>
      <c r="AG259" s="553">
        <v>0</v>
      </c>
      <c r="AH259" s="553">
        <v>0</v>
      </c>
      <c r="AI259" s="553">
        <v>0</v>
      </c>
      <c r="AJ259" s="553">
        <v>0</v>
      </c>
      <c r="AK259" s="553">
        <v>0</v>
      </c>
      <c r="AL259" s="553">
        <v>0</v>
      </c>
      <c r="AM259" s="553">
        <v>0</v>
      </c>
      <c r="AN259" s="569">
        <v>0</v>
      </c>
      <c r="AO259" s="570"/>
    </row>
    <row r="260" spans="1:41" ht="14">
      <c r="A260" s="98" t="s">
        <v>1253</v>
      </c>
      <c r="B260" s="501">
        <f t="shared" si="70"/>
        <v>0</v>
      </c>
      <c r="C260" s="502"/>
      <c r="D260" s="501">
        <f t="shared" si="71"/>
        <v>0</v>
      </c>
      <c r="E260" s="502"/>
      <c r="F260" s="501">
        <f t="shared" si="72"/>
        <v>0</v>
      </c>
      <c r="G260" s="502"/>
      <c r="H260" s="501">
        <f t="shared" si="73"/>
        <v>0</v>
      </c>
      <c r="I260" s="502"/>
      <c r="J260" s="501">
        <f t="shared" si="74"/>
        <v>0</v>
      </c>
      <c r="K260" s="502"/>
      <c r="L260" s="501">
        <f t="shared" si="75"/>
        <v>0</v>
      </c>
      <c r="M260" s="502"/>
      <c r="P260" s="98" t="s">
        <v>1253</v>
      </c>
      <c r="Q260" s="553">
        <v>0</v>
      </c>
      <c r="R260" s="553">
        <v>0</v>
      </c>
      <c r="S260" s="553">
        <v>0</v>
      </c>
      <c r="T260" s="553">
        <v>0</v>
      </c>
      <c r="U260" s="553">
        <v>0</v>
      </c>
      <c r="V260" s="553">
        <v>0</v>
      </c>
      <c r="W260" s="553">
        <v>0</v>
      </c>
      <c r="X260" s="553">
        <v>0</v>
      </c>
      <c r="Y260" s="553">
        <v>0</v>
      </c>
      <c r="Z260" s="553">
        <v>0</v>
      </c>
      <c r="AA260" s="553">
        <v>0</v>
      </c>
      <c r="AB260" s="553">
        <v>0</v>
      </c>
      <c r="AC260" s="553">
        <v>0</v>
      </c>
      <c r="AD260" s="553">
        <v>0</v>
      </c>
      <c r="AE260" s="553">
        <v>0</v>
      </c>
      <c r="AF260" s="553">
        <v>0</v>
      </c>
      <c r="AG260" s="553">
        <v>0</v>
      </c>
      <c r="AH260" s="553">
        <v>0</v>
      </c>
      <c r="AI260" s="553">
        <v>0</v>
      </c>
      <c r="AJ260" s="553">
        <v>0</v>
      </c>
      <c r="AK260" s="553">
        <v>0</v>
      </c>
      <c r="AL260" s="553">
        <v>0</v>
      </c>
      <c r="AM260" s="553">
        <v>0</v>
      </c>
      <c r="AN260" s="569">
        <v>0</v>
      </c>
      <c r="AO260" s="570"/>
    </row>
    <row r="261" spans="1:41" ht="14">
      <c r="A261" s="504" t="s">
        <v>1254</v>
      </c>
      <c r="B261" s="501">
        <f t="shared" si="70"/>
        <v>0</v>
      </c>
      <c r="C261" s="502"/>
      <c r="D261" s="501">
        <f t="shared" si="71"/>
        <v>0</v>
      </c>
      <c r="E261" s="502"/>
      <c r="F261" s="501">
        <f t="shared" si="72"/>
        <v>0</v>
      </c>
      <c r="G261" s="502"/>
      <c r="H261" s="501">
        <f t="shared" si="73"/>
        <v>0</v>
      </c>
      <c r="I261" s="502"/>
      <c r="J261" s="501">
        <f t="shared" si="74"/>
        <v>0</v>
      </c>
      <c r="K261" s="502"/>
      <c r="L261" s="501">
        <f t="shared" si="75"/>
        <v>0</v>
      </c>
      <c r="M261" s="502"/>
      <c r="P261" s="554" t="s">
        <v>1254</v>
      </c>
      <c r="Q261" s="553">
        <v>0</v>
      </c>
      <c r="R261" s="553">
        <v>0</v>
      </c>
      <c r="S261" s="553">
        <v>0</v>
      </c>
      <c r="T261" s="553">
        <v>0</v>
      </c>
      <c r="U261" s="553">
        <v>0</v>
      </c>
      <c r="V261" s="553">
        <v>0</v>
      </c>
      <c r="W261" s="553">
        <v>0</v>
      </c>
      <c r="X261" s="553">
        <v>0</v>
      </c>
      <c r="Y261" s="553">
        <v>0</v>
      </c>
      <c r="Z261" s="553">
        <v>0</v>
      </c>
      <c r="AA261" s="553">
        <v>0</v>
      </c>
      <c r="AB261" s="553">
        <v>0</v>
      </c>
      <c r="AC261" s="553">
        <v>0</v>
      </c>
      <c r="AD261" s="553">
        <v>0</v>
      </c>
      <c r="AE261" s="553">
        <v>0</v>
      </c>
      <c r="AF261" s="553">
        <v>0</v>
      </c>
      <c r="AG261" s="553">
        <v>0</v>
      </c>
      <c r="AH261" s="553">
        <v>0</v>
      </c>
      <c r="AI261" s="553">
        <v>0</v>
      </c>
      <c r="AJ261" s="553">
        <v>0</v>
      </c>
      <c r="AK261" s="553">
        <v>0</v>
      </c>
      <c r="AL261" s="553">
        <v>0</v>
      </c>
      <c r="AM261" s="553">
        <v>0</v>
      </c>
      <c r="AN261" s="569">
        <v>0</v>
      </c>
      <c r="AO261" s="570"/>
    </row>
    <row r="262" spans="1:41" ht="14">
      <c r="A262" s="504" t="s">
        <v>1255</v>
      </c>
      <c r="B262" s="501">
        <f t="shared" si="70"/>
        <v>0</v>
      </c>
      <c r="C262" s="502"/>
      <c r="D262" s="501">
        <f t="shared" si="71"/>
        <v>0</v>
      </c>
      <c r="E262" s="502"/>
      <c r="F262" s="501">
        <f t="shared" si="72"/>
        <v>0</v>
      </c>
      <c r="G262" s="502"/>
      <c r="H262" s="501">
        <f t="shared" si="73"/>
        <v>0</v>
      </c>
      <c r="I262" s="502"/>
      <c r="J262" s="501">
        <f t="shared" si="74"/>
        <v>0</v>
      </c>
      <c r="K262" s="502"/>
      <c r="L262" s="501">
        <f t="shared" si="75"/>
        <v>0</v>
      </c>
      <c r="M262" s="502"/>
      <c r="P262" s="554" t="s">
        <v>1255</v>
      </c>
      <c r="Q262" s="553">
        <v>65453</v>
      </c>
      <c r="R262" s="553">
        <v>0</v>
      </c>
      <c r="S262" s="553">
        <v>0</v>
      </c>
      <c r="T262" s="553">
        <v>65453</v>
      </c>
      <c r="U262" s="553">
        <v>119313</v>
      </c>
      <c r="V262" s="553">
        <v>0</v>
      </c>
      <c r="W262" s="553">
        <v>247990</v>
      </c>
      <c r="X262" s="553">
        <v>367303</v>
      </c>
      <c r="Y262" s="553">
        <v>0</v>
      </c>
      <c r="Z262" s="553">
        <v>0</v>
      </c>
      <c r="AA262" s="553">
        <v>0</v>
      </c>
      <c r="AB262" s="553">
        <v>0</v>
      </c>
      <c r="AC262" s="553">
        <v>0</v>
      </c>
      <c r="AD262" s="553">
        <v>0</v>
      </c>
      <c r="AE262" s="553">
        <v>0</v>
      </c>
      <c r="AF262" s="553">
        <v>0</v>
      </c>
      <c r="AG262" s="553">
        <v>0</v>
      </c>
      <c r="AH262" s="553">
        <v>0</v>
      </c>
      <c r="AI262" s="553">
        <v>0</v>
      </c>
      <c r="AJ262" s="553">
        <v>0</v>
      </c>
      <c r="AK262" s="553">
        <v>0</v>
      </c>
      <c r="AL262" s="553">
        <v>0</v>
      </c>
      <c r="AM262" s="553">
        <v>0</v>
      </c>
      <c r="AN262" s="569">
        <v>0</v>
      </c>
      <c r="AO262" s="570"/>
    </row>
    <row r="263" spans="1:41" ht="14.5" thickBot="1">
      <c r="A263" s="516" t="s">
        <v>1256</v>
      </c>
      <c r="B263" s="501">
        <f t="shared" si="70"/>
        <v>0</v>
      </c>
      <c r="C263" s="502"/>
      <c r="D263" s="501">
        <f t="shared" si="71"/>
        <v>0</v>
      </c>
      <c r="E263" s="502"/>
      <c r="F263" s="501">
        <f t="shared" si="72"/>
        <v>0</v>
      </c>
      <c r="G263" s="502"/>
      <c r="H263" s="501">
        <f t="shared" si="73"/>
        <v>0</v>
      </c>
      <c r="I263" s="502"/>
      <c r="J263" s="501">
        <f t="shared" si="74"/>
        <v>0</v>
      </c>
      <c r="K263" s="502"/>
      <c r="L263" s="501">
        <f t="shared" si="75"/>
        <v>0</v>
      </c>
      <c r="M263" s="502"/>
      <c r="P263" s="554" t="s">
        <v>1256</v>
      </c>
      <c r="Q263" s="553">
        <v>0</v>
      </c>
      <c r="R263" s="571">
        <v>0</v>
      </c>
      <c r="S263" s="571">
        <v>0</v>
      </c>
      <c r="T263" s="571">
        <v>0</v>
      </c>
      <c r="U263" s="571">
        <v>0</v>
      </c>
      <c r="V263" s="571">
        <v>0</v>
      </c>
      <c r="W263" s="571">
        <v>0</v>
      </c>
      <c r="X263" s="571">
        <v>0</v>
      </c>
      <c r="Y263" s="571">
        <v>0</v>
      </c>
      <c r="Z263" s="571">
        <v>0</v>
      </c>
      <c r="AA263" s="571">
        <v>0</v>
      </c>
      <c r="AB263" s="571">
        <v>0</v>
      </c>
      <c r="AC263" s="571">
        <v>0</v>
      </c>
      <c r="AD263" s="571">
        <v>0</v>
      </c>
      <c r="AE263" s="571">
        <v>0</v>
      </c>
      <c r="AF263" s="571">
        <v>0</v>
      </c>
      <c r="AG263" s="571">
        <v>0</v>
      </c>
      <c r="AH263" s="571">
        <v>0</v>
      </c>
      <c r="AI263" s="571">
        <v>0</v>
      </c>
      <c r="AJ263" s="571">
        <v>0</v>
      </c>
      <c r="AK263" s="571">
        <v>0</v>
      </c>
      <c r="AL263" s="571">
        <v>0</v>
      </c>
      <c r="AM263" s="571">
        <v>0</v>
      </c>
      <c r="AN263" s="572">
        <v>0</v>
      </c>
      <c r="AO263" s="570"/>
    </row>
    <row r="264" spans="1:41" ht="14.5" thickBot="1">
      <c r="A264" s="516" t="s">
        <v>2255</v>
      </c>
      <c r="B264" s="501"/>
      <c r="C264" s="502"/>
      <c r="D264" s="501"/>
      <c r="E264" s="502"/>
      <c r="F264" s="501"/>
      <c r="G264" s="502"/>
      <c r="H264" s="501"/>
      <c r="I264" s="502"/>
      <c r="J264" s="501"/>
      <c r="K264" s="502"/>
      <c r="L264" s="501"/>
      <c r="M264" s="502"/>
      <c r="P264" s="565" t="s">
        <v>2492</v>
      </c>
      <c r="Q264" s="553">
        <v>0</v>
      </c>
      <c r="R264" s="571">
        <v>0</v>
      </c>
      <c r="S264" s="571">
        <v>0</v>
      </c>
      <c r="T264" s="571">
        <v>0</v>
      </c>
      <c r="U264" s="571">
        <v>0</v>
      </c>
      <c r="V264" s="571">
        <v>0</v>
      </c>
      <c r="W264" s="571">
        <v>0</v>
      </c>
      <c r="X264" s="571">
        <v>0</v>
      </c>
      <c r="Y264" s="571">
        <v>0</v>
      </c>
      <c r="Z264" s="571">
        <v>0</v>
      </c>
      <c r="AA264" s="571">
        <v>0</v>
      </c>
      <c r="AB264" s="571">
        <v>0</v>
      </c>
      <c r="AC264" s="571">
        <v>0</v>
      </c>
      <c r="AD264" s="571">
        <v>0</v>
      </c>
      <c r="AE264" s="571">
        <v>0</v>
      </c>
      <c r="AF264" s="571">
        <v>0</v>
      </c>
      <c r="AG264" s="571">
        <v>0</v>
      </c>
      <c r="AH264" s="571">
        <v>0</v>
      </c>
      <c r="AI264" s="571">
        <v>0</v>
      </c>
      <c r="AJ264" s="571">
        <v>0</v>
      </c>
      <c r="AK264" s="571">
        <v>0</v>
      </c>
      <c r="AL264" s="571">
        <v>0</v>
      </c>
      <c r="AM264" s="573">
        <v>0</v>
      </c>
      <c r="AN264" s="574">
        <v>0</v>
      </c>
      <c r="AO264" s="529">
        <v>0</v>
      </c>
    </row>
    <row r="265" spans="1:41" ht="14.5" thickBot="1">
      <c r="A265" s="509"/>
      <c r="B265" s="517"/>
      <c r="C265" s="517"/>
      <c r="D265" s="517"/>
      <c r="E265" s="517"/>
      <c r="F265" s="517"/>
      <c r="G265" s="517"/>
      <c r="H265" s="517"/>
      <c r="I265" s="517"/>
      <c r="J265" s="517"/>
      <c r="K265" s="517"/>
      <c r="L265" s="517"/>
      <c r="M265" s="517"/>
      <c r="P265" s="555" t="s">
        <v>187</v>
      </c>
      <c r="Q265" s="575">
        <v>0</v>
      </c>
      <c r="R265" s="576">
        <v>0</v>
      </c>
      <c r="S265" s="577">
        <v>0</v>
      </c>
      <c r="T265" s="578">
        <v>65453</v>
      </c>
      <c r="U265" s="576">
        <v>0</v>
      </c>
      <c r="V265" s="576">
        <v>0</v>
      </c>
      <c r="W265" s="577">
        <v>0</v>
      </c>
      <c r="X265" s="578">
        <v>374951</v>
      </c>
      <c r="Y265" s="576">
        <v>0</v>
      </c>
      <c r="Z265" s="576">
        <v>0</v>
      </c>
      <c r="AA265" s="577">
        <v>0</v>
      </c>
      <c r="AB265" s="578">
        <v>23500</v>
      </c>
      <c r="AC265" s="576">
        <v>0</v>
      </c>
      <c r="AD265" s="576">
        <v>0</v>
      </c>
      <c r="AE265" s="577">
        <v>0</v>
      </c>
      <c r="AF265" s="578">
        <v>0</v>
      </c>
      <c r="AG265" s="576">
        <v>0</v>
      </c>
      <c r="AH265" s="576">
        <v>0</v>
      </c>
      <c r="AI265" s="577">
        <v>0</v>
      </c>
      <c r="AJ265" s="578">
        <v>0</v>
      </c>
      <c r="AK265" s="576">
        <v>0</v>
      </c>
      <c r="AL265" s="576">
        <v>0</v>
      </c>
      <c r="AM265" s="577">
        <v>0</v>
      </c>
      <c r="AN265" s="579">
        <v>0</v>
      </c>
      <c r="AO265" s="96">
        <f>T265+X265+AB265+AF265+AJ265+AN265</f>
        <v>463904</v>
      </c>
    </row>
    <row r="266" spans="1:41" ht="14">
      <c r="A266" s="519"/>
      <c r="B266" s="520"/>
      <c r="C266" s="520"/>
      <c r="D266" s="520"/>
      <c r="E266" s="520"/>
      <c r="I266" s="520"/>
      <c r="J266" s="520"/>
      <c r="K266" s="520"/>
      <c r="L266" s="520"/>
      <c r="M266" s="520"/>
      <c r="N266" s="520"/>
      <c r="S266" s="567"/>
      <c r="V266" s="567"/>
      <c r="Y266" s="567"/>
      <c r="AB266" s="567"/>
      <c r="AE266" s="567"/>
      <c r="AH266" s="567"/>
    </row>
    <row r="267" spans="1:41" ht="13.5" thickBot="1">
      <c r="C267" s="35"/>
      <c r="E267" s="417"/>
      <c r="H267" s="28"/>
      <c r="I267" s="28"/>
      <c r="J267" s="28"/>
      <c r="M267" s="508"/>
      <c r="N267" s="123"/>
    </row>
    <row r="268" spans="1:41" ht="13" thickBot="1">
      <c r="A268" s="806" t="s">
        <v>3586</v>
      </c>
      <c r="B268" s="807"/>
      <c r="C268" s="807"/>
      <c r="D268" s="807"/>
      <c r="E268" s="807"/>
      <c r="F268" s="807"/>
      <c r="G268" s="807"/>
      <c r="H268" s="807"/>
      <c r="I268" s="807"/>
      <c r="J268" s="807"/>
      <c r="K268" s="807"/>
      <c r="L268" s="807"/>
      <c r="M268" s="808"/>
      <c r="N268" s="95"/>
      <c r="P268" s="530" t="s">
        <v>1369</v>
      </c>
      <c r="Q268" s="841" t="s">
        <v>3587</v>
      </c>
      <c r="R268" s="812"/>
      <c r="S268" s="812"/>
      <c r="T268" s="812"/>
      <c r="U268" s="812"/>
      <c r="V268" s="812"/>
      <c r="W268" s="812"/>
      <c r="X268" s="812"/>
      <c r="Y268" s="812"/>
      <c r="Z268" s="812"/>
      <c r="AA268" s="812"/>
      <c r="AB268" s="812"/>
      <c r="AC268" s="812"/>
      <c r="AD268" s="812"/>
      <c r="AE268" s="812"/>
      <c r="AF268" s="812"/>
      <c r="AG268" s="812"/>
      <c r="AH268" s="812"/>
      <c r="AI268" s="812"/>
      <c r="AJ268" s="812"/>
      <c r="AK268" s="812"/>
      <c r="AL268" s="812"/>
      <c r="AM268" s="812"/>
      <c r="AN268" s="813"/>
    </row>
    <row r="269" spans="1:41" ht="30" customHeight="1" thickBot="1">
      <c r="A269" s="809" t="s">
        <v>1270</v>
      </c>
      <c r="B269" s="804" t="s">
        <v>1363</v>
      </c>
      <c r="C269" s="802"/>
      <c r="D269" s="804" t="s">
        <v>1364</v>
      </c>
      <c r="E269" s="802"/>
      <c r="F269" s="804" t="s">
        <v>1365</v>
      </c>
      <c r="G269" s="802"/>
      <c r="H269" s="804" t="s">
        <v>1366</v>
      </c>
      <c r="I269" s="802"/>
      <c r="J269" s="804" t="s">
        <v>1367</v>
      </c>
      <c r="K269" s="802"/>
      <c r="L269" s="804" t="s">
        <v>1368</v>
      </c>
      <c r="M269" s="802"/>
      <c r="P269" s="531" t="s">
        <v>3576</v>
      </c>
      <c r="Q269" s="811" t="s">
        <v>223</v>
      </c>
      <c r="R269" s="812"/>
      <c r="S269" s="812"/>
      <c r="T269" s="813"/>
      <c r="U269" s="811" t="s">
        <v>203</v>
      </c>
      <c r="V269" s="812"/>
      <c r="W269" s="812"/>
      <c r="X269" s="813"/>
      <c r="Y269" s="811" t="s">
        <v>219</v>
      </c>
      <c r="Z269" s="812"/>
      <c r="AA269" s="812"/>
      <c r="AB269" s="813"/>
      <c r="AC269" s="811" t="s">
        <v>220</v>
      </c>
      <c r="AD269" s="812"/>
      <c r="AE269" s="812"/>
      <c r="AF269" s="813"/>
      <c r="AG269" s="811" t="s">
        <v>222</v>
      </c>
      <c r="AH269" s="812"/>
      <c r="AI269" s="812"/>
      <c r="AJ269" s="813"/>
      <c r="AK269" s="811" t="s">
        <v>221</v>
      </c>
      <c r="AL269" s="812"/>
      <c r="AM269" s="812"/>
      <c r="AN269" s="812"/>
      <c r="AO269" s="835"/>
    </row>
    <row r="270" spans="1:41" ht="13.5" customHeight="1" thickBot="1">
      <c r="A270" s="810"/>
      <c r="B270" s="805"/>
      <c r="C270" s="803"/>
      <c r="D270" s="805"/>
      <c r="E270" s="803"/>
      <c r="F270" s="805"/>
      <c r="G270" s="803"/>
      <c r="H270" s="805"/>
      <c r="I270" s="803"/>
      <c r="J270" s="805"/>
      <c r="K270" s="803"/>
      <c r="L270" s="805"/>
      <c r="M270" s="803"/>
      <c r="P270" s="568" t="s">
        <v>3577</v>
      </c>
      <c r="Q270" s="153" t="s">
        <v>3578</v>
      </c>
      <c r="R270" s="47" t="s">
        <v>3579</v>
      </c>
      <c r="S270" s="154" t="s">
        <v>3580</v>
      </c>
      <c r="T270" s="47" t="s">
        <v>1273</v>
      </c>
      <c r="U270" s="153" t="s">
        <v>3578</v>
      </c>
      <c r="V270" s="47" t="s">
        <v>3579</v>
      </c>
      <c r="W270" s="154" t="s">
        <v>3580</v>
      </c>
      <c r="X270" s="47" t="s">
        <v>1273</v>
      </c>
      <c r="Y270" s="153" t="s">
        <v>3578</v>
      </c>
      <c r="Z270" s="47" t="s">
        <v>3579</v>
      </c>
      <c r="AA270" s="154" t="s">
        <v>3580</v>
      </c>
      <c r="AB270" s="47" t="s">
        <v>1273</v>
      </c>
      <c r="AC270" s="153" t="s">
        <v>3578</v>
      </c>
      <c r="AD270" s="47" t="s">
        <v>3579</v>
      </c>
      <c r="AE270" s="154" t="s">
        <v>3580</v>
      </c>
      <c r="AF270" s="47" t="s">
        <v>1273</v>
      </c>
      <c r="AG270" s="153" t="s">
        <v>3578</v>
      </c>
      <c r="AH270" s="47" t="s">
        <v>3579</v>
      </c>
      <c r="AI270" s="154" t="s">
        <v>3580</v>
      </c>
      <c r="AJ270" s="47" t="s">
        <v>1273</v>
      </c>
      <c r="AK270" s="153" t="s">
        <v>3578</v>
      </c>
      <c r="AL270" s="47" t="s">
        <v>3579</v>
      </c>
      <c r="AM270" s="154" t="s">
        <v>3580</v>
      </c>
      <c r="AN270" s="155" t="s">
        <v>1273</v>
      </c>
      <c r="AO270" s="835"/>
    </row>
    <row r="271" spans="1:41" ht="14">
      <c r="A271" s="97" t="s">
        <v>2238</v>
      </c>
      <c r="B271" s="501">
        <f t="shared" ref="B271:B289" si="76">$T271*$J36</f>
        <v>0</v>
      </c>
      <c r="C271" s="502"/>
      <c r="D271" s="501">
        <f t="shared" ref="D271:D289" si="77">$X271*$J36</f>
        <v>0</v>
      </c>
      <c r="E271" s="502"/>
      <c r="F271" s="501">
        <f>ABY271*$J36</f>
        <v>0</v>
      </c>
      <c r="G271" s="502"/>
      <c r="H271" s="501">
        <f>AF271*$J36</f>
        <v>0</v>
      </c>
      <c r="I271" s="502"/>
      <c r="J271" s="501">
        <f>AJ271*$J36</f>
        <v>0</v>
      </c>
      <c r="K271" s="502"/>
      <c r="L271" s="501">
        <f>AN271*$J36</f>
        <v>0</v>
      </c>
      <c r="M271" s="502"/>
      <c r="P271" s="98" t="s">
        <v>2238</v>
      </c>
      <c r="Q271" s="553">
        <v>0</v>
      </c>
      <c r="R271" s="553">
        <v>0</v>
      </c>
      <c r="S271" s="553">
        <v>0</v>
      </c>
      <c r="T271" s="553">
        <v>0</v>
      </c>
      <c r="U271" s="553">
        <v>0</v>
      </c>
      <c r="V271" s="553">
        <v>0</v>
      </c>
      <c r="W271" s="553">
        <v>0</v>
      </c>
      <c r="X271" s="553">
        <v>0</v>
      </c>
      <c r="Y271" s="553">
        <v>0</v>
      </c>
      <c r="Z271" s="553">
        <v>0</v>
      </c>
      <c r="AA271" s="553">
        <v>0</v>
      </c>
      <c r="AB271" s="553">
        <v>0</v>
      </c>
      <c r="AC271" s="553">
        <v>0</v>
      </c>
      <c r="AD271" s="553">
        <v>0</v>
      </c>
      <c r="AE271" s="553">
        <v>0</v>
      </c>
      <c r="AF271" s="553">
        <v>0</v>
      </c>
      <c r="AG271" s="553">
        <v>0</v>
      </c>
      <c r="AH271" s="553">
        <v>0</v>
      </c>
      <c r="AI271" s="553">
        <v>0</v>
      </c>
      <c r="AJ271" s="553">
        <v>0</v>
      </c>
      <c r="AK271" s="553">
        <v>0</v>
      </c>
      <c r="AL271" s="553">
        <v>0</v>
      </c>
      <c r="AM271" s="553">
        <v>0</v>
      </c>
      <c r="AN271" s="569">
        <v>0</v>
      </c>
      <c r="AO271" s="570"/>
    </row>
    <row r="272" spans="1:41" ht="14">
      <c r="A272" s="504" t="s">
        <v>1239</v>
      </c>
      <c r="B272" s="501">
        <f>$T272*$J37</f>
        <v>1792882.5381423361</v>
      </c>
      <c r="C272" s="502"/>
      <c r="D272" s="501">
        <f t="shared" si="77"/>
        <v>0</v>
      </c>
      <c r="E272" s="502"/>
      <c r="F272" s="501">
        <f>AB272*$J37</f>
        <v>0</v>
      </c>
      <c r="G272" s="502"/>
      <c r="H272" s="501">
        <f>AF272*$J37</f>
        <v>0</v>
      </c>
      <c r="I272" s="502"/>
      <c r="J272" s="501">
        <f>AJ272*$J37</f>
        <v>0</v>
      </c>
      <c r="K272" s="502"/>
      <c r="L272" s="501">
        <f>AN272*$J37</f>
        <v>0</v>
      </c>
      <c r="M272" s="502"/>
      <c r="P272" s="554" t="s">
        <v>1239</v>
      </c>
      <c r="Q272" s="553">
        <v>123044</v>
      </c>
      <c r="R272" s="553">
        <v>0</v>
      </c>
      <c r="S272" s="553">
        <v>0</v>
      </c>
      <c r="T272" s="553">
        <v>123044</v>
      </c>
      <c r="U272" s="553">
        <v>0</v>
      </c>
      <c r="V272" s="553">
        <v>0</v>
      </c>
      <c r="W272" s="553">
        <v>0</v>
      </c>
      <c r="X272" s="553">
        <v>0</v>
      </c>
      <c r="Y272" s="553">
        <v>0</v>
      </c>
      <c r="Z272" s="553">
        <v>0</v>
      </c>
      <c r="AA272" s="553">
        <v>0</v>
      </c>
      <c r="AB272" s="553">
        <v>0</v>
      </c>
      <c r="AC272" s="553">
        <v>0</v>
      </c>
      <c r="AD272" s="553">
        <v>0</v>
      </c>
      <c r="AE272" s="553">
        <v>0</v>
      </c>
      <c r="AF272" s="553">
        <v>0</v>
      </c>
      <c r="AG272" s="553">
        <v>0</v>
      </c>
      <c r="AH272" s="553">
        <v>0</v>
      </c>
      <c r="AI272" s="553">
        <v>0</v>
      </c>
      <c r="AJ272" s="553">
        <v>0</v>
      </c>
      <c r="AK272" s="553">
        <v>0</v>
      </c>
      <c r="AL272" s="553">
        <v>0</v>
      </c>
      <c r="AM272" s="553">
        <v>0</v>
      </c>
      <c r="AN272" s="569">
        <v>0</v>
      </c>
      <c r="AO272" s="570"/>
    </row>
    <row r="273" spans="1:41" ht="14">
      <c r="A273" s="504" t="s">
        <v>1240</v>
      </c>
      <c r="B273" s="501">
        <f t="shared" si="76"/>
        <v>0</v>
      </c>
      <c r="C273" s="502"/>
      <c r="D273" s="501">
        <f t="shared" si="77"/>
        <v>0</v>
      </c>
      <c r="E273" s="502"/>
      <c r="F273" s="501">
        <f t="shared" ref="F273:F289" si="78">AB273*$J38</f>
        <v>0</v>
      </c>
      <c r="G273" s="502"/>
      <c r="H273" s="501">
        <f t="shared" ref="H273:H289" si="79">AF273*$J38</f>
        <v>0</v>
      </c>
      <c r="I273" s="502"/>
      <c r="J273" s="501">
        <f t="shared" ref="J273:J289" si="80">AJ273*$J38</f>
        <v>0</v>
      </c>
      <c r="K273" s="502"/>
      <c r="L273" s="501">
        <f t="shared" ref="L273:L289" si="81">AN273*$J38</f>
        <v>0</v>
      </c>
      <c r="M273" s="502"/>
      <c r="P273" s="554" t="s">
        <v>1240</v>
      </c>
      <c r="Q273" s="553">
        <v>0</v>
      </c>
      <c r="R273" s="553">
        <v>0</v>
      </c>
      <c r="S273" s="553">
        <v>0</v>
      </c>
      <c r="T273" s="553">
        <v>0</v>
      </c>
      <c r="U273" s="553">
        <v>0</v>
      </c>
      <c r="V273" s="553">
        <v>0</v>
      </c>
      <c r="W273" s="553">
        <v>0</v>
      </c>
      <c r="X273" s="553">
        <v>0</v>
      </c>
      <c r="Y273" s="553">
        <v>0</v>
      </c>
      <c r="Z273" s="553">
        <v>0</v>
      </c>
      <c r="AA273" s="553">
        <v>0</v>
      </c>
      <c r="AB273" s="553">
        <v>0</v>
      </c>
      <c r="AC273" s="553">
        <v>0</v>
      </c>
      <c r="AD273" s="553">
        <v>0</v>
      </c>
      <c r="AE273" s="553">
        <v>0</v>
      </c>
      <c r="AF273" s="553">
        <v>0</v>
      </c>
      <c r="AG273" s="553">
        <v>0</v>
      </c>
      <c r="AH273" s="553">
        <v>0</v>
      </c>
      <c r="AI273" s="553">
        <v>0</v>
      </c>
      <c r="AJ273" s="553">
        <v>0</v>
      </c>
      <c r="AK273" s="553">
        <v>0</v>
      </c>
      <c r="AL273" s="553">
        <v>0</v>
      </c>
      <c r="AM273" s="553">
        <v>0</v>
      </c>
      <c r="AN273" s="569">
        <v>0</v>
      </c>
      <c r="AO273" s="570"/>
    </row>
    <row r="274" spans="1:41" ht="14">
      <c r="A274" s="504" t="s">
        <v>1241</v>
      </c>
      <c r="B274" s="501">
        <f t="shared" si="76"/>
        <v>0</v>
      </c>
      <c r="C274" s="502"/>
      <c r="D274" s="501">
        <f t="shared" si="77"/>
        <v>0</v>
      </c>
      <c r="E274" s="502"/>
      <c r="F274" s="501">
        <f t="shared" si="78"/>
        <v>0</v>
      </c>
      <c r="G274" s="502"/>
      <c r="H274" s="501">
        <f t="shared" si="79"/>
        <v>0</v>
      </c>
      <c r="I274" s="502"/>
      <c r="J274" s="501">
        <f t="shared" si="80"/>
        <v>0</v>
      </c>
      <c r="K274" s="502"/>
      <c r="L274" s="501">
        <f t="shared" si="81"/>
        <v>0</v>
      </c>
      <c r="M274" s="502"/>
      <c r="P274" s="554" t="s">
        <v>1241</v>
      </c>
      <c r="Q274" s="553">
        <v>0</v>
      </c>
      <c r="R274" s="553">
        <v>0</v>
      </c>
      <c r="S274" s="553">
        <v>0</v>
      </c>
      <c r="T274" s="553">
        <v>0</v>
      </c>
      <c r="U274" s="553">
        <v>0</v>
      </c>
      <c r="V274" s="553">
        <v>0</v>
      </c>
      <c r="W274" s="553">
        <v>0</v>
      </c>
      <c r="X274" s="553">
        <v>0</v>
      </c>
      <c r="Y274" s="553">
        <v>0</v>
      </c>
      <c r="Z274" s="553">
        <v>0</v>
      </c>
      <c r="AA274" s="553">
        <v>0</v>
      </c>
      <c r="AB274" s="553">
        <v>0</v>
      </c>
      <c r="AC274" s="553">
        <v>0</v>
      </c>
      <c r="AD274" s="553">
        <v>0</v>
      </c>
      <c r="AE274" s="553">
        <v>0</v>
      </c>
      <c r="AF274" s="553">
        <v>0</v>
      </c>
      <c r="AG274" s="553">
        <v>0</v>
      </c>
      <c r="AH274" s="553">
        <v>0</v>
      </c>
      <c r="AI274" s="553">
        <v>0</v>
      </c>
      <c r="AJ274" s="553">
        <v>0</v>
      </c>
      <c r="AK274" s="553">
        <v>0</v>
      </c>
      <c r="AL274" s="553">
        <v>0</v>
      </c>
      <c r="AM274" s="553">
        <v>0</v>
      </c>
      <c r="AN274" s="569">
        <v>0</v>
      </c>
      <c r="AO274" s="570"/>
    </row>
    <row r="275" spans="1:41" ht="14">
      <c r="A275" s="504" t="s">
        <v>1242</v>
      </c>
      <c r="B275" s="501">
        <f t="shared" si="76"/>
        <v>0</v>
      </c>
      <c r="C275" s="502"/>
      <c r="D275" s="501">
        <f t="shared" si="77"/>
        <v>0</v>
      </c>
      <c r="E275" s="502"/>
      <c r="F275" s="501">
        <f t="shared" si="78"/>
        <v>0</v>
      </c>
      <c r="G275" s="502"/>
      <c r="H275" s="501">
        <f t="shared" si="79"/>
        <v>0</v>
      </c>
      <c r="I275" s="502"/>
      <c r="J275" s="501">
        <f t="shared" si="80"/>
        <v>0</v>
      </c>
      <c r="K275" s="502"/>
      <c r="L275" s="501">
        <f t="shared" si="81"/>
        <v>0</v>
      </c>
      <c r="M275" s="502"/>
      <c r="P275" s="554" t="s">
        <v>1242</v>
      </c>
      <c r="Q275" s="553">
        <v>0</v>
      </c>
      <c r="R275" s="553">
        <v>0</v>
      </c>
      <c r="S275" s="553">
        <v>0</v>
      </c>
      <c r="T275" s="553">
        <v>0</v>
      </c>
      <c r="U275" s="553">
        <v>0</v>
      </c>
      <c r="V275" s="553">
        <v>0</v>
      </c>
      <c r="W275" s="553">
        <v>0</v>
      </c>
      <c r="X275" s="553">
        <v>0</v>
      </c>
      <c r="Y275" s="553">
        <v>0</v>
      </c>
      <c r="Z275" s="553">
        <v>0</v>
      </c>
      <c r="AA275" s="553">
        <v>0</v>
      </c>
      <c r="AB275" s="553">
        <v>0</v>
      </c>
      <c r="AC275" s="553">
        <v>0</v>
      </c>
      <c r="AD275" s="553">
        <v>0</v>
      </c>
      <c r="AE275" s="553">
        <v>0</v>
      </c>
      <c r="AF275" s="553">
        <v>0</v>
      </c>
      <c r="AG275" s="553">
        <v>0</v>
      </c>
      <c r="AH275" s="553">
        <v>0</v>
      </c>
      <c r="AI275" s="553">
        <v>0</v>
      </c>
      <c r="AJ275" s="553">
        <v>0</v>
      </c>
      <c r="AK275" s="553">
        <v>0</v>
      </c>
      <c r="AL275" s="553">
        <v>0</v>
      </c>
      <c r="AM275" s="553">
        <v>0</v>
      </c>
      <c r="AN275" s="569">
        <v>0</v>
      </c>
      <c r="AO275" s="570"/>
    </row>
    <row r="276" spans="1:41" ht="14">
      <c r="A276" s="504" t="s">
        <v>1243</v>
      </c>
      <c r="B276" s="501">
        <f t="shared" si="76"/>
        <v>0</v>
      </c>
      <c r="C276" s="502"/>
      <c r="D276" s="501">
        <f t="shared" si="77"/>
        <v>0</v>
      </c>
      <c r="E276" s="502"/>
      <c r="F276" s="501">
        <f t="shared" si="78"/>
        <v>0</v>
      </c>
      <c r="G276" s="502"/>
      <c r="H276" s="501">
        <f t="shared" si="79"/>
        <v>0</v>
      </c>
      <c r="I276" s="502"/>
      <c r="J276" s="501">
        <f t="shared" si="80"/>
        <v>0</v>
      </c>
      <c r="K276" s="502"/>
      <c r="L276" s="501">
        <f t="shared" si="81"/>
        <v>0</v>
      </c>
      <c r="M276" s="502"/>
      <c r="P276" s="554" t="s">
        <v>1243</v>
      </c>
      <c r="Q276" s="553">
        <v>0</v>
      </c>
      <c r="R276" s="553">
        <v>0</v>
      </c>
      <c r="S276" s="553">
        <v>0</v>
      </c>
      <c r="T276" s="553">
        <v>0</v>
      </c>
      <c r="U276" s="553">
        <v>0</v>
      </c>
      <c r="V276" s="553">
        <v>0</v>
      </c>
      <c r="W276" s="553">
        <v>0</v>
      </c>
      <c r="X276" s="553">
        <v>0</v>
      </c>
      <c r="Y276" s="553">
        <v>0</v>
      </c>
      <c r="Z276" s="553">
        <v>0</v>
      </c>
      <c r="AA276" s="553">
        <v>0</v>
      </c>
      <c r="AB276" s="553">
        <v>0</v>
      </c>
      <c r="AC276" s="553">
        <v>0</v>
      </c>
      <c r="AD276" s="553">
        <v>0</v>
      </c>
      <c r="AE276" s="553">
        <v>0</v>
      </c>
      <c r="AF276" s="553">
        <v>0</v>
      </c>
      <c r="AG276" s="553">
        <v>0</v>
      </c>
      <c r="AH276" s="553">
        <v>0</v>
      </c>
      <c r="AI276" s="553">
        <v>0</v>
      </c>
      <c r="AJ276" s="553">
        <v>0</v>
      </c>
      <c r="AK276" s="553">
        <v>0</v>
      </c>
      <c r="AL276" s="553">
        <v>0</v>
      </c>
      <c r="AM276" s="553">
        <v>0</v>
      </c>
      <c r="AN276" s="569">
        <v>0</v>
      </c>
      <c r="AO276" s="570"/>
    </row>
    <row r="277" spans="1:41" ht="14">
      <c r="A277" s="504" t="s">
        <v>1244</v>
      </c>
      <c r="B277" s="501">
        <f t="shared" si="76"/>
        <v>0</v>
      </c>
      <c r="C277" s="502"/>
      <c r="D277" s="501">
        <f t="shared" si="77"/>
        <v>0</v>
      </c>
      <c r="E277" s="502"/>
      <c r="F277" s="501">
        <f t="shared" si="78"/>
        <v>0</v>
      </c>
      <c r="G277" s="502"/>
      <c r="H277" s="501">
        <f t="shared" si="79"/>
        <v>0</v>
      </c>
      <c r="I277" s="502"/>
      <c r="J277" s="501">
        <f t="shared" si="80"/>
        <v>0</v>
      </c>
      <c r="K277" s="502"/>
      <c r="L277" s="501">
        <f t="shared" si="81"/>
        <v>0</v>
      </c>
      <c r="M277" s="502"/>
      <c r="P277" s="554" t="s">
        <v>1244</v>
      </c>
      <c r="Q277" s="553">
        <v>0</v>
      </c>
      <c r="R277" s="553">
        <v>0</v>
      </c>
      <c r="S277" s="553">
        <v>0</v>
      </c>
      <c r="T277" s="553">
        <v>0</v>
      </c>
      <c r="U277" s="553">
        <v>0</v>
      </c>
      <c r="V277" s="553">
        <v>0</v>
      </c>
      <c r="W277" s="553">
        <v>0</v>
      </c>
      <c r="X277" s="553">
        <v>0</v>
      </c>
      <c r="Y277" s="553">
        <v>0</v>
      </c>
      <c r="Z277" s="553">
        <v>0</v>
      </c>
      <c r="AA277" s="553">
        <v>0</v>
      </c>
      <c r="AB277" s="553">
        <v>0</v>
      </c>
      <c r="AC277" s="553">
        <v>0</v>
      </c>
      <c r="AD277" s="553">
        <v>0</v>
      </c>
      <c r="AE277" s="553">
        <v>0</v>
      </c>
      <c r="AF277" s="553">
        <v>0</v>
      </c>
      <c r="AG277" s="553">
        <v>0</v>
      </c>
      <c r="AH277" s="553">
        <v>0</v>
      </c>
      <c r="AI277" s="553">
        <v>0</v>
      </c>
      <c r="AJ277" s="553">
        <v>0</v>
      </c>
      <c r="AK277" s="553">
        <v>0</v>
      </c>
      <c r="AL277" s="553">
        <v>0</v>
      </c>
      <c r="AM277" s="553">
        <v>0</v>
      </c>
      <c r="AN277" s="569">
        <v>0</v>
      </c>
      <c r="AO277" s="570"/>
    </row>
    <row r="278" spans="1:41" ht="14">
      <c r="A278" s="506" t="s">
        <v>1245</v>
      </c>
      <c r="B278" s="501">
        <f t="shared" si="76"/>
        <v>0</v>
      </c>
      <c r="C278" s="502"/>
      <c r="D278" s="501">
        <f t="shared" si="77"/>
        <v>0</v>
      </c>
      <c r="E278" s="502"/>
      <c r="F278" s="501">
        <f t="shared" si="78"/>
        <v>0</v>
      </c>
      <c r="G278" s="502"/>
      <c r="H278" s="501">
        <f t="shared" si="79"/>
        <v>0</v>
      </c>
      <c r="I278" s="502"/>
      <c r="J278" s="501">
        <f t="shared" si="80"/>
        <v>0</v>
      </c>
      <c r="K278" s="502"/>
      <c r="L278" s="501">
        <f t="shared" si="81"/>
        <v>0</v>
      </c>
      <c r="M278" s="502"/>
      <c r="P278" s="98" t="s">
        <v>1245</v>
      </c>
      <c r="Q278" s="553">
        <v>4359</v>
      </c>
      <c r="R278" s="553">
        <v>0</v>
      </c>
      <c r="S278" s="553">
        <v>0</v>
      </c>
      <c r="T278" s="553">
        <v>4359</v>
      </c>
      <c r="U278" s="553">
        <v>4356634</v>
      </c>
      <c r="V278" s="553">
        <v>526251</v>
      </c>
      <c r="W278" s="553">
        <v>0</v>
      </c>
      <c r="X278" s="553">
        <v>4882885</v>
      </c>
      <c r="Y278" s="553">
        <v>122667</v>
      </c>
      <c r="Z278" s="553">
        <v>21000</v>
      </c>
      <c r="AA278" s="553">
        <v>0</v>
      </c>
      <c r="AB278" s="553">
        <v>143667</v>
      </c>
      <c r="AC278" s="553">
        <v>0</v>
      </c>
      <c r="AD278" s="553">
        <v>0</v>
      </c>
      <c r="AE278" s="553">
        <v>0</v>
      </c>
      <c r="AF278" s="553">
        <v>0</v>
      </c>
      <c r="AG278" s="553">
        <v>0</v>
      </c>
      <c r="AH278" s="553">
        <v>0</v>
      </c>
      <c r="AI278" s="553">
        <v>0</v>
      </c>
      <c r="AJ278" s="553">
        <v>0</v>
      </c>
      <c r="AK278" s="553">
        <v>0</v>
      </c>
      <c r="AL278" s="553">
        <v>0</v>
      </c>
      <c r="AM278" s="553">
        <v>0</v>
      </c>
      <c r="AN278" s="569">
        <v>0</v>
      </c>
      <c r="AO278" s="570"/>
    </row>
    <row r="279" spans="1:41" ht="14">
      <c r="A279" s="506" t="s">
        <v>1246</v>
      </c>
      <c r="B279" s="501">
        <f t="shared" si="76"/>
        <v>0</v>
      </c>
      <c r="C279" s="502"/>
      <c r="D279" s="501">
        <f t="shared" si="77"/>
        <v>0</v>
      </c>
      <c r="E279" s="502"/>
      <c r="F279" s="501">
        <f t="shared" si="78"/>
        <v>0</v>
      </c>
      <c r="G279" s="502"/>
      <c r="H279" s="501">
        <f t="shared" si="79"/>
        <v>0</v>
      </c>
      <c r="I279" s="502"/>
      <c r="J279" s="501">
        <f t="shared" si="80"/>
        <v>0</v>
      </c>
      <c r="K279" s="502"/>
      <c r="L279" s="501">
        <f t="shared" si="81"/>
        <v>0</v>
      </c>
      <c r="M279" s="502"/>
      <c r="P279" s="98" t="s">
        <v>1246</v>
      </c>
      <c r="Q279" s="553">
        <v>0</v>
      </c>
      <c r="R279" s="553">
        <v>0</v>
      </c>
      <c r="S279" s="553">
        <v>0</v>
      </c>
      <c r="T279" s="553">
        <v>0</v>
      </c>
      <c r="U279" s="553">
        <v>0</v>
      </c>
      <c r="V279" s="553">
        <v>0</v>
      </c>
      <c r="W279" s="553">
        <v>0</v>
      </c>
      <c r="X279" s="553">
        <v>0</v>
      </c>
      <c r="Y279" s="553">
        <v>0</v>
      </c>
      <c r="Z279" s="553">
        <v>0</v>
      </c>
      <c r="AA279" s="553">
        <v>0</v>
      </c>
      <c r="AB279" s="553">
        <v>0</v>
      </c>
      <c r="AC279" s="553">
        <v>0</v>
      </c>
      <c r="AD279" s="553">
        <v>0</v>
      </c>
      <c r="AE279" s="553">
        <v>0</v>
      </c>
      <c r="AF279" s="553">
        <v>0</v>
      </c>
      <c r="AG279" s="553">
        <v>0</v>
      </c>
      <c r="AH279" s="553">
        <v>0</v>
      </c>
      <c r="AI279" s="553">
        <v>0</v>
      </c>
      <c r="AJ279" s="553">
        <v>0</v>
      </c>
      <c r="AK279" s="553">
        <v>0</v>
      </c>
      <c r="AL279" s="553">
        <v>0</v>
      </c>
      <c r="AM279" s="553">
        <v>0</v>
      </c>
      <c r="AN279" s="569">
        <v>0</v>
      </c>
      <c r="AO279" s="570"/>
    </row>
    <row r="280" spans="1:41" ht="14">
      <c r="A280" s="504" t="s">
        <v>1247</v>
      </c>
      <c r="B280" s="501">
        <f t="shared" si="76"/>
        <v>0</v>
      </c>
      <c r="C280" s="502"/>
      <c r="D280" s="501">
        <f t="shared" si="77"/>
        <v>0</v>
      </c>
      <c r="E280" s="502"/>
      <c r="F280" s="501">
        <f t="shared" si="78"/>
        <v>0</v>
      </c>
      <c r="G280" s="502"/>
      <c r="H280" s="501">
        <f t="shared" si="79"/>
        <v>0</v>
      </c>
      <c r="I280" s="502"/>
      <c r="J280" s="501">
        <f t="shared" si="80"/>
        <v>0</v>
      </c>
      <c r="K280" s="502"/>
      <c r="L280" s="501">
        <f t="shared" si="81"/>
        <v>0</v>
      </c>
      <c r="M280" s="502"/>
      <c r="P280" s="554" t="s">
        <v>1247</v>
      </c>
      <c r="Q280" s="553">
        <v>0</v>
      </c>
      <c r="R280" s="553">
        <v>0</v>
      </c>
      <c r="S280" s="553">
        <v>0</v>
      </c>
      <c r="T280" s="553">
        <v>0</v>
      </c>
      <c r="U280" s="553">
        <v>0</v>
      </c>
      <c r="V280" s="553">
        <v>0</v>
      </c>
      <c r="W280" s="553">
        <v>0</v>
      </c>
      <c r="X280" s="553">
        <v>0</v>
      </c>
      <c r="Y280" s="553">
        <v>0</v>
      </c>
      <c r="Z280" s="553">
        <v>0</v>
      </c>
      <c r="AA280" s="553">
        <v>0</v>
      </c>
      <c r="AB280" s="553">
        <v>0</v>
      </c>
      <c r="AC280" s="553">
        <v>0</v>
      </c>
      <c r="AD280" s="553">
        <v>0</v>
      </c>
      <c r="AE280" s="553">
        <v>0</v>
      </c>
      <c r="AF280" s="553">
        <v>0</v>
      </c>
      <c r="AG280" s="553">
        <v>0</v>
      </c>
      <c r="AH280" s="553">
        <v>0</v>
      </c>
      <c r="AI280" s="553">
        <v>0</v>
      </c>
      <c r="AJ280" s="553">
        <v>0</v>
      </c>
      <c r="AK280" s="553">
        <v>0</v>
      </c>
      <c r="AL280" s="553">
        <v>0</v>
      </c>
      <c r="AM280" s="553">
        <v>0</v>
      </c>
      <c r="AN280" s="569">
        <v>0</v>
      </c>
      <c r="AO280" s="570"/>
    </row>
    <row r="281" spans="1:41" ht="14">
      <c r="A281" s="504" t="s">
        <v>1248</v>
      </c>
      <c r="B281" s="501">
        <f t="shared" si="76"/>
        <v>281355.43268998852</v>
      </c>
      <c r="C281" s="502"/>
      <c r="D281" s="501">
        <f t="shared" si="77"/>
        <v>453866.93582260137</v>
      </c>
      <c r="E281" s="502"/>
      <c r="F281" s="501">
        <f t="shared" si="78"/>
        <v>0</v>
      </c>
      <c r="G281" s="502"/>
      <c r="H281" s="501">
        <f t="shared" si="79"/>
        <v>0</v>
      </c>
      <c r="I281" s="502"/>
      <c r="J281" s="501">
        <f t="shared" si="80"/>
        <v>0</v>
      </c>
      <c r="K281" s="502"/>
      <c r="L281" s="501">
        <f t="shared" si="81"/>
        <v>0</v>
      </c>
      <c r="M281" s="502"/>
      <c r="P281" s="554" t="s">
        <v>1248</v>
      </c>
      <c r="Q281" s="553">
        <v>24345</v>
      </c>
      <c r="R281" s="553">
        <v>0</v>
      </c>
      <c r="S281" s="553">
        <v>0</v>
      </c>
      <c r="T281" s="553">
        <v>24345</v>
      </c>
      <c r="U281" s="553">
        <v>39272</v>
      </c>
      <c r="V281" s="553">
        <v>0</v>
      </c>
      <c r="W281" s="553">
        <v>0</v>
      </c>
      <c r="X281" s="553">
        <v>39272</v>
      </c>
      <c r="Y281" s="553">
        <v>0</v>
      </c>
      <c r="Z281" s="553">
        <v>0</v>
      </c>
      <c r="AA281" s="553">
        <v>0</v>
      </c>
      <c r="AB281" s="553">
        <v>0</v>
      </c>
      <c r="AC281" s="553">
        <v>0</v>
      </c>
      <c r="AD281" s="553">
        <v>0</v>
      </c>
      <c r="AE281" s="553">
        <v>0</v>
      </c>
      <c r="AF281" s="553">
        <v>0</v>
      </c>
      <c r="AG281" s="553">
        <v>0</v>
      </c>
      <c r="AH281" s="553">
        <v>0</v>
      </c>
      <c r="AI281" s="553">
        <v>0</v>
      </c>
      <c r="AJ281" s="553">
        <v>0</v>
      </c>
      <c r="AK281" s="553">
        <v>0</v>
      </c>
      <c r="AL281" s="553">
        <v>0</v>
      </c>
      <c r="AM281" s="553">
        <v>0</v>
      </c>
      <c r="AN281" s="569">
        <v>0</v>
      </c>
      <c r="AO281" s="570"/>
    </row>
    <row r="282" spans="1:41" ht="14">
      <c r="A282" s="504" t="s">
        <v>1249</v>
      </c>
      <c r="B282" s="501">
        <f t="shared" si="76"/>
        <v>0</v>
      </c>
      <c r="C282" s="502"/>
      <c r="D282" s="501">
        <f t="shared" si="77"/>
        <v>0</v>
      </c>
      <c r="E282" s="502"/>
      <c r="F282" s="501">
        <f t="shared" si="78"/>
        <v>0</v>
      </c>
      <c r="G282" s="502"/>
      <c r="H282" s="501">
        <f t="shared" si="79"/>
        <v>0</v>
      </c>
      <c r="I282" s="502"/>
      <c r="J282" s="501">
        <f t="shared" si="80"/>
        <v>0</v>
      </c>
      <c r="K282" s="502"/>
      <c r="L282" s="501">
        <f t="shared" si="81"/>
        <v>0</v>
      </c>
      <c r="M282" s="502"/>
      <c r="P282" s="554" t="s">
        <v>1249</v>
      </c>
      <c r="Q282" s="553">
        <v>0</v>
      </c>
      <c r="R282" s="553">
        <v>0</v>
      </c>
      <c r="S282" s="553">
        <v>0</v>
      </c>
      <c r="T282" s="553">
        <v>0</v>
      </c>
      <c r="U282" s="553">
        <v>0</v>
      </c>
      <c r="V282" s="553">
        <v>0</v>
      </c>
      <c r="W282" s="553">
        <v>0</v>
      </c>
      <c r="X282" s="553">
        <v>0</v>
      </c>
      <c r="Y282" s="553">
        <v>0</v>
      </c>
      <c r="Z282" s="553">
        <v>0</v>
      </c>
      <c r="AA282" s="553">
        <v>0</v>
      </c>
      <c r="AB282" s="553">
        <v>0</v>
      </c>
      <c r="AC282" s="553">
        <v>0</v>
      </c>
      <c r="AD282" s="553">
        <v>0</v>
      </c>
      <c r="AE282" s="553">
        <v>0</v>
      </c>
      <c r="AF282" s="553">
        <v>0</v>
      </c>
      <c r="AG282" s="553">
        <v>0</v>
      </c>
      <c r="AH282" s="553">
        <v>0</v>
      </c>
      <c r="AI282" s="553">
        <v>0</v>
      </c>
      <c r="AJ282" s="553">
        <v>0</v>
      </c>
      <c r="AK282" s="553">
        <v>0</v>
      </c>
      <c r="AL282" s="553">
        <v>0</v>
      </c>
      <c r="AM282" s="553">
        <v>0</v>
      </c>
      <c r="AN282" s="569">
        <v>0</v>
      </c>
      <c r="AO282" s="570"/>
    </row>
    <row r="283" spans="1:41" ht="14">
      <c r="A283" s="504" t="s">
        <v>1250</v>
      </c>
      <c r="B283" s="501">
        <f t="shared" si="76"/>
        <v>0</v>
      </c>
      <c r="C283" s="502"/>
      <c r="D283" s="501">
        <f t="shared" si="77"/>
        <v>0</v>
      </c>
      <c r="E283" s="502"/>
      <c r="F283" s="501">
        <f t="shared" si="78"/>
        <v>0</v>
      </c>
      <c r="G283" s="502"/>
      <c r="H283" s="501">
        <f t="shared" si="79"/>
        <v>0</v>
      </c>
      <c r="I283" s="502"/>
      <c r="J283" s="501">
        <f t="shared" si="80"/>
        <v>0</v>
      </c>
      <c r="K283" s="502"/>
      <c r="L283" s="501">
        <f t="shared" si="81"/>
        <v>0</v>
      </c>
      <c r="M283" s="502"/>
      <c r="P283" s="554" t="s">
        <v>1250</v>
      </c>
      <c r="Q283" s="553">
        <v>0</v>
      </c>
      <c r="R283" s="553">
        <v>0</v>
      </c>
      <c r="S283" s="553">
        <v>0</v>
      </c>
      <c r="T283" s="553">
        <v>0</v>
      </c>
      <c r="U283" s="553">
        <v>0</v>
      </c>
      <c r="V283" s="553">
        <v>0</v>
      </c>
      <c r="W283" s="553">
        <v>0</v>
      </c>
      <c r="X283" s="553">
        <v>0</v>
      </c>
      <c r="Y283" s="553">
        <v>0</v>
      </c>
      <c r="Z283" s="553">
        <v>0</v>
      </c>
      <c r="AA283" s="553">
        <v>0</v>
      </c>
      <c r="AB283" s="553">
        <v>0</v>
      </c>
      <c r="AC283" s="553">
        <v>0</v>
      </c>
      <c r="AD283" s="553">
        <v>0</v>
      </c>
      <c r="AE283" s="553">
        <v>0</v>
      </c>
      <c r="AF283" s="553">
        <v>0</v>
      </c>
      <c r="AG283" s="553">
        <v>0</v>
      </c>
      <c r="AH283" s="553">
        <v>0</v>
      </c>
      <c r="AI283" s="553">
        <v>0</v>
      </c>
      <c r="AJ283" s="553">
        <v>0</v>
      </c>
      <c r="AK283" s="553">
        <v>0</v>
      </c>
      <c r="AL283" s="553">
        <v>0</v>
      </c>
      <c r="AM283" s="553">
        <v>0</v>
      </c>
      <c r="AN283" s="569">
        <v>0</v>
      </c>
      <c r="AO283" s="570"/>
    </row>
    <row r="284" spans="1:41" ht="14">
      <c r="A284" s="504" t="s">
        <v>1251</v>
      </c>
      <c r="B284" s="501">
        <f t="shared" si="76"/>
        <v>0</v>
      </c>
      <c r="C284" s="502"/>
      <c r="D284" s="501">
        <f t="shared" si="77"/>
        <v>0</v>
      </c>
      <c r="E284" s="502"/>
      <c r="F284" s="501">
        <f t="shared" si="78"/>
        <v>0</v>
      </c>
      <c r="G284" s="502"/>
      <c r="H284" s="501">
        <f t="shared" si="79"/>
        <v>0</v>
      </c>
      <c r="I284" s="502"/>
      <c r="J284" s="501">
        <f t="shared" si="80"/>
        <v>0</v>
      </c>
      <c r="K284" s="502"/>
      <c r="L284" s="501">
        <f t="shared" si="81"/>
        <v>0</v>
      </c>
      <c r="M284" s="502"/>
      <c r="P284" s="554" t="s">
        <v>1251</v>
      </c>
      <c r="Q284" s="553">
        <v>0</v>
      </c>
      <c r="R284" s="553">
        <v>0</v>
      </c>
      <c r="S284" s="553">
        <v>0</v>
      </c>
      <c r="T284" s="553">
        <v>0</v>
      </c>
      <c r="U284" s="553">
        <v>0</v>
      </c>
      <c r="V284" s="553">
        <v>0</v>
      </c>
      <c r="W284" s="553">
        <v>0</v>
      </c>
      <c r="X284" s="553">
        <v>0</v>
      </c>
      <c r="Y284" s="553">
        <v>0</v>
      </c>
      <c r="Z284" s="553">
        <v>0</v>
      </c>
      <c r="AA284" s="553">
        <v>0</v>
      </c>
      <c r="AB284" s="553">
        <v>0</v>
      </c>
      <c r="AC284" s="553">
        <v>0</v>
      </c>
      <c r="AD284" s="553">
        <v>0</v>
      </c>
      <c r="AE284" s="553">
        <v>0</v>
      </c>
      <c r="AF284" s="553">
        <v>0</v>
      </c>
      <c r="AG284" s="553">
        <v>0</v>
      </c>
      <c r="AH284" s="553">
        <v>0</v>
      </c>
      <c r="AI284" s="553">
        <v>0</v>
      </c>
      <c r="AJ284" s="553">
        <v>0</v>
      </c>
      <c r="AK284" s="553">
        <v>0</v>
      </c>
      <c r="AL284" s="553">
        <v>0</v>
      </c>
      <c r="AM284" s="553">
        <v>0</v>
      </c>
      <c r="AN284" s="569">
        <v>0</v>
      </c>
      <c r="AO284" s="570"/>
    </row>
    <row r="285" spans="1:41" ht="14">
      <c r="A285" s="504" t="s">
        <v>1252</v>
      </c>
      <c r="B285" s="501">
        <f t="shared" si="76"/>
        <v>0</v>
      </c>
      <c r="C285" s="502"/>
      <c r="D285" s="501">
        <f t="shared" si="77"/>
        <v>0</v>
      </c>
      <c r="E285" s="502"/>
      <c r="F285" s="501">
        <f t="shared" si="78"/>
        <v>0</v>
      </c>
      <c r="G285" s="502"/>
      <c r="H285" s="501">
        <f t="shared" si="79"/>
        <v>0</v>
      </c>
      <c r="I285" s="502"/>
      <c r="J285" s="501">
        <f t="shared" si="80"/>
        <v>0</v>
      </c>
      <c r="K285" s="502"/>
      <c r="L285" s="501">
        <f t="shared" si="81"/>
        <v>0</v>
      </c>
      <c r="M285" s="502"/>
      <c r="P285" s="554" t="s">
        <v>1252</v>
      </c>
      <c r="Q285" s="553">
        <v>0</v>
      </c>
      <c r="R285" s="553">
        <v>0</v>
      </c>
      <c r="S285" s="553">
        <v>0</v>
      </c>
      <c r="T285" s="553">
        <v>0</v>
      </c>
      <c r="U285" s="553">
        <v>0</v>
      </c>
      <c r="V285" s="553">
        <v>0</v>
      </c>
      <c r="W285" s="553">
        <v>0</v>
      </c>
      <c r="X285" s="553">
        <v>0</v>
      </c>
      <c r="Y285" s="553">
        <v>0</v>
      </c>
      <c r="Z285" s="553">
        <v>0</v>
      </c>
      <c r="AA285" s="553">
        <v>0</v>
      </c>
      <c r="AB285" s="553">
        <v>0</v>
      </c>
      <c r="AC285" s="553">
        <v>0</v>
      </c>
      <c r="AD285" s="553">
        <v>0</v>
      </c>
      <c r="AE285" s="553">
        <v>0</v>
      </c>
      <c r="AF285" s="553">
        <v>0</v>
      </c>
      <c r="AG285" s="553">
        <v>0</v>
      </c>
      <c r="AH285" s="553">
        <v>0</v>
      </c>
      <c r="AI285" s="553">
        <v>0</v>
      </c>
      <c r="AJ285" s="553">
        <v>0</v>
      </c>
      <c r="AK285" s="553">
        <v>0</v>
      </c>
      <c r="AL285" s="553">
        <v>0</v>
      </c>
      <c r="AM285" s="553">
        <v>0</v>
      </c>
      <c r="AN285" s="569">
        <v>0</v>
      </c>
      <c r="AO285" s="570"/>
    </row>
    <row r="286" spans="1:41" ht="14">
      <c r="A286" s="98" t="s">
        <v>1253</v>
      </c>
      <c r="B286" s="501">
        <f t="shared" si="76"/>
        <v>0</v>
      </c>
      <c r="C286" s="502"/>
      <c r="D286" s="501">
        <f t="shared" si="77"/>
        <v>0</v>
      </c>
      <c r="E286" s="502"/>
      <c r="F286" s="501">
        <f t="shared" si="78"/>
        <v>0</v>
      </c>
      <c r="G286" s="502"/>
      <c r="H286" s="501">
        <f t="shared" si="79"/>
        <v>0</v>
      </c>
      <c r="I286" s="502"/>
      <c r="J286" s="501">
        <f t="shared" si="80"/>
        <v>0</v>
      </c>
      <c r="K286" s="502"/>
      <c r="L286" s="501">
        <f t="shared" si="81"/>
        <v>0</v>
      </c>
      <c r="M286" s="502"/>
      <c r="P286" s="98" t="s">
        <v>1253</v>
      </c>
      <c r="Q286" s="553">
        <v>0</v>
      </c>
      <c r="R286" s="553">
        <v>0</v>
      </c>
      <c r="S286" s="553">
        <v>0</v>
      </c>
      <c r="T286" s="553">
        <v>0</v>
      </c>
      <c r="U286" s="553">
        <v>0</v>
      </c>
      <c r="V286" s="553">
        <v>0</v>
      </c>
      <c r="W286" s="553">
        <v>0</v>
      </c>
      <c r="X286" s="553">
        <v>0</v>
      </c>
      <c r="Y286" s="553">
        <v>0</v>
      </c>
      <c r="Z286" s="553">
        <v>0</v>
      </c>
      <c r="AA286" s="553">
        <v>0</v>
      </c>
      <c r="AB286" s="553">
        <v>0</v>
      </c>
      <c r="AC286" s="553">
        <v>0</v>
      </c>
      <c r="AD286" s="553">
        <v>0</v>
      </c>
      <c r="AE286" s="553">
        <v>0</v>
      </c>
      <c r="AF286" s="553">
        <v>0</v>
      </c>
      <c r="AG286" s="553">
        <v>0</v>
      </c>
      <c r="AH286" s="553">
        <v>0</v>
      </c>
      <c r="AI286" s="553">
        <v>0</v>
      </c>
      <c r="AJ286" s="553">
        <v>0</v>
      </c>
      <c r="AK286" s="553">
        <v>0</v>
      </c>
      <c r="AL286" s="553">
        <v>0</v>
      </c>
      <c r="AM286" s="553">
        <v>0</v>
      </c>
      <c r="AN286" s="569">
        <v>0</v>
      </c>
      <c r="AO286" s="570"/>
    </row>
    <row r="287" spans="1:41" ht="14">
      <c r="A287" s="504" t="s">
        <v>1254</v>
      </c>
      <c r="B287" s="501">
        <f t="shared" si="76"/>
        <v>0</v>
      </c>
      <c r="C287" s="502"/>
      <c r="D287" s="501">
        <f t="shared" si="77"/>
        <v>0</v>
      </c>
      <c r="E287" s="502"/>
      <c r="F287" s="501">
        <f t="shared" si="78"/>
        <v>0</v>
      </c>
      <c r="G287" s="502"/>
      <c r="H287" s="501">
        <f t="shared" si="79"/>
        <v>0</v>
      </c>
      <c r="I287" s="502"/>
      <c r="J287" s="501">
        <f t="shared" si="80"/>
        <v>0</v>
      </c>
      <c r="K287" s="502"/>
      <c r="L287" s="501">
        <f t="shared" si="81"/>
        <v>0</v>
      </c>
      <c r="M287" s="502"/>
      <c r="P287" s="554" t="s">
        <v>1254</v>
      </c>
      <c r="Q287" s="553">
        <v>0</v>
      </c>
      <c r="R287" s="553">
        <v>0</v>
      </c>
      <c r="S287" s="553">
        <v>0</v>
      </c>
      <c r="T287" s="553">
        <v>0</v>
      </c>
      <c r="U287" s="553">
        <v>0</v>
      </c>
      <c r="V287" s="553">
        <v>0</v>
      </c>
      <c r="W287" s="553">
        <v>0</v>
      </c>
      <c r="X287" s="553">
        <v>0</v>
      </c>
      <c r="Y287" s="553">
        <v>0</v>
      </c>
      <c r="Z287" s="553">
        <v>0</v>
      </c>
      <c r="AA287" s="553">
        <v>0</v>
      </c>
      <c r="AB287" s="553">
        <v>0</v>
      </c>
      <c r="AC287" s="553">
        <v>0</v>
      </c>
      <c r="AD287" s="553">
        <v>0</v>
      </c>
      <c r="AE287" s="553">
        <v>0</v>
      </c>
      <c r="AF287" s="553">
        <v>0</v>
      </c>
      <c r="AG287" s="553">
        <v>0</v>
      </c>
      <c r="AH287" s="553">
        <v>0</v>
      </c>
      <c r="AI287" s="553">
        <v>0</v>
      </c>
      <c r="AJ287" s="553">
        <v>0</v>
      </c>
      <c r="AK287" s="553">
        <v>0</v>
      </c>
      <c r="AL287" s="553">
        <v>0</v>
      </c>
      <c r="AM287" s="553">
        <v>0</v>
      </c>
      <c r="AN287" s="569">
        <v>0</v>
      </c>
      <c r="AO287" s="570"/>
    </row>
    <row r="288" spans="1:41" ht="14">
      <c r="A288" s="504" t="s">
        <v>1255</v>
      </c>
      <c r="B288" s="501">
        <f t="shared" si="76"/>
        <v>0</v>
      </c>
      <c r="C288" s="502"/>
      <c r="D288" s="501">
        <f t="shared" si="77"/>
        <v>0</v>
      </c>
      <c r="E288" s="502"/>
      <c r="F288" s="501">
        <f t="shared" si="78"/>
        <v>0</v>
      </c>
      <c r="G288" s="502"/>
      <c r="H288" s="501">
        <f t="shared" si="79"/>
        <v>0</v>
      </c>
      <c r="I288" s="502"/>
      <c r="J288" s="501">
        <f t="shared" si="80"/>
        <v>0</v>
      </c>
      <c r="K288" s="502"/>
      <c r="L288" s="501">
        <f t="shared" si="81"/>
        <v>0</v>
      </c>
      <c r="M288" s="502"/>
      <c r="P288" s="554" t="s">
        <v>1255</v>
      </c>
      <c r="Q288" s="553">
        <v>134736</v>
      </c>
      <c r="R288" s="553">
        <v>0</v>
      </c>
      <c r="S288" s="553">
        <v>0</v>
      </c>
      <c r="T288" s="553">
        <v>134736</v>
      </c>
      <c r="U288" s="553">
        <v>188388</v>
      </c>
      <c r="V288" s="553">
        <v>0</v>
      </c>
      <c r="W288" s="553">
        <v>0</v>
      </c>
      <c r="X288" s="553">
        <v>188388</v>
      </c>
      <c r="Y288" s="553">
        <v>0</v>
      </c>
      <c r="Z288" s="553">
        <v>0</v>
      </c>
      <c r="AA288" s="553">
        <v>0</v>
      </c>
      <c r="AB288" s="553">
        <v>0</v>
      </c>
      <c r="AC288" s="553">
        <v>0</v>
      </c>
      <c r="AD288" s="553">
        <v>0</v>
      </c>
      <c r="AE288" s="553">
        <v>0</v>
      </c>
      <c r="AF288" s="553">
        <v>0</v>
      </c>
      <c r="AG288" s="553">
        <v>0</v>
      </c>
      <c r="AH288" s="553">
        <v>0</v>
      </c>
      <c r="AI288" s="553">
        <v>0</v>
      </c>
      <c r="AJ288" s="553">
        <v>0</v>
      </c>
      <c r="AK288" s="553">
        <v>0</v>
      </c>
      <c r="AL288" s="553">
        <v>0</v>
      </c>
      <c r="AM288" s="553">
        <v>0</v>
      </c>
      <c r="AN288" s="569">
        <v>0</v>
      </c>
      <c r="AO288" s="570"/>
    </row>
    <row r="289" spans="1:43" ht="14.5" thickBot="1">
      <c r="A289" s="516" t="s">
        <v>1256</v>
      </c>
      <c r="B289" s="501">
        <f t="shared" si="76"/>
        <v>0</v>
      </c>
      <c r="C289" s="502"/>
      <c r="D289" s="501">
        <f t="shared" si="77"/>
        <v>0</v>
      </c>
      <c r="E289" s="502"/>
      <c r="F289" s="501">
        <f t="shared" si="78"/>
        <v>0</v>
      </c>
      <c r="G289" s="502"/>
      <c r="H289" s="501">
        <f t="shared" si="79"/>
        <v>0</v>
      </c>
      <c r="I289" s="502"/>
      <c r="J289" s="501">
        <f t="shared" si="80"/>
        <v>0</v>
      </c>
      <c r="K289" s="502"/>
      <c r="L289" s="501">
        <f t="shared" si="81"/>
        <v>0</v>
      </c>
      <c r="M289" s="502"/>
      <c r="P289" s="554" t="s">
        <v>1256</v>
      </c>
      <c r="Q289" s="553">
        <v>0</v>
      </c>
      <c r="R289" s="571">
        <v>0</v>
      </c>
      <c r="S289" s="571">
        <v>0</v>
      </c>
      <c r="T289" s="571">
        <v>0</v>
      </c>
      <c r="U289" s="571">
        <v>0</v>
      </c>
      <c r="V289" s="571">
        <v>0</v>
      </c>
      <c r="W289" s="571">
        <v>0</v>
      </c>
      <c r="X289" s="571">
        <v>0</v>
      </c>
      <c r="Y289" s="571">
        <v>0</v>
      </c>
      <c r="Z289" s="571">
        <v>0</v>
      </c>
      <c r="AA289" s="571">
        <v>0</v>
      </c>
      <c r="AB289" s="571">
        <v>0</v>
      </c>
      <c r="AC289" s="571">
        <v>0</v>
      </c>
      <c r="AD289" s="571">
        <v>0</v>
      </c>
      <c r="AE289" s="571">
        <v>0</v>
      </c>
      <c r="AF289" s="571">
        <v>0</v>
      </c>
      <c r="AG289" s="571">
        <v>0</v>
      </c>
      <c r="AH289" s="571">
        <v>0</v>
      </c>
      <c r="AI289" s="571">
        <v>0</v>
      </c>
      <c r="AJ289" s="571">
        <v>0</v>
      </c>
      <c r="AK289" s="571">
        <v>0</v>
      </c>
      <c r="AL289" s="571">
        <v>0</v>
      </c>
      <c r="AM289" s="571">
        <v>0</v>
      </c>
      <c r="AN289" s="572">
        <v>0</v>
      </c>
      <c r="AO289" s="570"/>
    </row>
    <row r="290" spans="1:43" ht="14.5" thickBot="1">
      <c r="A290" s="516" t="s">
        <v>2255</v>
      </c>
      <c r="B290" s="501"/>
      <c r="C290" s="502"/>
      <c r="D290" s="501"/>
      <c r="E290" s="502"/>
      <c r="F290" s="501"/>
      <c r="G290" s="502"/>
      <c r="H290" s="501"/>
      <c r="I290" s="502"/>
      <c r="J290" s="501"/>
      <c r="K290" s="502"/>
      <c r="L290" s="501"/>
      <c r="M290" s="502"/>
      <c r="P290" s="565" t="s">
        <v>3581</v>
      </c>
      <c r="Q290" s="553">
        <v>0</v>
      </c>
      <c r="R290" s="571">
        <v>0</v>
      </c>
      <c r="S290" s="571">
        <v>0</v>
      </c>
      <c r="T290" s="571">
        <v>0</v>
      </c>
      <c r="U290" s="571">
        <v>0</v>
      </c>
      <c r="V290" s="571">
        <v>0</v>
      </c>
      <c r="W290" s="571">
        <v>0</v>
      </c>
      <c r="X290" s="571">
        <v>0</v>
      </c>
      <c r="Y290" s="571">
        <v>0</v>
      </c>
      <c r="Z290" s="571">
        <v>0</v>
      </c>
      <c r="AA290" s="571">
        <v>0</v>
      </c>
      <c r="AB290" s="571">
        <v>0</v>
      </c>
      <c r="AC290" s="571">
        <v>0</v>
      </c>
      <c r="AD290" s="571">
        <v>0</v>
      </c>
      <c r="AE290" s="571">
        <v>0</v>
      </c>
      <c r="AF290" s="571">
        <v>0</v>
      </c>
      <c r="AG290" s="571">
        <v>0</v>
      </c>
      <c r="AH290" s="571">
        <v>0</v>
      </c>
      <c r="AI290" s="571">
        <v>0</v>
      </c>
      <c r="AJ290" s="571">
        <v>0</v>
      </c>
      <c r="AK290" s="571">
        <v>2533363</v>
      </c>
      <c r="AL290" s="571">
        <v>0</v>
      </c>
      <c r="AM290" s="573">
        <v>0</v>
      </c>
      <c r="AN290" s="574">
        <v>2533363</v>
      </c>
      <c r="AO290" s="529">
        <f>X290+AN290</f>
        <v>2533363</v>
      </c>
    </row>
    <row r="291" spans="1:43" ht="14.5" thickBot="1">
      <c r="A291" s="509"/>
      <c r="B291" s="517"/>
      <c r="C291" s="517"/>
      <c r="D291" s="517"/>
      <c r="E291" s="517"/>
      <c r="F291" s="517"/>
      <c r="G291" s="517"/>
      <c r="H291" s="517"/>
      <c r="I291" s="517"/>
      <c r="J291" s="517"/>
      <c r="K291" s="517"/>
      <c r="L291" s="517"/>
      <c r="M291" s="517"/>
      <c r="P291" s="555" t="s">
        <v>187</v>
      </c>
      <c r="Q291" s="575">
        <v>286484</v>
      </c>
      <c r="R291" s="576">
        <v>0</v>
      </c>
      <c r="S291" s="577">
        <v>0</v>
      </c>
      <c r="T291" s="578">
        <v>286484</v>
      </c>
      <c r="U291" s="576">
        <v>4584294</v>
      </c>
      <c r="V291" s="576">
        <v>526251</v>
      </c>
      <c r="W291" s="577">
        <v>0</v>
      </c>
      <c r="X291" s="578">
        <v>5110545</v>
      </c>
      <c r="Y291" s="576">
        <v>122667</v>
      </c>
      <c r="Z291" s="576">
        <v>21000</v>
      </c>
      <c r="AA291" s="577">
        <v>0</v>
      </c>
      <c r="AB291" s="578">
        <v>143667</v>
      </c>
      <c r="AC291" s="576">
        <v>0</v>
      </c>
      <c r="AD291" s="576">
        <v>0</v>
      </c>
      <c r="AE291" s="577">
        <v>0</v>
      </c>
      <c r="AF291" s="578">
        <v>0</v>
      </c>
      <c r="AG291" s="576">
        <v>0</v>
      </c>
      <c r="AH291" s="576">
        <v>0</v>
      </c>
      <c r="AI291" s="577">
        <v>0</v>
      </c>
      <c r="AJ291" s="578">
        <v>0</v>
      </c>
      <c r="AK291" s="576">
        <v>2533363</v>
      </c>
      <c r="AL291" s="576">
        <v>0</v>
      </c>
      <c r="AM291" s="577">
        <v>0</v>
      </c>
      <c r="AN291" s="579">
        <v>2533363</v>
      </c>
      <c r="AO291" s="96">
        <f>T291+X291+AB291+AF291+AJ291+AN291</f>
        <v>8074059</v>
      </c>
    </row>
    <row r="292" spans="1:43" ht="14">
      <c r="A292" s="533"/>
      <c r="B292" s="520"/>
      <c r="C292" s="520"/>
      <c r="D292" s="520"/>
      <c r="E292" s="520"/>
      <c r="I292" s="520"/>
      <c r="J292" s="520"/>
      <c r="K292" s="520"/>
      <c r="L292" s="520"/>
      <c r="M292" s="520"/>
      <c r="N292" s="520"/>
    </row>
    <row r="293" spans="1:43" ht="13.5" thickBot="1">
      <c r="C293" s="39"/>
      <c r="D293" s="39"/>
      <c r="E293" s="36"/>
      <c r="G293" s="36"/>
      <c r="H293" s="36"/>
      <c r="I293" s="36"/>
      <c r="J293" s="36"/>
      <c r="M293" s="508"/>
      <c r="N293" s="508"/>
    </row>
    <row r="294" spans="1:43" ht="14.5" thickBot="1">
      <c r="C294" s="44"/>
      <c r="D294" s="44"/>
      <c r="E294" s="44"/>
      <c r="F294" s="45"/>
      <c r="G294" s="534"/>
      <c r="H294" s="535"/>
      <c r="I294" s="535"/>
      <c r="J294" s="535"/>
      <c r="M294" s="508"/>
      <c r="N294" s="508"/>
      <c r="P294" s="800" t="s">
        <v>2685</v>
      </c>
      <c r="Q294" s="840" t="s">
        <v>1523</v>
      </c>
      <c r="R294" s="840"/>
      <c r="S294" s="840"/>
      <c r="T294" s="840"/>
      <c r="U294" s="840"/>
      <c r="V294" s="840"/>
      <c r="W294" s="840"/>
      <c r="X294" s="840"/>
      <c r="Y294" s="840"/>
      <c r="Z294" s="840"/>
      <c r="AA294" s="840"/>
      <c r="AB294" s="840"/>
      <c r="AC294" s="840"/>
      <c r="AD294" s="840"/>
      <c r="AE294" s="840"/>
      <c r="AF294" s="840"/>
      <c r="AG294" s="840"/>
      <c r="AH294" s="840"/>
      <c r="AI294" s="840"/>
      <c r="AJ294" s="840"/>
      <c r="AK294" s="840"/>
      <c r="AL294" s="840"/>
      <c r="AM294" s="840"/>
      <c r="AN294" s="840"/>
      <c r="AO294" s="840"/>
      <c r="AP294" s="840"/>
      <c r="AQ294" s="840"/>
    </row>
    <row r="295" spans="1:43" ht="14.5" thickBot="1">
      <c r="H295" s="40"/>
      <c r="I295" s="25"/>
      <c r="J295" s="25"/>
      <c r="L295" s="512"/>
      <c r="M295" s="508"/>
      <c r="N295" s="508"/>
      <c r="P295" s="801"/>
      <c r="Q295" s="836" t="s">
        <v>223</v>
      </c>
      <c r="R295" s="836"/>
      <c r="S295" s="836"/>
      <c r="T295" s="836" t="s">
        <v>203</v>
      </c>
      <c r="U295" s="836"/>
      <c r="V295" s="836"/>
      <c r="W295" s="836" t="s">
        <v>219</v>
      </c>
      <c r="X295" s="836"/>
      <c r="Y295" s="836"/>
      <c r="Z295" s="836" t="s">
        <v>220</v>
      </c>
      <c r="AA295" s="836"/>
      <c r="AB295" s="836"/>
      <c r="AC295" s="836" t="s">
        <v>222</v>
      </c>
      <c r="AD295" s="836"/>
      <c r="AE295" s="836"/>
      <c r="AF295" s="836" t="s">
        <v>221</v>
      </c>
      <c r="AG295" s="836"/>
      <c r="AH295" s="836"/>
      <c r="AI295" s="836" t="s">
        <v>224</v>
      </c>
      <c r="AJ295" s="836"/>
      <c r="AK295" s="836"/>
      <c r="AL295" s="836" t="s">
        <v>2458</v>
      </c>
      <c r="AM295" s="836"/>
      <c r="AN295" s="836"/>
      <c r="AO295" s="837" t="s">
        <v>225</v>
      </c>
      <c r="AP295" s="838"/>
      <c r="AQ295" s="839"/>
    </row>
    <row r="296" spans="1:43" ht="14">
      <c r="C296" s="39"/>
      <c r="D296" s="39"/>
      <c r="E296" s="36"/>
      <c r="G296" s="36"/>
      <c r="H296" s="46"/>
      <c r="I296" s="46"/>
      <c r="J296" s="46"/>
      <c r="L296" s="512"/>
      <c r="M296" s="508"/>
      <c r="N296" s="508"/>
      <c r="P296" s="97" t="s">
        <v>1522</v>
      </c>
      <c r="Q296" s="98"/>
      <c r="R296" s="536"/>
      <c r="S296" s="537">
        <f>S113+T138+S163+S188+S213+S239+T265+T291</f>
        <v>5979898</v>
      </c>
      <c r="T296" s="98"/>
      <c r="U296" s="536"/>
      <c r="V296" s="537">
        <f>V88+X138+V163+V188+V213+V239+X265+X291+Q46</f>
        <v>17569355</v>
      </c>
      <c r="W296" s="98"/>
      <c r="X296" s="536"/>
      <c r="Y296" s="538">
        <f>Y88+Y113+Y163+Y188+Y213+Y239+AB265+AB291</f>
        <v>1625635</v>
      </c>
      <c r="Z296" s="98"/>
      <c r="AA296" s="536"/>
      <c r="AB296" s="538">
        <f>AB88+AB113+AF138+AB188+AB213+AB239+AF265+AF291</f>
        <v>530459</v>
      </c>
      <c r="AC296" s="98"/>
      <c r="AD296" s="536"/>
      <c r="AE296" s="538">
        <f>AE88+AE113+AJ138+AE163+AE213+AE239+AJ265+AI291</f>
        <v>500967</v>
      </c>
      <c r="AF296" s="98"/>
      <c r="AG296" s="536"/>
      <c r="AH296" s="538">
        <f>AH88+AH113+AN138+AH163+AH188+AH239+AN265+AN291</f>
        <v>4088238</v>
      </c>
      <c r="AI296" s="98"/>
      <c r="AJ296" s="536"/>
      <c r="AK296" s="100" t="s">
        <v>1292</v>
      </c>
      <c r="AL296" s="539"/>
      <c r="AM296" s="540"/>
      <c r="AN296" s="100" t="s">
        <v>1292</v>
      </c>
      <c r="AO296" s="539"/>
      <c r="AP296" s="540"/>
      <c r="AQ296" s="100" t="s">
        <v>1292</v>
      </c>
    </row>
    <row r="297" spans="1:43" ht="14">
      <c r="C297" s="44"/>
      <c r="D297" s="44"/>
      <c r="E297" s="44"/>
      <c r="F297" s="45"/>
      <c r="G297" s="534"/>
      <c r="H297" s="44"/>
      <c r="I297" s="44"/>
      <c r="J297" s="44"/>
      <c r="K297" s="541"/>
      <c r="L297" s="508"/>
      <c r="M297" s="508"/>
      <c r="N297" s="508"/>
      <c r="P297" s="98" t="s">
        <v>1524</v>
      </c>
      <c r="Q297" s="98"/>
      <c r="R297" s="536"/>
      <c r="S297" s="537">
        <f>V88+Y88+AB88+AE88+AH88</f>
        <v>1936765</v>
      </c>
      <c r="T297" s="98"/>
      <c r="U297" s="536"/>
      <c r="V297" s="537">
        <f>S113+Y113+AB113+AE113+AH113</f>
        <v>722188</v>
      </c>
      <c r="W297" s="98"/>
      <c r="X297" s="536"/>
      <c r="Y297" s="538">
        <f>T138+X138+AF138+AJ138+AN138</f>
        <v>4500444</v>
      </c>
      <c r="Z297" s="98"/>
      <c r="AA297" s="536"/>
      <c r="AB297" s="538">
        <f>S163+V163+Y163+AE163+AH163</f>
        <v>8286418</v>
      </c>
      <c r="AC297" s="98"/>
      <c r="AD297" s="536"/>
      <c r="AE297" s="538">
        <f>S188+V188+Y188+AB188+AH188</f>
        <v>362278</v>
      </c>
      <c r="AF297" s="98"/>
      <c r="AG297" s="536"/>
      <c r="AH297" s="538">
        <f>S213+V213+Y213+AB213+AE213</f>
        <v>1991048</v>
      </c>
      <c r="AI297" s="98"/>
      <c r="AJ297" s="536"/>
      <c r="AK297" s="538">
        <f>S239+V239+Y239+AB239+AE239+AH239+Q46</f>
        <v>3957448</v>
      </c>
      <c r="AL297" s="98"/>
      <c r="AM297" s="536"/>
      <c r="AN297" s="538">
        <f>T265+X265+AB265+AF265+AJ265+AN265</f>
        <v>463904</v>
      </c>
      <c r="AO297" s="98"/>
      <c r="AP297" s="536"/>
      <c r="AQ297" s="538">
        <f>T291+X291+AB291+AF291+AJ291+AN291</f>
        <v>8074059</v>
      </c>
    </row>
    <row r="298" spans="1:43" ht="14">
      <c r="A298" s="512"/>
      <c r="B298" s="512"/>
      <c r="C298" s="44"/>
      <c r="D298" s="44"/>
      <c r="E298" s="44"/>
      <c r="F298" s="45"/>
      <c r="G298" s="534"/>
      <c r="H298" s="44"/>
      <c r="I298" s="44"/>
      <c r="J298" s="44"/>
      <c r="K298" s="541"/>
      <c r="L298" s="508"/>
      <c r="M298" s="508"/>
      <c r="N298" s="508"/>
      <c r="P298" s="98" t="s">
        <v>2549</v>
      </c>
      <c r="Q298" s="97"/>
      <c r="R298" s="147"/>
      <c r="S298" s="542">
        <f>R88+U88+X88+AA88+AD88+AG88</f>
        <v>1296643</v>
      </c>
      <c r="T298" s="97"/>
      <c r="U298" s="147"/>
      <c r="V298" s="542">
        <f>R113+U113+X113+AA113+AD113+AG113</f>
        <v>3381333.3333333335</v>
      </c>
      <c r="W298" s="97"/>
      <c r="X298" s="147"/>
      <c r="Y298" s="543">
        <f>R138+V138+Z138+AD138+AH138+AL138</f>
        <v>1203330</v>
      </c>
      <c r="Z298" s="97"/>
      <c r="AA298" s="147"/>
      <c r="AB298" s="543">
        <f>R163+U163+X163+AA163+AD163+AG163</f>
        <v>330110</v>
      </c>
      <c r="AC298" s="97"/>
      <c r="AD298" s="147"/>
      <c r="AE298" s="543">
        <f>R188+U188+X188+AA188+AD188+AG188</f>
        <v>252963</v>
      </c>
      <c r="AF298" s="97"/>
      <c r="AG298" s="147"/>
      <c r="AH298" s="543">
        <f>R213+U213+X213+AA213+AD213+AG213</f>
        <v>661247</v>
      </c>
      <c r="AI298" s="97"/>
      <c r="AJ298" s="147"/>
      <c r="AK298" s="99" t="s">
        <v>1292</v>
      </c>
      <c r="AL298" s="544"/>
      <c r="AM298" s="545"/>
      <c r="AN298" s="99" t="s">
        <v>1292</v>
      </c>
      <c r="AO298" s="544"/>
      <c r="AP298" s="545"/>
      <c r="AQ298" s="99" t="s">
        <v>1292</v>
      </c>
    </row>
    <row r="299" spans="1:43" ht="14">
      <c r="A299" s="512"/>
      <c r="B299" s="512"/>
      <c r="C299" s="44"/>
      <c r="D299" s="44"/>
      <c r="E299" s="44"/>
      <c r="F299" s="45"/>
      <c r="G299" s="534"/>
      <c r="H299" s="44"/>
      <c r="I299" s="44"/>
      <c r="J299" s="44"/>
      <c r="K299" s="541"/>
      <c r="L299" s="508"/>
      <c r="M299" s="508"/>
      <c r="N299" s="508"/>
      <c r="P299" s="98" t="s">
        <v>2500</v>
      </c>
      <c r="Q299" s="97"/>
      <c r="R299" s="147"/>
      <c r="S299" s="542">
        <f>Q113+Q138+Q163+Q188+Q213</f>
        <v>3812162</v>
      </c>
      <c r="T299" s="97"/>
      <c r="U299" s="147"/>
      <c r="V299" s="542">
        <f>T88+U138+T163+T188+T213</f>
        <v>9562516</v>
      </c>
      <c r="W299" s="97"/>
      <c r="X299" s="147"/>
      <c r="Y299" s="542">
        <f>W88+W113+W163+W188+W213</f>
        <v>1392711</v>
      </c>
      <c r="Z299" s="97"/>
      <c r="AA299" s="147"/>
      <c r="AB299" s="542">
        <f>Z88+Z113+AC138+Z188+Z213</f>
        <v>252537</v>
      </c>
      <c r="AC299" s="97"/>
      <c r="AD299" s="147"/>
      <c r="AE299" s="542">
        <f>AC88+AC113+AG138+AC163+AC213</f>
        <v>164772</v>
      </c>
      <c r="AF299" s="98"/>
      <c r="AG299" s="536"/>
      <c r="AH299" s="538">
        <f>AF88+AF113+AK138+AF163+AF188</f>
        <v>1379943</v>
      </c>
    </row>
    <row r="300" spans="1:43" ht="14">
      <c r="A300" s="512"/>
      <c r="B300" s="512"/>
      <c r="C300" s="44"/>
      <c r="D300" s="44"/>
      <c r="E300" s="44"/>
      <c r="F300" s="45"/>
      <c r="G300" s="534"/>
      <c r="H300" s="44"/>
      <c r="I300" s="44"/>
      <c r="J300" s="44"/>
      <c r="K300" s="541"/>
      <c r="L300" s="508"/>
      <c r="M300" s="508"/>
      <c r="N300" s="508"/>
      <c r="O300" s="25"/>
      <c r="P300" s="98" t="s">
        <v>2501</v>
      </c>
      <c r="Q300" s="97"/>
      <c r="R300" s="147"/>
      <c r="S300" s="542">
        <f>T88+W88+Z88+AC88+AF88</f>
        <v>1917036</v>
      </c>
      <c r="T300" s="97"/>
      <c r="U300" s="147"/>
      <c r="V300" s="542">
        <f>Q113+W113+Z113+AC113+AF113</f>
        <v>664351</v>
      </c>
      <c r="W300" s="97"/>
      <c r="X300" s="147"/>
      <c r="Y300" s="542">
        <f>Q138+U138+AC138+AG138+AK138</f>
        <v>4190713</v>
      </c>
      <c r="Z300" s="97"/>
      <c r="AA300" s="147"/>
      <c r="AB300" s="542">
        <f>Q163+T163+W163+AC163+AF163</f>
        <v>7995289</v>
      </c>
      <c r="AC300" s="97"/>
      <c r="AD300" s="147"/>
      <c r="AE300" s="542">
        <f>Q188+T188+W188+Z188+AF188</f>
        <v>189184</v>
      </c>
      <c r="AF300" s="98"/>
      <c r="AG300" s="536"/>
      <c r="AH300" s="538">
        <f>Q213+T213+W213+Z213+AC213</f>
        <v>1608068</v>
      </c>
    </row>
    <row r="301" spans="1:43" ht="14">
      <c r="A301" s="512"/>
      <c r="B301" s="512"/>
      <c r="C301" s="44"/>
      <c r="D301" s="44"/>
      <c r="E301" s="44"/>
      <c r="F301" s="45"/>
      <c r="G301" s="534"/>
      <c r="H301" s="44"/>
      <c r="I301" s="44"/>
      <c r="J301" s="44"/>
      <c r="M301" s="527"/>
      <c r="N301" s="508"/>
      <c r="V301" s="508"/>
    </row>
    <row r="302" spans="1:43" ht="14">
      <c r="A302" s="512"/>
      <c r="B302" s="512"/>
      <c r="C302" s="44"/>
      <c r="D302" s="44"/>
      <c r="E302" s="44"/>
      <c r="F302" s="45"/>
      <c r="G302" s="534"/>
      <c r="H302" s="44"/>
      <c r="I302" s="44"/>
      <c r="J302" s="44"/>
      <c r="M302" s="527"/>
      <c r="N302" s="508"/>
      <c r="R302" s="508"/>
      <c r="S302" s="508"/>
      <c r="T302" s="508"/>
      <c r="U302" s="623"/>
      <c r="V302" s="508"/>
      <c r="W302" s="508"/>
      <c r="X302" s="508"/>
      <c r="Y302" s="508"/>
      <c r="Z302" s="508"/>
      <c r="AA302" s="508"/>
      <c r="AB302" s="508"/>
      <c r="AC302" s="508"/>
      <c r="AD302" s="508"/>
      <c r="AE302" s="508"/>
      <c r="AF302" s="508"/>
      <c r="AG302" s="508"/>
      <c r="AH302" s="508"/>
    </row>
    <row r="303" spans="1:43" ht="14">
      <c r="A303" s="546"/>
      <c r="B303" s="546"/>
      <c r="C303" s="44"/>
      <c r="D303" s="44"/>
      <c r="E303" s="44"/>
      <c r="F303" s="45"/>
      <c r="G303" s="534"/>
      <c r="H303" s="44"/>
      <c r="I303" s="44"/>
      <c r="J303" s="44"/>
      <c r="M303" s="527"/>
      <c r="N303" s="508"/>
      <c r="Q303" s="102"/>
      <c r="U303" s="623"/>
      <c r="V303" s="508"/>
      <c r="Y303" s="417"/>
    </row>
    <row r="304" spans="1:43" ht="14">
      <c r="A304" s="546"/>
      <c r="B304" s="546"/>
      <c r="C304" s="44"/>
      <c r="D304" s="44"/>
      <c r="E304" s="44"/>
      <c r="F304" s="45"/>
      <c r="G304" s="534"/>
      <c r="H304" s="44"/>
      <c r="I304" s="44"/>
      <c r="J304" s="44"/>
      <c r="U304" s="623"/>
      <c r="V304" s="508"/>
    </row>
    <row r="305" spans="1:22" ht="14">
      <c r="A305" s="512"/>
      <c r="B305" s="512"/>
      <c r="C305" s="44"/>
      <c r="D305" s="44"/>
      <c r="E305" s="44"/>
      <c r="F305" s="45"/>
      <c r="G305" s="534"/>
      <c r="H305" s="44"/>
      <c r="I305" s="44"/>
      <c r="J305" s="44"/>
      <c r="U305" s="116"/>
    </row>
    <row r="306" spans="1:22" ht="14">
      <c r="A306" s="512"/>
      <c r="B306" s="512"/>
      <c r="C306" s="44"/>
      <c r="D306" s="44"/>
      <c r="E306" s="44"/>
      <c r="F306" s="45"/>
      <c r="G306" s="534"/>
      <c r="H306" s="44"/>
      <c r="I306" s="44"/>
      <c r="J306" s="44"/>
      <c r="K306" s="417"/>
      <c r="M306" s="417"/>
      <c r="N306" s="417"/>
      <c r="U306" s="116"/>
      <c r="V306" s="508"/>
    </row>
    <row r="307" spans="1:22" ht="14">
      <c r="A307" s="512"/>
      <c r="B307" s="512"/>
      <c r="C307" s="44"/>
      <c r="D307" s="44"/>
      <c r="E307" s="44"/>
      <c r="F307" s="45"/>
      <c r="G307" s="534"/>
      <c r="H307" s="44"/>
      <c r="I307" s="44"/>
      <c r="J307" s="44"/>
      <c r="M307" s="36"/>
      <c r="U307" s="116"/>
      <c r="V307" s="508"/>
    </row>
    <row r="308" spans="1:22" ht="14">
      <c r="A308" s="512"/>
      <c r="B308" s="512"/>
      <c r="C308" s="44"/>
      <c r="D308" s="44"/>
      <c r="E308" s="44"/>
      <c r="F308" s="547"/>
      <c r="G308" s="534"/>
      <c r="H308" s="44"/>
      <c r="I308" s="44"/>
      <c r="J308" s="44"/>
      <c r="K308" s="541"/>
      <c r="L308" s="508"/>
      <c r="M308" s="508"/>
      <c r="N308" s="521"/>
      <c r="U308" s="116"/>
      <c r="V308" s="508"/>
    </row>
    <row r="309" spans="1:22" ht="14">
      <c r="A309" s="512"/>
      <c r="B309" s="512"/>
      <c r="C309" s="44"/>
      <c r="D309" s="44"/>
      <c r="E309" s="44"/>
      <c r="F309" s="45"/>
      <c r="G309" s="534"/>
      <c r="H309" s="44"/>
      <c r="I309" s="44"/>
      <c r="J309" s="44"/>
      <c r="K309" s="541"/>
      <c r="L309" s="508"/>
      <c r="M309" s="508"/>
      <c r="N309" s="521"/>
      <c r="U309" s="116"/>
    </row>
    <row r="310" spans="1:22" ht="14">
      <c r="A310" s="512"/>
      <c r="B310" s="512"/>
      <c r="C310" s="44"/>
      <c r="D310" s="44"/>
      <c r="E310" s="44"/>
      <c r="F310" s="45"/>
      <c r="G310" s="534"/>
      <c r="H310" s="44"/>
      <c r="I310" s="44"/>
      <c r="J310" s="44"/>
      <c r="K310" s="541"/>
      <c r="L310" s="508"/>
      <c r="M310" s="508"/>
      <c r="N310" s="521"/>
      <c r="U310" s="624"/>
      <c r="V310" s="96"/>
    </row>
    <row r="311" spans="1:22">
      <c r="U311" s="116"/>
      <c r="V311" s="508"/>
    </row>
    <row r="312" spans="1:22">
      <c r="U312" s="116"/>
      <c r="V312" s="508"/>
    </row>
    <row r="313" spans="1:22">
      <c r="U313" s="116"/>
      <c r="V313" s="508"/>
    </row>
    <row r="314" spans="1:22">
      <c r="V314" s="508"/>
    </row>
    <row r="315" spans="1:22">
      <c r="U315" s="116"/>
      <c r="V315" s="508"/>
    </row>
    <row r="316" spans="1:22">
      <c r="V316" s="508"/>
    </row>
  </sheetData>
  <mergeCells count="212">
    <mergeCell ref="AO243:AO244"/>
    <mergeCell ref="Q242:AN242"/>
    <mergeCell ref="AI295:AK295"/>
    <mergeCell ref="AL295:AN295"/>
    <mergeCell ref="AO295:AQ295"/>
    <mergeCell ref="Q294:AQ294"/>
    <mergeCell ref="Q295:S295"/>
    <mergeCell ref="T295:V295"/>
    <mergeCell ref="W295:Y295"/>
    <mergeCell ref="Z295:AB295"/>
    <mergeCell ref="AC295:AE295"/>
    <mergeCell ref="AF295:AH295"/>
    <mergeCell ref="AC243:AF243"/>
    <mergeCell ref="AO269:AO270"/>
    <mergeCell ref="Q243:T243"/>
    <mergeCell ref="U243:X243"/>
    <mergeCell ref="AK243:AN243"/>
    <mergeCell ref="Q268:AN268"/>
    <mergeCell ref="Q269:T269"/>
    <mergeCell ref="U269:X269"/>
    <mergeCell ref="Y269:AB269"/>
    <mergeCell ref="AC269:AF269"/>
    <mergeCell ref="AG269:AJ269"/>
    <mergeCell ref="AK269:AN269"/>
    <mergeCell ref="P91:P93"/>
    <mergeCell ref="E167:E168"/>
    <mergeCell ref="F167:F168"/>
    <mergeCell ref="G167:G168"/>
    <mergeCell ref="C142:C143"/>
    <mergeCell ref="A166:M166"/>
    <mergeCell ref="D142:D143"/>
    <mergeCell ref="B167:B168"/>
    <mergeCell ref="E192:E193"/>
    <mergeCell ref="C92:C93"/>
    <mergeCell ref="D117:D118"/>
    <mergeCell ref="A142:A143"/>
    <mergeCell ref="E117:E118"/>
    <mergeCell ref="G117:G118"/>
    <mergeCell ref="G142:G143"/>
    <mergeCell ref="C167:C168"/>
    <mergeCell ref="D167:D168"/>
    <mergeCell ref="P116:P118"/>
    <mergeCell ref="P141:P143"/>
    <mergeCell ref="P166:P168"/>
    <mergeCell ref="H167:H168"/>
    <mergeCell ref="M167:M168"/>
    <mergeCell ref="L117:L118"/>
    <mergeCell ref="C117:C118"/>
    <mergeCell ref="A243:A244"/>
    <mergeCell ref="A67:A68"/>
    <mergeCell ref="A92:A93"/>
    <mergeCell ref="A117:A118"/>
    <mergeCell ref="A217:A218"/>
    <mergeCell ref="H192:H193"/>
    <mergeCell ref="B217:B218"/>
    <mergeCell ref="C217:C218"/>
    <mergeCell ref="D217:D218"/>
    <mergeCell ref="E217:E218"/>
    <mergeCell ref="F217:F218"/>
    <mergeCell ref="A191:M191"/>
    <mergeCell ref="A242:M242"/>
    <mergeCell ref="B117:B118"/>
    <mergeCell ref="E92:E93"/>
    <mergeCell ref="F92:F93"/>
    <mergeCell ref="J167:J168"/>
    <mergeCell ref="A167:A168"/>
    <mergeCell ref="A192:A193"/>
    <mergeCell ref="K92:K93"/>
    <mergeCell ref="M92:M93"/>
    <mergeCell ref="J142:J143"/>
    <mergeCell ref="G92:G93"/>
    <mergeCell ref="B142:B143"/>
    <mergeCell ref="AG243:AJ243"/>
    <mergeCell ref="K217:K218"/>
    <mergeCell ref="J217:J218"/>
    <mergeCell ref="L217:L218"/>
    <mergeCell ref="G243:G244"/>
    <mergeCell ref="L192:L193"/>
    <mergeCell ref="Q192:S192"/>
    <mergeCell ref="Z192:AB192"/>
    <mergeCell ref="T217:V217"/>
    <mergeCell ref="K192:K193"/>
    <mergeCell ref="P216:P218"/>
    <mergeCell ref="H217:H218"/>
    <mergeCell ref="P191:P193"/>
    <mergeCell ref="G217:G218"/>
    <mergeCell ref="I217:I218"/>
    <mergeCell ref="Y243:AB243"/>
    <mergeCell ref="G192:G193"/>
    <mergeCell ref="AC217:AE217"/>
    <mergeCell ref="AF217:AH217"/>
    <mergeCell ref="A141:M141"/>
    <mergeCell ref="M142:M143"/>
    <mergeCell ref="E142:E143"/>
    <mergeCell ref="F142:F143"/>
    <mergeCell ref="W217:Y217"/>
    <mergeCell ref="M192:M193"/>
    <mergeCell ref="J192:J193"/>
    <mergeCell ref="AF192:AH192"/>
    <mergeCell ref="AC192:AE192"/>
    <mergeCell ref="T192:V192"/>
    <mergeCell ref="W192:Y192"/>
    <mergeCell ref="Z217:AB217"/>
    <mergeCell ref="A216:M216"/>
    <mergeCell ref="I192:I193"/>
    <mergeCell ref="L142:L143"/>
    <mergeCell ref="H142:H143"/>
    <mergeCell ref="I167:I168"/>
    <mergeCell ref="K167:K168"/>
    <mergeCell ref="Q91:AH91"/>
    <mergeCell ref="Q92:S92"/>
    <mergeCell ref="T92:V92"/>
    <mergeCell ref="AC92:AE92"/>
    <mergeCell ref="W92:Y92"/>
    <mergeCell ref="Z92:AB92"/>
    <mergeCell ref="W167:Y167"/>
    <mergeCell ref="Q141:AH141"/>
    <mergeCell ref="Z142:AB142"/>
    <mergeCell ref="AF167:AH167"/>
    <mergeCell ref="T142:V142"/>
    <mergeCell ref="W142:Y142"/>
    <mergeCell ref="Q166:AH166"/>
    <mergeCell ref="AF92:AH92"/>
    <mergeCell ref="Q117:T117"/>
    <mergeCell ref="Y117:AB117"/>
    <mergeCell ref="AC117:AF117"/>
    <mergeCell ref="AG117:AJ117"/>
    <mergeCell ref="U117:X117"/>
    <mergeCell ref="T167:V167"/>
    <mergeCell ref="Q116:AN116"/>
    <mergeCell ref="AK117:AN117"/>
    <mergeCell ref="B34:K34"/>
    <mergeCell ref="Q66:AH66"/>
    <mergeCell ref="Q67:S67"/>
    <mergeCell ref="T67:V67"/>
    <mergeCell ref="W67:Y67"/>
    <mergeCell ref="Z67:AB67"/>
    <mergeCell ref="AC67:AE67"/>
    <mergeCell ref="G67:G68"/>
    <mergeCell ref="H67:H68"/>
    <mergeCell ref="I67:I68"/>
    <mergeCell ref="B67:B68"/>
    <mergeCell ref="AF67:AH67"/>
    <mergeCell ref="J67:J68"/>
    <mergeCell ref="A65:M65"/>
    <mergeCell ref="K67:K68"/>
    <mergeCell ref="L67:L68"/>
    <mergeCell ref="M67:M68"/>
    <mergeCell ref="A66:M66"/>
    <mergeCell ref="P65:AH65"/>
    <mergeCell ref="P66:P68"/>
    <mergeCell ref="D67:D68"/>
    <mergeCell ref="L92:L93"/>
    <mergeCell ref="L167:L168"/>
    <mergeCell ref="E67:E68"/>
    <mergeCell ref="F67:F68"/>
    <mergeCell ref="J117:J118"/>
    <mergeCell ref="B192:B193"/>
    <mergeCell ref="C192:C193"/>
    <mergeCell ref="C67:C68"/>
    <mergeCell ref="J92:J93"/>
    <mergeCell ref="D92:D93"/>
    <mergeCell ref="D192:D193"/>
    <mergeCell ref="I142:I143"/>
    <mergeCell ref="H92:H93"/>
    <mergeCell ref="I117:I118"/>
    <mergeCell ref="K117:K118"/>
    <mergeCell ref="F117:F118"/>
    <mergeCell ref="A91:M91"/>
    <mergeCell ref="A116:M116"/>
    <mergeCell ref="M117:M118"/>
    <mergeCell ref="I92:I93"/>
    <mergeCell ref="B92:B93"/>
    <mergeCell ref="K142:K143"/>
    <mergeCell ref="H117:H118"/>
    <mergeCell ref="F192:F193"/>
    <mergeCell ref="C243:C244"/>
    <mergeCell ref="B269:B270"/>
    <mergeCell ref="C269:C270"/>
    <mergeCell ref="D269:D270"/>
    <mergeCell ref="AC142:AE142"/>
    <mergeCell ref="Q142:S142"/>
    <mergeCell ref="AF142:AH142"/>
    <mergeCell ref="J243:J244"/>
    <mergeCell ref="K243:K244"/>
    <mergeCell ref="L243:L244"/>
    <mergeCell ref="Q167:S167"/>
    <mergeCell ref="Q216:AH216"/>
    <mergeCell ref="M243:M244"/>
    <mergeCell ref="Q191:AH191"/>
    <mergeCell ref="D243:D244"/>
    <mergeCell ref="H243:H244"/>
    <mergeCell ref="I243:I244"/>
    <mergeCell ref="F243:F244"/>
    <mergeCell ref="E243:E244"/>
    <mergeCell ref="B243:B244"/>
    <mergeCell ref="M217:M218"/>
    <mergeCell ref="Q217:S217"/>
    <mergeCell ref="Z167:AB167"/>
    <mergeCell ref="AC167:AE167"/>
    <mergeCell ref="P294:P295"/>
    <mergeCell ref="M269:M270"/>
    <mergeCell ref="H269:H270"/>
    <mergeCell ref="I269:I270"/>
    <mergeCell ref="A268:M268"/>
    <mergeCell ref="E269:E270"/>
    <mergeCell ref="F269:F270"/>
    <mergeCell ref="G269:G270"/>
    <mergeCell ref="J269:J270"/>
    <mergeCell ref="K269:K270"/>
    <mergeCell ref="L269:L270"/>
    <mergeCell ref="A269:A270"/>
  </mergeCells>
  <hyperlinks>
    <hyperlink ref="Y53" r:id="rId1" display="https://www.mass.gov/guides/solar-carve-out-and-solar-carve-out-ii-program-information?_gl=1*vf7t1u*_ga*MTE0NjMwNDc0MC4xNzE0MTM5MjI1*_ga_MCLPEGW7WM*MTcxNjMwODY5MC4xMi4wLjE3MTYzMDg2OTAuMC4wLjA." xr:uid="{F1EFCD9D-F5F8-4CB9-A8AC-62EA08C4B279}"/>
  </hyperlinks>
  <pageMargins left="0.7" right="0.7" top="0.75" bottom="0.75" header="0.3" footer="0.3"/>
  <pageSetup scale="49" orientation="landscape" r:id="rId2"/>
  <rowBreaks count="5" manualBreakCount="5">
    <brk id="64" max="16383" man="1"/>
    <brk id="115" max="16383" man="1"/>
    <brk id="165" max="16383" man="1"/>
    <brk id="215" max="16383" man="1"/>
    <brk id="267" max="16383" man="1"/>
  </rowBreaks>
  <colBreaks count="1" manualBreakCount="1">
    <brk id="36" max="1048575" man="1"/>
  </colBreaks>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F48B8951B32C44A8ABF1C6EE626DEA0" ma:contentTypeVersion="14" ma:contentTypeDescription="Create a new document." ma:contentTypeScope="" ma:versionID="a879d21d2b9e9c0e07b106d81c6e0e71">
  <xsd:schema xmlns:xsd="http://www.w3.org/2001/XMLSchema" xmlns:xs="http://www.w3.org/2001/XMLSchema" xmlns:p="http://schemas.microsoft.com/office/2006/metadata/properties" xmlns:ns2="97c241f7-0c18-4008-861b-5a676167a037" xmlns:ns3="7b83dbe2-6fd2-449a-a932-0d75829bf641" targetNamespace="http://schemas.microsoft.com/office/2006/metadata/properties" ma:root="true" ma:fieldsID="0c74a8daa34b45c016813c22833d1624" ns2:_="" ns3:_="">
    <xsd:import namespace="97c241f7-0c18-4008-861b-5a676167a037"/>
    <xsd:import namespace="7b83dbe2-6fd2-449a-a932-0d75829bf641"/>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c241f7-0c18-4008-861b-5a676167a0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Tags" ma:index="12" nillable="true" ma:displayName="Tags" ma:internalName="MediaServiceAutoTags"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b83dbe2-6fd2-449a-a932-0d75829bf641"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0e1eecbb-5736-4a27-a3d9-8cd4d931ca33}" ma:internalName="TaxCatchAll" ma:showField="CatchAllData" ma:web="7b83dbe2-6fd2-449a-a932-0d75829bf64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7c241f7-0c18-4008-861b-5a676167a037">
      <Terms xmlns="http://schemas.microsoft.com/office/infopath/2007/PartnerControls"/>
    </lcf76f155ced4ddcb4097134ff3c332f>
    <TaxCatchAll xmlns="7b83dbe2-6fd2-449a-a932-0d75829bf64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4D8633D-00EF-4711-BB1F-CF7051AE97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7c241f7-0c18-4008-861b-5a676167a037"/>
    <ds:schemaRef ds:uri="7b83dbe2-6fd2-449a-a932-0d75829bf6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590E0BC-B6BB-4E2C-8E8A-3B80750A153C}">
  <ds:schemaRefs>
    <ds:schemaRef ds:uri="http://purl.org/dc/terms/"/>
    <ds:schemaRef ds:uri="http://purl.org/dc/elements/1.1/"/>
    <ds:schemaRef ds:uri="http://schemas.openxmlformats.org/package/2006/metadata/core-properties"/>
    <ds:schemaRef ds:uri="http://www.w3.org/XML/1998/namespace"/>
    <ds:schemaRef ds:uri="http://schemas.microsoft.com/office/infopath/2007/PartnerControls"/>
    <ds:schemaRef ds:uri="http://schemas.microsoft.com/office/2006/documentManagement/types"/>
    <ds:schemaRef ds:uri="http://purl.org/dc/dcmitype/"/>
    <ds:schemaRef ds:uri="http://schemas.microsoft.com/office/2006/metadata/properties"/>
    <ds:schemaRef ds:uri="7b83dbe2-6fd2-449a-a932-0d75829bf641"/>
    <ds:schemaRef ds:uri="97c241f7-0c18-4008-861b-5a676167a037"/>
  </ds:schemaRefs>
</ds:datastoreItem>
</file>

<file path=customXml/itemProps3.xml><?xml version="1.0" encoding="utf-8"?>
<ds:datastoreItem xmlns:ds="http://schemas.openxmlformats.org/officeDocument/2006/customXml" ds:itemID="{C55FEC8C-2460-424A-AF2F-8FB5F85F0C5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4</vt:i4>
      </vt:variant>
    </vt:vector>
  </HeadingPairs>
  <TitlesOfParts>
    <vt:vector size="14" baseType="lpstr">
      <vt:lpstr>Emission Factors</vt:lpstr>
      <vt:lpstr>State &amp; Province Summary</vt:lpstr>
      <vt:lpstr>Generation Load Imports</vt:lpstr>
      <vt:lpstr>Generation CO2e</vt:lpstr>
      <vt:lpstr>EIA Form 923</vt:lpstr>
      <vt:lpstr>EPA Part 75</vt:lpstr>
      <vt:lpstr>GIS CO2e</vt:lpstr>
      <vt:lpstr>GIS Heat Input</vt:lpstr>
      <vt:lpstr>GIS</vt:lpstr>
      <vt:lpstr>GWPs &amp; Fuel EFs</vt:lpstr>
      <vt:lpstr>MSBprcnt</vt:lpstr>
      <vt:lpstr>MSNprcnt</vt:lpstr>
      <vt:lpstr>'EIA Form 923'!Print_Titles</vt:lpstr>
      <vt:lpstr>'EPA Part 75'!Print_Titles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Richardson, Sue Ann (DEP)</dc:creator>
  <cp:lastModifiedBy>Richardson, Sue Ann (DEP)</cp:lastModifiedBy>
  <cp:lastPrinted>2019-12-03T19:52:32Z</cp:lastPrinted>
  <dcterms:created xsi:type="dcterms:W3CDTF">2010-01-22T15:38:48Z</dcterms:created>
  <dcterms:modified xsi:type="dcterms:W3CDTF">2024-06-24T14:56:22Z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-1354738597</vt:i4>
  </property>
  <property fmtid="{D5CDD505-2E9C-101B-9397-08002B2CF9AE}" pid="3" name="_NewReviewCycle">
    <vt:lpwstr/>
  </property>
  <property fmtid="{D5CDD505-2E9C-101B-9397-08002B2CF9AE}" pid="4" name="_EmailSubject">
    <vt:lpwstr>getting ready to post updated GHG Inventory</vt:lpwstr>
  </property>
  <property fmtid="{D5CDD505-2E9C-101B-9397-08002B2CF9AE}" pid="5" name="_AuthorEmail">
    <vt:lpwstr>Sharon.Weber@MassMail.State.MA.US</vt:lpwstr>
  </property>
  <property fmtid="{D5CDD505-2E9C-101B-9397-08002B2CF9AE}" pid="6" name="_AuthorEmailDisplayName">
    <vt:lpwstr>Weber, Sharon (DEP)</vt:lpwstr>
  </property>
  <property fmtid="{D5CDD505-2E9C-101B-9397-08002B2CF9AE}" pid="7" name="_PreviousAdHocReviewCycleID">
    <vt:i4>961112467</vt:i4>
  </property>
  <property fmtid="{D5CDD505-2E9C-101B-9397-08002B2CF9AE}" pid="8" name="_ReviewingToolsShownOnce">
    <vt:lpwstr/>
  </property>
  <property fmtid="{D5CDD505-2E9C-101B-9397-08002B2CF9AE}" pid="9" name="WorkbookGuid">
    <vt:lpwstr>d90edfcd-199e-4180-a526-533230d6161b</vt:lpwstr>
  </property>
  <property fmtid="{D5CDD505-2E9C-101B-9397-08002B2CF9AE}" pid="10" name="ContentTypeId">
    <vt:lpwstr>0x0101003F48B8951B32C44A8ABF1C6EE626DEA0</vt:lpwstr>
  </property>
  <property fmtid="{D5CDD505-2E9C-101B-9397-08002B2CF9AE}" pid="11" name="ComplianceAssetId">
    <vt:lpwstr/>
  </property>
  <property fmtid="{D5CDD505-2E9C-101B-9397-08002B2CF9AE}" pid="12" name="_ExtendedDescription">
    <vt:lpwstr/>
  </property>
  <property fmtid="{D5CDD505-2E9C-101B-9397-08002B2CF9AE}" pid="13" name="TriggerFlowInfo">
    <vt:lpwstr/>
  </property>
  <property fmtid="{D5CDD505-2E9C-101B-9397-08002B2CF9AE}" pid="14" name="MediaServiceImageTags">
    <vt:lpwstr/>
  </property>
</Properties>
</file>